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gusthodt/Desktop/Aksjemodellering/"/>
    </mc:Choice>
  </mc:AlternateContent>
  <xr:revisionPtr revIDLastSave="0" documentId="13_ncr:1_{F5A5F1F7-5855-AC4D-B7FB-41FB0EA79325}" xr6:coauthVersionLast="47" xr6:coauthVersionMax="47" xr10:uidLastSave="{00000000-0000-0000-0000-000000000000}"/>
  <bookViews>
    <workbookView xWindow="23600" yWindow="500" windowWidth="27600" windowHeight="26740" activeTab="1" xr2:uid="{59E7E053-0337-3F47-9975-1F1A44F3F134}"/>
  </bookViews>
  <sheets>
    <sheet name="Info" sheetId="1" r:id="rId1"/>
    <sheet name="Modell" sheetId="2" r:id="rId2"/>
    <sheet name="Segment" sheetId="4" r:id="rId3"/>
    <sheet name="Nøkkeltall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" i="2" l="1"/>
  <c r="AC10" i="2"/>
  <c r="W23" i="2"/>
  <c r="X23" i="2"/>
  <c r="Y23" i="2"/>
  <c r="Z23" i="2"/>
  <c r="AA23" i="2"/>
  <c r="AB23" i="2"/>
  <c r="X11" i="2"/>
  <c r="O11" i="2"/>
  <c r="O23" i="2" s="1"/>
  <c r="S22" i="4"/>
  <c r="T22" i="4"/>
  <c r="U22" i="4"/>
  <c r="S20" i="4"/>
  <c r="T20" i="4"/>
  <c r="U20" i="4"/>
  <c r="D11" i="2"/>
  <c r="E11" i="2"/>
  <c r="F11" i="2"/>
  <c r="G11" i="2"/>
  <c r="K23" i="2" s="1"/>
  <c r="H11" i="2"/>
  <c r="H23" i="2" s="1"/>
  <c r="I11" i="2"/>
  <c r="I23" i="2" s="1"/>
  <c r="J11" i="2"/>
  <c r="J23" i="2" s="1"/>
  <c r="K11" i="2"/>
  <c r="L11" i="2"/>
  <c r="M11" i="2"/>
  <c r="N11" i="2"/>
  <c r="P11" i="2"/>
  <c r="P23" i="2" s="1"/>
  <c r="U12" i="4"/>
  <c r="T12" i="4"/>
  <c r="S12" i="4"/>
  <c r="S10" i="4"/>
  <c r="T10" i="4"/>
  <c r="U10" i="4"/>
  <c r="B8" i="2"/>
  <c r="P66" i="2"/>
  <c r="P67" i="2" s="1"/>
  <c r="P81" i="2"/>
  <c r="P71" i="2"/>
  <c r="P56" i="2"/>
  <c r="P45" i="2"/>
  <c r="P57" i="2" s="1"/>
  <c r="P40" i="2"/>
  <c r="M23" i="2" l="1"/>
  <c r="L23" i="2"/>
  <c r="P85" i="2"/>
  <c r="P87" i="2"/>
  <c r="V81" i="2"/>
  <c r="V66" i="2"/>
  <c r="V67" i="2" s="1"/>
  <c r="V85" i="2" s="1"/>
  <c r="W66" i="2"/>
  <c r="W67" i="2" s="1"/>
  <c r="V7" i="2"/>
  <c r="V11" i="2" s="1"/>
  <c r="V6" i="2"/>
  <c r="V12" i="2" s="1"/>
  <c r="W7" i="2"/>
  <c r="W11" i="2" s="1"/>
  <c r="W6" i="2"/>
  <c r="W12" i="2" s="1"/>
  <c r="X6" i="2"/>
  <c r="Z81" i="2"/>
  <c r="AA81" i="2"/>
  <c r="Y81" i="2"/>
  <c r="X81" i="2"/>
  <c r="X66" i="2"/>
  <c r="X67" i="2" s="1"/>
  <c r="X87" i="2" s="1"/>
  <c r="Y66" i="2"/>
  <c r="Y67" i="2" s="1"/>
  <c r="Z66" i="2"/>
  <c r="Z67" i="2" s="1"/>
  <c r="Z87" i="2" s="1"/>
  <c r="W81" i="2"/>
  <c r="V71" i="2"/>
  <c r="W71" i="2"/>
  <c r="X71" i="2"/>
  <c r="Y71" i="2"/>
  <c r="Z71" i="2"/>
  <c r="AA71" i="2"/>
  <c r="AA66" i="2"/>
  <c r="AA67" i="2" s="1"/>
  <c r="AA87" i="2" s="1"/>
  <c r="K66" i="2"/>
  <c r="K67" i="2" s="1"/>
  <c r="K87" i="2" s="1"/>
  <c r="N81" i="2"/>
  <c r="M81" i="2"/>
  <c r="L81" i="2"/>
  <c r="K81" i="2"/>
  <c r="J81" i="2"/>
  <c r="I81" i="2"/>
  <c r="H81" i="2"/>
  <c r="G81" i="2"/>
  <c r="F81" i="2"/>
  <c r="E81" i="2"/>
  <c r="D81" i="2"/>
  <c r="N71" i="2"/>
  <c r="M71" i="2"/>
  <c r="L71" i="2"/>
  <c r="K71" i="2"/>
  <c r="J71" i="2"/>
  <c r="I71" i="2"/>
  <c r="H71" i="2"/>
  <c r="G71" i="2"/>
  <c r="F71" i="2"/>
  <c r="E71" i="2"/>
  <c r="D71" i="2"/>
  <c r="N67" i="2"/>
  <c r="N87" i="2" s="1"/>
  <c r="M67" i="2"/>
  <c r="M87" i="2" s="1"/>
  <c r="L67" i="2"/>
  <c r="L87" i="2" s="1"/>
  <c r="J67" i="2"/>
  <c r="J87" i="2" s="1"/>
  <c r="I67" i="2"/>
  <c r="I87" i="2" s="1"/>
  <c r="H67" i="2"/>
  <c r="G67" i="2"/>
  <c r="G87" i="2" s="1"/>
  <c r="F67" i="2"/>
  <c r="E67" i="2"/>
  <c r="E87" i="2" s="1"/>
  <c r="D67" i="2"/>
  <c r="D87" i="2" s="1"/>
  <c r="O66" i="2"/>
  <c r="O67" i="2" s="1"/>
  <c r="O87" i="2" s="1"/>
  <c r="O81" i="2"/>
  <c r="O71" i="2"/>
  <c r="R22" i="4"/>
  <c r="R20" i="4"/>
  <c r="R12" i="4"/>
  <c r="R10" i="4"/>
  <c r="V9" i="4"/>
  <c r="Q11" i="4"/>
  <c r="Q12" i="4" s="1"/>
  <c r="V23" i="4"/>
  <c r="V21" i="4"/>
  <c r="V18" i="4"/>
  <c r="V16" i="4"/>
  <c r="V17" i="4" s="1"/>
  <c r="V13" i="4"/>
  <c r="V11" i="4"/>
  <c r="V8" i="4"/>
  <c r="V6" i="4"/>
  <c r="V7" i="4" s="1"/>
  <c r="Q23" i="4"/>
  <c r="Q13" i="4"/>
  <c r="Q10" i="4"/>
  <c r="Q9" i="4"/>
  <c r="Q8" i="4"/>
  <c r="Q7" i="4"/>
  <c r="Q6" i="4"/>
  <c r="Q21" i="4"/>
  <c r="Q22" i="4" s="1"/>
  <c r="Q19" i="4"/>
  <c r="Q20" i="4" s="1"/>
  <c r="Q18" i="4"/>
  <c r="Q16" i="4"/>
  <c r="Q17" i="4" s="1"/>
  <c r="L17" i="4"/>
  <c r="L23" i="4"/>
  <c r="L21" i="4"/>
  <c r="L22" i="4" s="1"/>
  <c r="L19" i="4"/>
  <c r="L20" i="4" s="1"/>
  <c r="L18" i="4"/>
  <c r="L16" i="4"/>
  <c r="G23" i="4"/>
  <c r="G21" i="4"/>
  <c r="G22" i="4" s="1"/>
  <c r="G19" i="4"/>
  <c r="G18" i="4"/>
  <c r="G16" i="4"/>
  <c r="G20" i="4" s="1"/>
  <c r="L8" i="4"/>
  <c r="G8" i="4"/>
  <c r="L7" i="4"/>
  <c r="L6" i="4"/>
  <c r="L12" i="4" s="1"/>
  <c r="L13" i="4"/>
  <c r="L11" i="4"/>
  <c r="L9" i="4"/>
  <c r="G13" i="4"/>
  <c r="G12" i="4"/>
  <c r="G11" i="4"/>
  <c r="G10" i="4"/>
  <c r="G9" i="4"/>
  <c r="G6" i="4"/>
  <c r="Y85" i="2" l="1"/>
  <c r="X12" i="2"/>
  <c r="X15" i="2" s="1"/>
  <c r="W21" i="2"/>
  <c r="W85" i="2"/>
  <c r="V19" i="4"/>
  <c r="Z85" i="2"/>
  <c r="X85" i="2"/>
  <c r="AA85" i="2"/>
  <c r="V15" i="2"/>
  <c r="V24" i="2"/>
  <c r="X21" i="2"/>
  <c r="Y87" i="2"/>
  <c r="W87" i="2"/>
  <c r="V87" i="2"/>
  <c r="E85" i="2"/>
  <c r="H85" i="2"/>
  <c r="F85" i="2"/>
  <c r="F87" i="2"/>
  <c r="L85" i="2"/>
  <c r="D85" i="2"/>
  <c r="M85" i="2"/>
  <c r="N85" i="2"/>
  <c r="G85" i="2"/>
  <c r="I85" i="2"/>
  <c r="J85" i="2"/>
  <c r="H87" i="2"/>
  <c r="K85" i="2"/>
  <c r="O85" i="2"/>
  <c r="V20" i="4"/>
  <c r="V22" i="4"/>
  <c r="V10" i="4"/>
  <c r="V12" i="4"/>
  <c r="L10" i="4"/>
  <c r="X17" i="2" l="1"/>
  <c r="X19" i="2" s="1"/>
  <c r="X60" i="2"/>
  <c r="X24" i="2"/>
  <c r="V17" i="2"/>
  <c r="V19" i="2" s="1"/>
  <c r="V60" i="2"/>
  <c r="W15" i="2"/>
  <c r="W24" i="2"/>
  <c r="W60" i="2" l="1"/>
  <c r="W17" i="2"/>
  <c r="W19" i="2" s="1"/>
  <c r="P6" i="2" l="1"/>
  <c r="P12" i="2" s="1"/>
  <c r="E45" i="2" l="1"/>
  <c r="K45" i="2"/>
  <c r="H56" i="2"/>
  <c r="D40" i="2"/>
  <c r="E40" i="2"/>
  <c r="F40" i="2"/>
  <c r="G40" i="2"/>
  <c r="H40" i="2"/>
  <c r="I40" i="2"/>
  <c r="J40" i="2"/>
  <c r="K40" i="2"/>
  <c r="L40" i="2"/>
  <c r="M40" i="2"/>
  <c r="D45" i="2"/>
  <c r="F45" i="2"/>
  <c r="G45" i="2"/>
  <c r="H45" i="2"/>
  <c r="I45" i="2"/>
  <c r="J45" i="2"/>
  <c r="L45" i="2"/>
  <c r="M45" i="2"/>
  <c r="D56" i="2"/>
  <c r="E56" i="2"/>
  <c r="F56" i="2"/>
  <c r="G56" i="2"/>
  <c r="I56" i="2"/>
  <c r="J56" i="2"/>
  <c r="K56" i="2"/>
  <c r="L56" i="2"/>
  <c r="M56" i="2"/>
  <c r="P24" i="2" l="1"/>
  <c r="P15" i="2"/>
  <c r="M57" i="2"/>
  <c r="G57" i="2"/>
  <c r="I57" i="2"/>
  <c r="E57" i="2"/>
  <c r="D57" i="2"/>
  <c r="F57" i="2"/>
  <c r="H57" i="2"/>
  <c r="L57" i="2"/>
  <c r="K57" i="2"/>
  <c r="J57" i="2"/>
  <c r="O6" i="2"/>
  <c r="O12" i="2" s="1"/>
  <c r="Y4" i="2"/>
  <c r="AA4" i="2"/>
  <c r="AB4" i="2" l="1"/>
  <c r="AC4" i="2" s="1"/>
  <c r="AD4" i="2" s="1"/>
  <c r="AE4" i="2" s="1"/>
  <c r="AF4" i="2" s="1"/>
  <c r="AG4" i="2" s="1"/>
  <c r="AH4" i="2" s="1"/>
  <c r="AI4" i="2" s="1"/>
  <c r="AJ4" i="2" s="1"/>
  <c r="AK4" i="2" s="1"/>
  <c r="AL4" i="2" s="1"/>
  <c r="P17" i="2"/>
  <c r="P19" i="2" s="1"/>
  <c r="P60" i="2"/>
  <c r="AB6" i="2"/>
  <c r="O56" i="2"/>
  <c r="O45" i="2"/>
  <c r="O40" i="2"/>
  <c r="AC13" i="2"/>
  <c r="AD13" i="2" s="1"/>
  <c r="AE13" i="2" s="1"/>
  <c r="AF13" i="2" s="1"/>
  <c r="AG13" i="2" s="1"/>
  <c r="AH13" i="2" s="1"/>
  <c r="AI13" i="2" s="1"/>
  <c r="AJ13" i="2" s="1"/>
  <c r="AK13" i="2" s="1"/>
  <c r="AL13" i="2" s="1"/>
  <c r="AA14" i="2"/>
  <c r="Z13" i="2"/>
  <c r="AA13" i="2"/>
  <c r="AA9" i="2"/>
  <c r="AB9" i="2" s="1"/>
  <c r="AC9" i="2" s="1"/>
  <c r="AD9" i="2" s="1"/>
  <c r="AA10" i="2"/>
  <c r="AB10" i="2" s="1"/>
  <c r="AD10" i="2" s="1"/>
  <c r="AE10" i="2" s="1"/>
  <c r="AF10" i="2" s="1"/>
  <c r="AG10" i="2" s="1"/>
  <c r="AH10" i="2" s="1"/>
  <c r="AI10" i="2" s="1"/>
  <c r="AJ10" i="2" s="1"/>
  <c r="AK10" i="2" s="1"/>
  <c r="AL10" i="2" s="1"/>
  <c r="AA8" i="2"/>
  <c r="AB8" i="2" s="1"/>
  <c r="AC8" i="2" s="1"/>
  <c r="AD8" i="2" s="1"/>
  <c r="Z16" i="2"/>
  <c r="Z14" i="2"/>
  <c r="Z10" i="2"/>
  <c r="Z8" i="2"/>
  <c r="Z9" i="2"/>
  <c r="AA7" i="2"/>
  <c r="Z7" i="2"/>
  <c r="Z11" i="2" s="1"/>
  <c r="AA5" i="2"/>
  <c r="Z5" i="2"/>
  <c r="Y5" i="2"/>
  <c r="Y16" i="2"/>
  <c r="Y14" i="2"/>
  <c r="Y13" i="2"/>
  <c r="Y8" i="2"/>
  <c r="Y9" i="2"/>
  <c r="Y10" i="2"/>
  <c r="Y7" i="2"/>
  <c r="Y11" i="2" s="1"/>
  <c r="AA11" i="2" l="1"/>
  <c r="AB7" i="2"/>
  <c r="AE8" i="2"/>
  <c r="AF8" i="2" s="1"/>
  <c r="AG8" i="2" s="1"/>
  <c r="AH8" i="2" s="1"/>
  <c r="AI8" i="2" s="1"/>
  <c r="AJ8" i="2" s="1"/>
  <c r="AK8" i="2" s="1"/>
  <c r="AL8" i="2" s="1"/>
  <c r="AE9" i="2"/>
  <c r="AF9" i="2" s="1"/>
  <c r="AG9" i="2" s="1"/>
  <c r="AH9" i="2" s="1"/>
  <c r="AI9" i="2" s="1"/>
  <c r="AJ9" i="2" s="1"/>
  <c r="AK9" i="2" s="1"/>
  <c r="AL9" i="2" s="1"/>
  <c r="O57" i="2"/>
  <c r="E6" i="2"/>
  <c r="E12" i="2" s="1"/>
  <c r="F6" i="2"/>
  <c r="F12" i="2" s="1"/>
  <c r="G6" i="2"/>
  <c r="G12" i="2" s="1"/>
  <c r="K6" i="2"/>
  <c r="K12" i="2" s="1"/>
  <c r="I6" i="2"/>
  <c r="I12" i="2" s="1"/>
  <c r="M6" i="2"/>
  <c r="M12" i="2" s="1"/>
  <c r="N56" i="2"/>
  <c r="N45" i="2"/>
  <c r="N40" i="2"/>
  <c r="J6" i="2"/>
  <c r="J12" i="2" s="1"/>
  <c r="N6" i="2"/>
  <c r="N12" i="2" s="1"/>
  <c r="B6" i="2"/>
  <c r="AC7" i="2" l="1"/>
  <c r="AB11" i="2"/>
  <c r="AB12" i="2" s="1"/>
  <c r="N21" i="2"/>
  <c r="D6" i="2"/>
  <c r="Y6" i="2"/>
  <c r="Y12" i="2" s="1"/>
  <c r="L6" i="2"/>
  <c r="AA6" i="2"/>
  <c r="H6" i="2"/>
  <c r="H12" i="2" s="1"/>
  <c r="Z4" i="2"/>
  <c r="Z6" i="2" s="1"/>
  <c r="Z12" i="2" s="1"/>
  <c r="Z24" i="2" s="1"/>
  <c r="B9" i="2"/>
  <c r="O21" i="2"/>
  <c r="O15" i="2"/>
  <c r="O60" i="2" s="1"/>
  <c r="N57" i="2"/>
  <c r="E24" i="2"/>
  <c r="E15" i="2"/>
  <c r="J21" i="2"/>
  <c r="G24" i="2"/>
  <c r="G15" i="2"/>
  <c r="K24" i="2"/>
  <c r="K15" i="2"/>
  <c r="K21" i="2"/>
  <c r="I21" i="2"/>
  <c r="I15" i="2"/>
  <c r="M21" i="2"/>
  <c r="AB21" i="2" l="1"/>
  <c r="AA12" i="2"/>
  <c r="P21" i="2"/>
  <c r="L12" i="2"/>
  <c r="L24" i="2" s="1"/>
  <c r="D12" i="2"/>
  <c r="D24" i="2" s="1"/>
  <c r="AD7" i="2"/>
  <c r="AC11" i="2"/>
  <c r="AC23" i="2" s="1"/>
  <c r="Y21" i="2"/>
  <c r="E17" i="2"/>
  <c r="E19" i="2" s="1"/>
  <c r="E60" i="2"/>
  <c r="K17" i="2"/>
  <c r="K19" i="2" s="1"/>
  <c r="K60" i="2"/>
  <c r="G17" i="2"/>
  <c r="G19" i="2" s="1"/>
  <c r="G60" i="2"/>
  <c r="I17" i="2"/>
  <c r="I19" i="2" s="1"/>
  <c r="I60" i="2"/>
  <c r="L21" i="2"/>
  <c r="H21" i="2"/>
  <c r="Z21" i="2"/>
  <c r="Y24" i="2"/>
  <c r="Y15" i="2"/>
  <c r="AA21" i="2"/>
  <c r="O24" i="2"/>
  <c r="N15" i="2"/>
  <c r="N24" i="2"/>
  <c r="J15" i="2"/>
  <c r="J24" i="2"/>
  <c r="AA16" i="2"/>
  <c r="F24" i="2"/>
  <c r="F15" i="2"/>
  <c r="H24" i="2"/>
  <c r="H15" i="2"/>
  <c r="I24" i="2"/>
  <c r="M15" i="2"/>
  <c r="M24" i="2"/>
  <c r="D15" i="2" l="1"/>
  <c r="AE7" i="2"/>
  <c r="AD11" i="2"/>
  <c r="AD23" i="2" s="1"/>
  <c r="M17" i="2"/>
  <c r="M19" i="2" s="1"/>
  <c r="M60" i="2"/>
  <c r="N17" i="2"/>
  <c r="N19" i="2" s="1"/>
  <c r="N60" i="2"/>
  <c r="Y17" i="2"/>
  <c r="Y19" i="2" s="1"/>
  <c r="Y60" i="2"/>
  <c r="J17" i="2"/>
  <c r="J19" i="2" s="1"/>
  <c r="J60" i="2"/>
  <c r="H17" i="2"/>
  <c r="H19" i="2" s="1"/>
  <c r="H60" i="2"/>
  <c r="F17" i="2"/>
  <c r="F19" i="2" s="1"/>
  <c r="F60" i="2"/>
  <c r="D17" i="2"/>
  <c r="D19" i="2" s="1"/>
  <c r="D60" i="2"/>
  <c r="O17" i="2"/>
  <c r="O19" i="2" s="1"/>
  <c r="AC6" i="2"/>
  <c r="L15" i="2"/>
  <c r="Z15" i="2"/>
  <c r="F7" i="3"/>
  <c r="AA15" i="2"/>
  <c r="AA24" i="2"/>
  <c r="AC12" i="2" l="1"/>
  <c r="AC21" i="2"/>
  <c r="AF7" i="2"/>
  <c r="AE11" i="2"/>
  <c r="AE23" i="2" s="1"/>
  <c r="AA17" i="2"/>
  <c r="AA19" i="2" s="1"/>
  <c r="AA60" i="2"/>
  <c r="Z17" i="2"/>
  <c r="Z19" i="2" s="1"/>
  <c r="Z60" i="2"/>
  <c r="L17" i="2"/>
  <c r="L19" i="2" s="1"/>
  <c r="L60" i="2"/>
  <c r="AB15" i="2"/>
  <c r="AB24" i="2"/>
  <c r="G7" i="3"/>
  <c r="AD6" i="2"/>
  <c r="AD12" i="2" s="1"/>
  <c r="AG7" i="2" l="1"/>
  <c r="AF11" i="2"/>
  <c r="AF23" i="2" s="1"/>
  <c r="H7" i="3"/>
  <c r="AD21" i="2"/>
  <c r="AE6" i="2"/>
  <c r="AE12" i="2" s="1"/>
  <c r="AC24" i="2"/>
  <c r="AC15" i="2"/>
  <c r="AB16" i="2"/>
  <c r="AB17" i="2" s="1"/>
  <c r="AH7" i="2" l="1"/>
  <c r="AG11" i="2"/>
  <c r="AG23" i="2" s="1"/>
  <c r="AB19" i="2"/>
  <c r="F8" i="3" s="1"/>
  <c r="AE21" i="2"/>
  <c r="AC16" i="2"/>
  <c r="AC17" i="2" s="1"/>
  <c r="AF6" i="2"/>
  <c r="AF12" i="2" s="1"/>
  <c r="AD24" i="2"/>
  <c r="AD15" i="2"/>
  <c r="AI7" i="2" l="1"/>
  <c r="AH11" i="2"/>
  <c r="AH23" i="2" s="1"/>
  <c r="AC19" i="2"/>
  <c r="G8" i="3" s="1"/>
  <c r="AG6" i="2"/>
  <c r="AG12" i="2" s="1"/>
  <c r="AD16" i="2"/>
  <c r="AD17" i="2" s="1"/>
  <c r="AD19" i="2" s="1"/>
  <c r="H8" i="3" s="1"/>
  <c r="AE15" i="2"/>
  <c r="AE24" i="2"/>
  <c r="AF21" i="2"/>
  <c r="AJ7" i="2" l="1"/>
  <c r="AI11" i="2"/>
  <c r="AI23" i="2" s="1"/>
  <c r="AG21" i="2"/>
  <c r="AF15" i="2"/>
  <c r="AF24" i="2"/>
  <c r="AE16" i="2"/>
  <c r="AE17" i="2" s="1"/>
  <c r="AH6" i="2"/>
  <c r="AH12" i="2" s="1"/>
  <c r="AK7" i="2" l="1"/>
  <c r="AJ11" i="2"/>
  <c r="AJ23" i="2" s="1"/>
  <c r="AE19" i="2"/>
  <c r="AH21" i="2"/>
  <c r="AI6" i="2"/>
  <c r="AI12" i="2" s="1"/>
  <c r="AF16" i="2"/>
  <c r="AF17" i="2" s="1"/>
  <c r="AG15" i="2"/>
  <c r="AG24" i="2"/>
  <c r="AL7" i="2" l="1"/>
  <c r="AL11" i="2" s="1"/>
  <c r="AK11" i="2"/>
  <c r="AK23" i="2" s="1"/>
  <c r="AF19" i="2"/>
  <c r="AG16" i="2"/>
  <c r="AG17" i="2" s="1"/>
  <c r="AG19" i="2" s="1"/>
  <c r="AJ6" i="2"/>
  <c r="AJ12" i="2" s="1"/>
  <c r="AH24" i="2"/>
  <c r="AH15" i="2"/>
  <c r="AI21" i="2"/>
  <c r="AL23" i="2" l="1"/>
  <c r="AJ21" i="2"/>
  <c r="AI24" i="2"/>
  <c r="AI15" i="2"/>
  <c r="AK6" i="2"/>
  <c r="AK12" i="2" s="1"/>
  <c r="AH16" i="2"/>
  <c r="AH17" i="2" s="1"/>
  <c r="AH19" i="2" s="1"/>
  <c r="AK21" i="2" l="1"/>
  <c r="AL6" i="2"/>
  <c r="AL12" i="2" s="1"/>
  <c r="AI16" i="2"/>
  <c r="AI17" i="2" s="1"/>
  <c r="AI19" i="2" s="1"/>
  <c r="AJ24" i="2"/>
  <c r="AJ15" i="2"/>
  <c r="AJ16" i="2" l="1"/>
  <c r="AJ17" i="2" s="1"/>
  <c r="AJ19" i="2" s="1"/>
  <c r="AL21" i="2"/>
  <c r="AK24" i="2"/>
  <c r="AK15" i="2"/>
  <c r="AK16" i="2" l="1"/>
  <c r="AK17" i="2" s="1"/>
  <c r="AK19" i="2" s="1"/>
  <c r="AL15" i="2"/>
  <c r="AL24" i="2"/>
  <c r="AL16" i="2" l="1"/>
  <c r="AL17" i="2" s="1"/>
  <c r="AM17" i="2" s="1"/>
  <c r="AL19" i="2" l="1"/>
  <c r="AN17" i="2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  <c r="CM17" i="2" s="1"/>
  <c r="CN17" i="2" s="1"/>
  <c r="CO17" i="2" s="1"/>
  <c r="CP17" i="2" s="1"/>
  <c r="CQ17" i="2" s="1"/>
  <c r="CR17" i="2" s="1"/>
  <c r="CS17" i="2" s="1"/>
  <c r="CT17" i="2" s="1"/>
  <c r="CU17" i="2" s="1"/>
  <c r="CV17" i="2" s="1"/>
  <c r="CW17" i="2" s="1"/>
  <c r="CX17" i="2" s="1"/>
  <c r="CY17" i="2" s="1"/>
  <c r="CZ17" i="2" s="1"/>
  <c r="DA17" i="2" s="1"/>
  <c r="DB17" i="2" s="1"/>
  <c r="DC17" i="2" s="1"/>
  <c r="DD17" i="2" s="1"/>
  <c r="DE17" i="2" s="1"/>
  <c r="DF17" i="2" s="1"/>
  <c r="DG17" i="2" s="1"/>
  <c r="DH17" i="2" s="1"/>
  <c r="DI17" i="2" s="1"/>
  <c r="DJ17" i="2" s="1"/>
  <c r="DK17" i="2" s="1"/>
  <c r="DL17" i="2" s="1"/>
  <c r="DM17" i="2" s="1"/>
  <c r="DN17" i="2" s="1"/>
  <c r="DO17" i="2" s="1"/>
  <c r="DP17" i="2" s="1"/>
  <c r="DQ17" i="2" s="1"/>
  <c r="DR17" i="2" s="1"/>
  <c r="DS17" i="2" s="1"/>
  <c r="DT17" i="2" s="1"/>
  <c r="DU17" i="2" s="1"/>
  <c r="AO22" i="2" s="1"/>
  <c r="AO24" i="2" l="1"/>
  <c r="AO25" i="2" s="1"/>
</calcChain>
</file>

<file path=xl/sharedStrings.xml><?xml version="1.0" encoding="utf-8"?>
<sst xmlns="http://schemas.openxmlformats.org/spreadsheetml/2006/main" count="171" uniqueCount="141">
  <si>
    <t>Kapitalstruktur</t>
  </si>
  <si>
    <t>Price</t>
  </si>
  <si>
    <t>S/O</t>
  </si>
  <si>
    <t>MC NOKm</t>
  </si>
  <si>
    <t>Cash NOKm</t>
  </si>
  <si>
    <t>Debt NOKm</t>
  </si>
  <si>
    <t>EV NOKm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</si>
  <si>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</si>
  <si>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</si>
  <si>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</si>
  <si>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</si>
  <si>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</si>
  <si>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</si>
  <si>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</si>
  <si>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</si>
  <si>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</si>
  <si>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</si>
  <si>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</si>
  <si>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</si>
  <si>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Kid interiør</t>
  </si>
  <si>
    <t>Hemtex</t>
  </si>
  <si>
    <t>Revenue</t>
  </si>
  <si>
    <t>Total revenue</t>
  </si>
  <si>
    <t>Purchased goods/Change in inventory</t>
  </si>
  <si>
    <t>Employee benefits</t>
  </si>
  <si>
    <t>D/A</t>
  </si>
  <si>
    <t>Other opex</t>
  </si>
  <si>
    <t>Operating profit (EBIT)</t>
  </si>
  <si>
    <t>Net financial</t>
  </si>
  <si>
    <t>Share of JV</t>
  </si>
  <si>
    <t>PTP</t>
  </si>
  <si>
    <t>Tax</t>
  </si>
  <si>
    <t>Net income</t>
  </si>
  <si>
    <t>EPS</t>
  </si>
  <si>
    <t>Shares (thousands)</t>
  </si>
  <si>
    <t>Revenue y/y</t>
  </si>
  <si>
    <t>Goodwill</t>
  </si>
  <si>
    <t>Trademark</t>
  </si>
  <si>
    <t>Other intang assets</t>
  </si>
  <si>
    <t>Deferred tax assets</t>
  </si>
  <si>
    <t>Right of use assets</t>
  </si>
  <si>
    <t>Fixture and fittings, tools. Office machins</t>
  </si>
  <si>
    <t>Investments in JV</t>
  </si>
  <si>
    <t>Loans to assosciated JV</t>
  </si>
  <si>
    <t>Inventories</t>
  </si>
  <si>
    <t>Trade receivables</t>
  </si>
  <si>
    <t>Other receivables</t>
  </si>
  <si>
    <t>Derivatives</t>
  </si>
  <si>
    <t>Cash</t>
  </si>
  <si>
    <t>Total assets</t>
  </si>
  <si>
    <t>Share capital</t>
  </si>
  <si>
    <t>Share premium</t>
  </si>
  <si>
    <t>Other paid-in Equity</t>
  </si>
  <si>
    <t>other Equity</t>
  </si>
  <si>
    <t>Total Equity</t>
  </si>
  <si>
    <t>Deferred tax</t>
  </si>
  <si>
    <t>Trade payable</t>
  </si>
  <si>
    <t>Tax payable</t>
  </si>
  <si>
    <t>Public duties payable</t>
  </si>
  <si>
    <t>Total Liabilities</t>
  </si>
  <si>
    <t>Total E/L</t>
  </si>
  <si>
    <t>CFFO</t>
  </si>
  <si>
    <t>CFFI</t>
  </si>
  <si>
    <t>CFFF</t>
  </si>
  <si>
    <t>Liabilties to financial institutuions</t>
  </si>
  <si>
    <t>Liabilities to financial institutions</t>
  </si>
  <si>
    <t>Other short-term liabilities</t>
  </si>
  <si>
    <t>FY 2022</t>
  </si>
  <si>
    <t>FY 2023</t>
  </si>
  <si>
    <t>FY 2024</t>
  </si>
  <si>
    <t>FY 2025</t>
  </si>
  <si>
    <t>FY 2026</t>
  </si>
  <si>
    <t>FY 2027</t>
  </si>
  <si>
    <t>FY 2028</t>
  </si>
  <si>
    <t>FY 2029</t>
  </si>
  <si>
    <t>FY 2030</t>
  </si>
  <si>
    <t>FY 2031</t>
  </si>
  <si>
    <t>FY 2032</t>
  </si>
  <si>
    <t>FY 2033</t>
  </si>
  <si>
    <t>FY 2034</t>
  </si>
  <si>
    <t>FY 2035</t>
  </si>
  <si>
    <t>Press releases</t>
  </si>
  <si>
    <t>Operating margin</t>
  </si>
  <si>
    <t>other revenue</t>
  </si>
  <si>
    <t>EV/EBIT</t>
  </si>
  <si>
    <t>P/E</t>
  </si>
  <si>
    <t>Discount</t>
  </si>
  <si>
    <t>TV</t>
  </si>
  <si>
    <t>NPV</t>
  </si>
  <si>
    <t>NPV/Share</t>
  </si>
  <si>
    <t>Opp/nedside</t>
  </si>
  <si>
    <t>NOKm</t>
  </si>
  <si>
    <t>NOK million</t>
  </si>
  <si>
    <t>Balanse NOK million</t>
  </si>
  <si>
    <t>Lease long-term liabilties</t>
  </si>
  <si>
    <t>Lease short-term liabilities</t>
  </si>
  <si>
    <t>Growth %</t>
  </si>
  <si>
    <t>LFL inc online sales</t>
  </si>
  <si>
    <t>Gross profit</t>
  </si>
  <si>
    <t>Gross margin %</t>
  </si>
  <si>
    <t>EBITDA</t>
  </si>
  <si>
    <t>EBITDA %</t>
  </si>
  <si>
    <t>Shopping days</t>
  </si>
  <si>
    <t>Physical stores</t>
  </si>
  <si>
    <t>Q125</t>
  </si>
  <si>
    <t>Q225</t>
  </si>
  <si>
    <t>Q325</t>
  </si>
  <si>
    <t>Q425</t>
  </si>
  <si>
    <t>Cash flow NOK millioner</t>
  </si>
  <si>
    <t>19.02.25: Anders Lorentzon, sheriff over Hemtex, kjøper 4 950 aksjer, eier 4 950</t>
  </si>
  <si>
    <t>11.02.25: Marianne Fulford blir ny CEO, hun vil tre inn 1.mai 2025</t>
  </si>
  <si>
    <t>03.12.24: Kid selger varehus og kontorbygg i Vserige til STB nordic real estate. Solgt for 600 mill</t>
  </si>
  <si>
    <t>22.11.24: Kaja Myhra kjøper 600 aksjer, eier 600 etter dette</t>
  </si>
  <si>
    <t>12.11.24: Mads Kigen, CFO, kjøper 1 500 aksjer, eier 2 000 etter dette</t>
  </si>
  <si>
    <t>01.11.24: Andere Fjeld slutter som CEO</t>
  </si>
  <si>
    <t>Model PTP</t>
  </si>
  <si>
    <t>Reprted PTP</t>
  </si>
  <si>
    <t>Taxes paid</t>
  </si>
  <si>
    <t>Effexct of exchange fluctuations</t>
  </si>
  <si>
    <t>WC</t>
  </si>
  <si>
    <t>Capex</t>
  </si>
  <si>
    <t>Loans to associated comp</t>
  </si>
  <si>
    <t>Proceeds from long term loans</t>
  </si>
  <si>
    <t>Proceeds from revovlning credit</t>
  </si>
  <si>
    <t>Repayment of revolving credit</t>
  </si>
  <si>
    <t>Repayment of term loans</t>
  </si>
  <si>
    <t>Overdraft facility</t>
  </si>
  <si>
    <t>Lease payment for principal portion</t>
  </si>
  <si>
    <t>Dividend</t>
  </si>
  <si>
    <t>FX</t>
  </si>
  <si>
    <t>CIC</t>
  </si>
  <si>
    <t>FCF</t>
  </si>
  <si>
    <t>FY 2019</t>
  </si>
  <si>
    <t>FY 2020</t>
  </si>
  <si>
    <t>FY 2021</t>
  </si>
  <si>
    <t>Net interest expense</t>
  </si>
  <si>
    <t>Net ineterest</t>
  </si>
  <si>
    <t>Like-for-like y/y</t>
  </si>
  <si>
    <t>Total opex</t>
  </si>
  <si>
    <t>Opex y/y</t>
  </si>
  <si>
    <t>19.05.25: Jon Brannsten, styremedlem, kjøper 1 000 aksjer til 149,60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</si>
</sst>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\ %"/>
  </numFmts>
  <fonts count="1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3" fillId="0" borderId="0" xfId="0" applyFont="1"/>
    <xf numFmtId="2" fontId="2" fillId="0" borderId="1" xfId="0" applyNumberFormat="1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0" fontId="4" fillId="0" borderId="0" xfId="0" applyFont="1"/>
    <xf numFmtId="10" fontId="2" fillId="0" borderId="0" xfId="0" applyNumberFormat="1" applyFont="1"/>
    <xf numFmtId="10" fontId="2" fillId="0" borderId="1" xfId="0" applyNumberFormat="1" applyFont="1" applyBorder="1"/>
    <xf numFmtId="0" fontId="5" fillId="0" borderId="0" xfId="0" applyFont="1"/>
    <xf numFmtId="3" fontId="2" fillId="0" borderId="0" xfId="0" applyNumberFormat="1" applyFont="1"/>
    <xf numFmtId="3" fontId="2" fillId="0" borderId="1" xfId="0" applyNumberFormat="1" applyFont="1" applyBorder="1"/>
    <xf numFmtId="3" fontId="1" fillId="0" borderId="1" xfId="0" applyNumberFormat="1" applyFont="1" applyBorder="1"/>
    <xf numFmtId="165" fontId="2" fillId="0" borderId="0" xfId="0" applyNumberFormat="1" applyFont="1"/>
    <xf numFmtId="3" fontId="1" fillId="0" borderId="0" xfId="0" applyNumberFormat="1" applyFont="1"/>
    <xf numFmtId="2" fontId="2" fillId="0" borderId="0" xfId="0" applyNumberFormat="1" applyFont="1"/>
    <xf numFmtId="10" fontId="1" fillId="0" borderId="0" xfId="0" applyNumberFormat="1" applyFont="1"/>
    <xf numFmtId="10" fontId="1" fillId="0" borderId="1" xfId="0" applyNumberFormat="1" applyFont="1" applyBorder="1"/>
    <xf numFmtId="3" fontId="5" fillId="0" borderId="1" xfId="0" applyNumberFormat="1" applyFont="1" applyBorder="1"/>
    <xf numFmtId="0" fontId="2" fillId="0" borderId="2" xfId="0" applyFont="1" applyBorder="1"/>
    <xf numFmtId="164" fontId="2" fillId="0" borderId="0" xfId="0" applyNumberFormat="1" applyFont="1"/>
    <xf numFmtId="9" fontId="2" fillId="0" borderId="0" xfId="0" applyNumberFormat="1" applyFont="1"/>
    <xf numFmtId="164" fontId="1" fillId="0" borderId="0" xfId="0" applyNumberFormat="1" applyFont="1"/>
    <xf numFmtId="165" fontId="2" fillId="0" borderId="2" xfId="0" applyNumberFormat="1" applyFont="1" applyBorder="1"/>
    <xf numFmtId="166" fontId="1" fillId="0" borderId="0" xfId="0" applyNumberFormat="1" applyFont="1"/>
    <xf numFmtId="164" fontId="6" fillId="0" borderId="3" xfId="0" applyNumberFormat="1" applyFont="1" applyBorder="1"/>
    <xf numFmtId="0" fontId="7" fillId="0" borderId="3" xfId="0" applyFont="1" applyBorder="1"/>
    <xf numFmtId="3" fontId="5" fillId="0" borderId="0" xfId="0" applyNumberFormat="1" applyFont="1"/>
    <xf numFmtId="1" fontId="2" fillId="0" borderId="1" xfId="0" applyNumberFormat="1" applyFont="1" applyBorder="1"/>
    <xf numFmtId="0" fontId="8" fillId="0" borderId="0" xfId="0" applyFont="1"/>
    <xf numFmtId="0" fontId="4" fillId="0" borderId="0" xfId="0" applyFont="1" applyAlignment="1">
      <alignment horizontal="right"/>
    </xf>
    <xf numFmtId="0" fontId="9" fillId="0" borderId="0" xfId="0" applyFont="1"/>
    <xf numFmtId="166" fontId="9" fillId="0" borderId="0" xfId="0" applyNumberFormat="1" applyFont="1"/>
    <xf numFmtId="0" fontId="4" fillId="0" borderId="2" xfId="0" applyFont="1" applyBorder="1"/>
    <xf numFmtId="165" fontId="3" fillId="0" borderId="1" xfId="0" applyNumberFormat="1" applyFont="1" applyBorder="1"/>
    <xf numFmtId="0" fontId="10" fillId="0" borderId="0" xfId="0" applyFont="1"/>
    <xf numFmtId="166" fontId="9" fillId="0" borderId="4" xfId="0" applyNumberFormat="1" applyFont="1" applyBorder="1"/>
    <xf numFmtId="0" fontId="8" fillId="0" borderId="6" xfId="0" applyFont="1" applyBorder="1" applyAlignment="1">
      <alignment horizontal="right"/>
    </xf>
    <xf numFmtId="0" fontId="4" fillId="0" borderId="6" xfId="0" applyFont="1" applyBorder="1"/>
    <xf numFmtId="0" fontId="8" fillId="0" borderId="6" xfId="0" applyFont="1" applyBorder="1"/>
    <xf numFmtId="166" fontId="9" fillId="0" borderId="6" xfId="0" applyNumberFormat="1" applyFont="1" applyBorder="1"/>
    <xf numFmtId="0" fontId="4" fillId="0" borderId="5" xfId="0" applyFont="1" applyBorder="1"/>
    <xf numFmtId="0" fontId="4" fillId="0" borderId="1" xfId="0" applyFont="1" applyBorder="1"/>
    <xf numFmtId="166" fontId="9" fillId="0" borderId="1" xfId="0" applyNumberFormat="1" applyFont="1" applyBorder="1"/>
    <xf numFmtId="0" fontId="4" fillId="0" borderId="7" xfId="0" applyFont="1" applyBorder="1"/>
    <xf numFmtId="3" fontId="8" fillId="0" borderId="0" xfId="0" applyNumberFormat="1" applyFont="1"/>
    <xf numFmtId="3" fontId="8" fillId="0" borderId="6" xfId="0" applyNumberFormat="1" applyFont="1" applyBorder="1"/>
    <xf numFmtId="1" fontId="8" fillId="0" borderId="0" xfId="0" applyNumberFormat="1" applyFont="1"/>
    <xf numFmtId="1" fontId="8" fillId="0" borderId="6" xfId="0" applyNumberFormat="1" applyFont="1" applyBorder="1"/>
    <xf numFmtId="1" fontId="8" fillId="0" borderId="1" xfId="0" applyNumberFormat="1" applyFont="1" applyBorder="1"/>
    <xf numFmtId="3" fontId="8" fillId="0" borderId="1" xfId="0" applyNumberFormat="1" applyFont="1" applyBorder="1"/>
    <xf numFmtId="1" fontId="2" fillId="0" borderId="0" xfId="0" applyNumberFormat="1" applyFont="1"/>
    <xf numFmtId="166" fontId="1" fillId="0" borderId="1" xfId="0" applyNumberFormat="1" applyFont="1" applyBorder="1"/>
    <xf numFmtId="166" fontId="2" fillId="0" borderId="0" xfId="0" applyNumberFormat="1" applyFont="1"/>
    <xf numFmtId="166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330200</xdr:colOff>
      <xdr:row>2</xdr:row>
      <xdr:rowOff>0</xdr:rowOff>
    </xdr:from>
    <xdr:to>
      <xdr:col>18</xdr:col>
      <xdr:colOff>455356</xdr:colOff>
      <xdr:row>30</xdr:row>
      <xdr:rowOff>76200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B2DF9824-A801-90D6-EDDD-815254EA5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14100" y="482600"/>
          <a:ext cx="4252656" cy="6832600"/>
        </a:xfrm>
        <a:prstGeom prst="rect">
          <a:avLst/>
        </a:prstGeom>
      </xdr:spPr>
    </xdr:pic>
    <xdr:clientData/>
  </xdr:twoCellAnchor>
  <xdr:twoCellAnchor editAs="oneCell">
    <xdr:from>
      <xdr:col>0</xdr:col>
      <xdr:colOff>177800</xdr:colOff>
      <xdr:row>0</xdr:row>
      <xdr:rowOff>101600</xdr:rowOff>
    </xdr:from>
    <xdr:to>
      <xdr:col>12</xdr:col>
      <xdr:colOff>80896</xdr:colOff>
      <xdr:row>14</xdr:row>
      <xdr:rowOff>25400</xdr:rowOff>
    </xdr:to>
    <xdr:pic>
      <xdr:nvPicPr>
        <xdr:cNvPr id="3" name="Bilde 2">
          <a:extLst>
            <a:ext uri="{FF2B5EF4-FFF2-40B4-BE49-F238E27FC236}">
              <a16:creationId xmlns:a16="http://schemas.microsoft.com/office/drawing/2014/main" id="{3C076A50-DCAD-E7EE-5D11-908C08A539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800" y="101600"/>
          <a:ext cx="9961496" cy="330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– 2022-tema">
  <a:themeElements>
    <a:clrScheme name="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5F3DF-A903-9D43-9470-5629624CD829}">
  <dimension ref="A1:N27"/>
  <sheetViews>
    <sheetView showGridLines="0" workbookViewId="0">
      <selection activeCell="A22" sqref="A22"/>
    </sheetView>
  </sheetViews>
  <sheetFormatPr baseColWidth="10" defaultRowHeight="19" x14ac:dyDescent="0.25"/>
  <cols>
    <col min="1" max="1" width="12.83203125" style="3" bestFit="1" customWidth="1"/>
    <col min="2" max="16384" width="10.83203125" style="3"/>
  </cols>
  <sheetData>
    <row r="1" spans="14:14" x14ac:dyDescent="0.25">
      <c r="N1" s="1" t="s">
        <v>104</v>
      </c>
    </row>
    <row r="20" spans="1:1" x14ac:dyDescent="0.25">
      <c r="A20" s="1" t="s">
        <v>81</v>
      </c>
    </row>
    <row r="21" spans="1:1" x14ac:dyDescent="0.25">
      <c r="A21" s="3" t="s">
        <v>140</v>
      </c>
    </row>
    <row r="22" spans="1:1" x14ac:dyDescent="0.25">
      <c r="A22" s="3" t="s">
        <v>109</v>
      </c>
    </row>
    <row r="23" spans="1:1" x14ac:dyDescent="0.25">
      <c r="A23" s="3" t="s">
        <v>110</v>
      </c>
    </row>
    <row r="24" spans="1:1" x14ac:dyDescent="0.25">
      <c r="A24" s="3" t="s">
        <v>111</v>
      </c>
    </row>
    <row r="25" spans="1:1" x14ac:dyDescent="0.25">
      <c r="A25" s="3" t="s">
        <v>112</v>
      </c>
    </row>
    <row r="26" spans="1:1" x14ac:dyDescent="0.25">
      <c r="A26" s="3" t="s">
        <v>113</v>
      </c>
    </row>
    <row r="27" spans="1:1" x14ac:dyDescent="0.25">
      <c r="A27" s="3" t="s">
        <v>114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84289-3A77-D440-A429-4F2F309015F1}">
  <dimension ref="A3:DU88"/>
  <sheetViews>
    <sheetView showGridLines="0" tabSelected="1" workbookViewId="0">
      <pane xSplit="3" ySplit="3" topLeftCell="T4" activePane="bottomRight" state="frozen"/>
      <selection pane="topRight" activeCell="D1" sqref="D1"/>
      <selection pane="bottomLeft" activeCell="A4" sqref="A4"/>
      <selection pane="bottomRight" activeCell="AH30" sqref="AH30"/>
    </sheetView>
  </sheetViews>
  <sheetFormatPr baseColWidth="10" defaultRowHeight="19" x14ac:dyDescent="0.25"/>
  <cols>
    <col min="1" max="1" width="16.33203125" style="3" bestFit="1" customWidth="1"/>
    <col min="2" max="2" width="10.83203125" style="2"/>
    <col min="3" max="3" width="38.6640625" style="3" customWidth="1"/>
    <col min="4" max="13" width="10.83203125" style="3"/>
    <col min="14" max="14" width="11.5" style="3" bestFit="1" customWidth="1"/>
    <col min="15" max="15" width="10.83203125" style="3"/>
    <col min="16" max="16" width="10.83203125" style="2"/>
    <col min="17" max="27" width="10.83203125" style="3"/>
    <col min="28" max="28" width="10.83203125" style="2"/>
    <col min="29" max="36" width="10.83203125" style="3"/>
    <col min="37" max="38" width="11.5" style="3" bestFit="1" customWidth="1"/>
    <col min="39" max="39" width="10.83203125" style="3"/>
    <col min="40" max="40" width="14.1640625" style="3" bestFit="1" customWidth="1"/>
    <col min="41" max="41" width="16.33203125" style="3" bestFit="1" customWidth="1"/>
    <col min="42" max="16384" width="10.83203125" style="3"/>
  </cols>
  <sheetData>
    <row r="3" spans="1:65" x14ac:dyDescent="0.25">
      <c r="A3" s="1" t="s">
        <v>0</v>
      </c>
      <c r="C3" s="3" t="s">
        <v>92</v>
      </c>
      <c r="D3" s="8" t="s">
        <v>7</v>
      </c>
      <c r="E3" s="8" t="s">
        <v>8</v>
      </c>
      <c r="F3" s="8" t="s">
        <v>9</v>
      </c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L3" s="8" t="s">
        <v>15</v>
      </c>
      <c r="M3" s="8" t="s">
        <v>16</v>
      </c>
      <c r="N3" s="8" t="s">
        <v>17</v>
      </c>
      <c r="O3" s="8" t="s">
        <v>18</v>
      </c>
      <c r="P3" s="9" t="s">
        <v>104</v>
      </c>
      <c r="Q3" s="8" t="s">
        <v>105</v>
      </c>
      <c r="R3" s="8" t="s">
        <v>106</v>
      </c>
      <c r="S3" s="8" t="s">
        <v>107</v>
      </c>
      <c r="V3" s="8" t="s">
        <v>132</v>
      </c>
      <c r="W3" s="8" t="s">
        <v>133</v>
      </c>
      <c r="X3" s="8" t="s">
        <v>134</v>
      </c>
      <c r="Y3" s="8" t="s">
        <v>67</v>
      </c>
      <c r="Z3" s="8" t="s">
        <v>68</v>
      </c>
      <c r="AA3" s="8" t="s">
        <v>69</v>
      </c>
      <c r="AB3" s="9" t="s">
        <v>70</v>
      </c>
      <c r="AC3" s="8" t="s">
        <v>71</v>
      </c>
      <c r="AD3" s="8" t="s">
        <v>72</v>
      </c>
      <c r="AE3" s="8" t="s">
        <v>73</v>
      </c>
      <c r="AF3" s="8" t="s">
        <v>74</v>
      </c>
      <c r="AG3" s="8" t="s">
        <v>75</v>
      </c>
      <c r="AH3" s="8" t="s">
        <v>76</v>
      </c>
      <c r="AI3" s="8" t="s">
        <v>77</v>
      </c>
      <c r="AJ3" s="8" t="s">
        <v>78</v>
      </c>
      <c r="AK3" s="8" t="s">
        <v>79</v>
      </c>
      <c r="AL3" s="8" t="s">
        <v>80</v>
      </c>
    </row>
    <row r="4" spans="1:65" s="14" customFormat="1" x14ac:dyDescent="0.25">
      <c r="A4" s="3" t="s">
        <v>1</v>
      </c>
      <c r="B4" s="2">
        <v>150</v>
      </c>
      <c r="C4" s="3" t="s">
        <v>21</v>
      </c>
      <c r="D4" s="14">
        <v>605</v>
      </c>
      <c r="E4" s="14">
        <v>730</v>
      </c>
      <c r="F4" s="14">
        <v>735</v>
      </c>
      <c r="G4" s="14">
        <v>1109</v>
      </c>
      <c r="H4" s="14">
        <v>605</v>
      </c>
      <c r="I4" s="14">
        <v>724</v>
      </c>
      <c r="J4" s="14">
        <v>831</v>
      </c>
      <c r="K4" s="14">
        <v>1253</v>
      </c>
      <c r="L4" s="14">
        <v>696</v>
      </c>
      <c r="M4" s="14">
        <v>798</v>
      </c>
      <c r="N4" s="14">
        <v>887</v>
      </c>
      <c r="O4" s="14">
        <v>1404</v>
      </c>
      <c r="P4" s="15">
        <v>733.7</v>
      </c>
      <c r="Q4" s="3"/>
      <c r="R4" s="3"/>
      <c r="S4" s="3"/>
      <c r="T4" s="3"/>
      <c r="U4" s="3"/>
      <c r="V4" s="14">
        <v>2342.1799999999998</v>
      </c>
      <c r="W4" s="14">
        <v>2994.6579999999999</v>
      </c>
      <c r="X4" s="14">
        <v>3097.096</v>
      </c>
      <c r="Y4" s="14">
        <f>SUM(D4:G4)</f>
        <v>3179</v>
      </c>
      <c r="Z4" s="14">
        <f>SUM(H4:K4)</f>
        <v>3413</v>
      </c>
      <c r="AA4" s="14">
        <f>SUM(L4:O4)</f>
        <v>3785</v>
      </c>
      <c r="AB4" s="15">
        <f>AA4*1.1</f>
        <v>4163.5</v>
      </c>
      <c r="AC4" s="14">
        <f>AB4*1.095</f>
        <v>4559.0325000000003</v>
      </c>
      <c r="AD4" s="14">
        <f t="shared" ref="AD4:AE4" si="0">AC4*1.095</f>
        <v>4992.1405875</v>
      </c>
      <c r="AE4" s="14">
        <f t="shared" si="0"/>
        <v>5466.3939433124997</v>
      </c>
      <c r="AF4" s="14">
        <f t="shared" ref="AF4:AL4" si="1">AE4*1.09</f>
        <v>5958.3693982106251</v>
      </c>
      <c r="AG4" s="14">
        <f t="shared" si="1"/>
        <v>6494.622644049582</v>
      </c>
      <c r="AH4" s="14">
        <f t="shared" si="1"/>
        <v>7079.1386820140451</v>
      </c>
      <c r="AI4" s="14">
        <f t="shared" si="1"/>
        <v>7716.2611633953102</v>
      </c>
      <c r="AJ4" s="14">
        <f t="shared" si="1"/>
        <v>8410.7246681008892</v>
      </c>
      <c r="AK4" s="14">
        <f t="shared" si="1"/>
        <v>9167.6898882299702</v>
      </c>
      <c r="AL4" s="14">
        <f t="shared" si="1"/>
        <v>9992.7819781706676</v>
      </c>
    </row>
    <row r="5" spans="1:65" x14ac:dyDescent="0.25">
      <c r="A5" s="3" t="s">
        <v>2</v>
      </c>
      <c r="B5" s="6">
        <v>40.645161999999999</v>
      </c>
      <c r="C5" s="3" t="s">
        <v>83</v>
      </c>
      <c r="D5" s="14">
        <v>0.69899999999999995</v>
      </c>
      <c r="E5" s="14">
        <v>1.7949999999999999</v>
      </c>
      <c r="F5" s="14">
        <v>1.532</v>
      </c>
      <c r="G5" s="14">
        <v>1.2010000000000001</v>
      </c>
      <c r="H5" s="14">
        <v>0.623</v>
      </c>
      <c r="I5" s="14">
        <v>0.95199999999999996</v>
      </c>
      <c r="J5" s="14">
        <v>1.0069999999999999</v>
      </c>
      <c r="K5" s="14">
        <v>1.661</v>
      </c>
      <c r="L5" s="14">
        <v>0.84399999999999997</v>
      </c>
      <c r="M5" s="14">
        <v>1.333</v>
      </c>
      <c r="N5" s="14">
        <v>1.304</v>
      </c>
      <c r="O5" s="55">
        <v>1.357</v>
      </c>
      <c r="P5" s="32">
        <v>0</v>
      </c>
      <c r="V5" s="14">
        <v>2</v>
      </c>
      <c r="W5" s="14">
        <v>1.6</v>
      </c>
      <c r="X5" s="14">
        <v>10</v>
      </c>
      <c r="Y5" s="14">
        <f>SUM(D5:G5)</f>
        <v>5.2270000000000003</v>
      </c>
      <c r="Z5" s="14">
        <f>SUM(H5:K5)</f>
        <v>4.2430000000000003</v>
      </c>
      <c r="AA5" s="14">
        <f>SUM(L5:O5)</f>
        <v>4.8380000000000001</v>
      </c>
      <c r="AB5" s="2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</row>
    <row r="6" spans="1:65" x14ac:dyDescent="0.25">
      <c r="A6" s="3" t="s">
        <v>3</v>
      </c>
      <c r="B6" s="7">
        <f>B4*B5</f>
        <v>6096.7743</v>
      </c>
      <c r="C6" s="1" t="s">
        <v>22</v>
      </c>
      <c r="D6" s="18">
        <f t="shared" ref="D6:N6" si="2">SUM(D4:D5)</f>
        <v>605.69899999999996</v>
      </c>
      <c r="E6" s="18">
        <f t="shared" si="2"/>
        <v>731.79499999999996</v>
      </c>
      <c r="F6" s="18">
        <f t="shared" si="2"/>
        <v>736.53200000000004</v>
      </c>
      <c r="G6" s="18">
        <f t="shared" si="2"/>
        <v>1110.201</v>
      </c>
      <c r="H6" s="18">
        <f t="shared" si="2"/>
        <v>605.62300000000005</v>
      </c>
      <c r="I6" s="18">
        <f t="shared" si="2"/>
        <v>724.952</v>
      </c>
      <c r="J6" s="18">
        <f t="shared" si="2"/>
        <v>832.00699999999995</v>
      </c>
      <c r="K6" s="18">
        <f t="shared" si="2"/>
        <v>1254.6610000000001</v>
      </c>
      <c r="L6" s="18">
        <f t="shared" si="2"/>
        <v>696.84400000000005</v>
      </c>
      <c r="M6" s="18">
        <f t="shared" si="2"/>
        <v>799.33299999999997</v>
      </c>
      <c r="N6" s="18">
        <f t="shared" si="2"/>
        <v>888.30399999999997</v>
      </c>
      <c r="O6" s="18">
        <f>SUM(O4:O5)</f>
        <v>1405.357</v>
      </c>
      <c r="P6" s="16">
        <f>SUM(P4:P5)</f>
        <v>733.7</v>
      </c>
      <c r="V6" s="18">
        <f>SUM(V4:V5)</f>
        <v>2344.1799999999998</v>
      </c>
      <c r="W6" s="18">
        <f>SUM(W4:W5)</f>
        <v>2996.2579999999998</v>
      </c>
      <c r="X6" s="18">
        <f>SUM(X4:X5)</f>
        <v>3107.096</v>
      </c>
      <c r="Y6" s="18">
        <f>SUM(Y4:Y5)</f>
        <v>3184.2269999999999</v>
      </c>
      <c r="Z6" s="18">
        <f t="shared" ref="Z6" si="3">SUM(Z4:Z5)</f>
        <v>3417.2429999999999</v>
      </c>
      <c r="AA6" s="18">
        <f>SUM(AA4:AA5)</f>
        <v>3789.8380000000002</v>
      </c>
      <c r="AB6" s="16">
        <f>SUM(AB4:AB5)</f>
        <v>4163.5</v>
      </c>
      <c r="AC6" s="18">
        <f t="shared" ref="AC6:AL6" si="4">SUM(AC4:AC5)</f>
        <v>4559.0325000000003</v>
      </c>
      <c r="AD6" s="18">
        <f t="shared" si="4"/>
        <v>4992.1405875</v>
      </c>
      <c r="AE6" s="18">
        <f t="shared" si="4"/>
        <v>5466.3939433124997</v>
      </c>
      <c r="AF6" s="18">
        <f t="shared" si="4"/>
        <v>5958.3693982106251</v>
      </c>
      <c r="AG6" s="18">
        <f t="shared" si="4"/>
        <v>6494.622644049582</v>
      </c>
      <c r="AH6" s="18">
        <f t="shared" si="4"/>
        <v>7079.1386820140451</v>
      </c>
      <c r="AI6" s="18">
        <f t="shared" si="4"/>
        <v>7716.2611633953102</v>
      </c>
      <c r="AJ6" s="18">
        <f t="shared" si="4"/>
        <v>8410.7246681008892</v>
      </c>
      <c r="AK6" s="18">
        <f t="shared" si="4"/>
        <v>9167.6898882299702</v>
      </c>
      <c r="AL6" s="18">
        <f t="shared" si="4"/>
        <v>9992.7819781706676</v>
      </c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</row>
    <row r="7" spans="1:65" s="14" customFormat="1" x14ac:dyDescent="0.25">
      <c r="A7" s="3" t="s">
        <v>4</v>
      </c>
      <c r="B7" s="15">
        <v>0</v>
      </c>
      <c r="C7" s="3" t="s">
        <v>23</v>
      </c>
      <c r="D7" s="14">
        <v>-234.501</v>
      </c>
      <c r="E7" s="14">
        <v>-292.08199999999999</v>
      </c>
      <c r="F7" s="14">
        <v>-326.89800000000002</v>
      </c>
      <c r="G7" s="14">
        <v>-478.13200000000001</v>
      </c>
      <c r="H7" s="14">
        <v>-266.19799999999998</v>
      </c>
      <c r="I7" s="14">
        <v>-273.82799999999997</v>
      </c>
      <c r="J7" s="14">
        <v>-315.14800000000002</v>
      </c>
      <c r="K7" s="14">
        <v>-459.10599999999999</v>
      </c>
      <c r="L7" s="14">
        <v>-268.238</v>
      </c>
      <c r="M7" s="14">
        <v>-293.37099999999998</v>
      </c>
      <c r="N7" s="14">
        <v>-336.30799999999999</v>
      </c>
      <c r="O7" s="14">
        <v>-545.30700000000002</v>
      </c>
      <c r="P7" s="15">
        <v>-289.38299999999998</v>
      </c>
      <c r="Q7" s="3"/>
      <c r="R7" s="3"/>
      <c r="S7" s="3"/>
      <c r="T7" s="3"/>
      <c r="U7" s="3"/>
      <c r="V7" s="14">
        <f>-1019.79+94.124</f>
        <v>-925.66599999999994</v>
      </c>
      <c r="W7" s="14">
        <f>-1128.69+15.677</f>
        <v>-1113.0130000000001</v>
      </c>
      <c r="X7" s="14">
        <v>-1159.5060000000001</v>
      </c>
      <c r="Y7" s="14">
        <f>SUM(D7:G7)</f>
        <v>-1331.6130000000001</v>
      </c>
      <c r="Z7" s="14">
        <f>SUM(H7:K7)</f>
        <v>-1314.28</v>
      </c>
      <c r="AA7" s="14">
        <f>SUM(L7:O7)</f>
        <v>-1443.2239999999999</v>
      </c>
      <c r="AB7" s="15">
        <f>AA7*1.08</f>
        <v>-1558.68192</v>
      </c>
      <c r="AC7" s="14">
        <f>AB7*1.09</f>
        <v>-1698.9632928000001</v>
      </c>
      <c r="AD7" s="14">
        <f>AC7*1.1</f>
        <v>-1868.8596220800002</v>
      </c>
      <c r="AE7" s="14">
        <f>AD7*1.1</f>
        <v>-2055.7455842880004</v>
      </c>
      <c r="AF7" s="14">
        <f>AE7*1.1</f>
        <v>-2261.3201427168005</v>
      </c>
      <c r="AG7" s="14">
        <f t="shared" ref="AG7:AL7" si="5">AF7*1.1</f>
        <v>-2487.452156988481</v>
      </c>
      <c r="AH7" s="14">
        <f t="shared" si="5"/>
        <v>-2736.1973726873293</v>
      </c>
      <c r="AI7" s="14">
        <f t="shared" si="5"/>
        <v>-3009.8171099560627</v>
      </c>
      <c r="AJ7" s="14">
        <f t="shared" si="5"/>
        <v>-3310.7988209516693</v>
      </c>
      <c r="AK7" s="14">
        <f t="shared" si="5"/>
        <v>-3641.8787030468366</v>
      </c>
      <c r="AL7" s="14">
        <f t="shared" si="5"/>
        <v>-4006.0665733515207</v>
      </c>
    </row>
    <row r="8" spans="1:65" x14ac:dyDescent="0.25">
      <c r="A8" s="3" t="s">
        <v>5</v>
      </c>
      <c r="B8" s="7">
        <f>P48+P50</f>
        <v>649.94499999999994</v>
      </c>
      <c r="C8" s="3" t="s">
        <v>24</v>
      </c>
      <c r="D8" s="14">
        <v>-153.13399999999999</v>
      </c>
      <c r="E8" s="14">
        <v>-155.88800000000001</v>
      </c>
      <c r="F8" s="14">
        <v>-144.47999999999999</v>
      </c>
      <c r="G8" s="14">
        <v>-176.39</v>
      </c>
      <c r="H8" s="14">
        <v>-160.85499999999999</v>
      </c>
      <c r="I8" s="14">
        <v>-162.33099999999999</v>
      </c>
      <c r="J8" s="14">
        <v>-161.495</v>
      </c>
      <c r="K8" s="14">
        <v>-220.04</v>
      </c>
      <c r="L8" s="14">
        <v>-178.47</v>
      </c>
      <c r="M8" s="14">
        <v>-179.554</v>
      </c>
      <c r="N8" s="14">
        <v>-188.32900000000001</v>
      </c>
      <c r="O8" s="14">
        <v>-236.15799999999999</v>
      </c>
      <c r="P8" s="15">
        <v>-191.529</v>
      </c>
      <c r="V8" s="14">
        <v>-503.49400000000003</v>
      </c>
      <c r="W8" s="14">
        <v>-607.11900000000003</v>
      </c>
      <c r="X8" s="14">
        <v>-617.29999999999995</v>
      </c>
      <c r="Y8" s="14">
        <f t="shared" ref="Y8:Y10" si="6">SUM(D8:G8)</f>
        <v>-629.89199999999994</v>
      </c>
      <c r="Z8" s="14">
        <f>SUM(H8:K8)</f>
        <v>-704.721</v>
      </c>
      <c r="AA8" s="14">
        <f>SUM(L8:O8)</f>
        <v>-782.51100000000008</v>
      </c>
      <c r="AB8" s="15">
        <f>AA8*1.09</f>
        <v>-852.93699000000015</v>
      </c>
      <c r="AC8" s="14">
        <f t="shared" ref="AC8:AD8" si="7">AB8*1.09</f>
        <v>-929.70131910000021</v>
      </c>
      <c r="AD8" s="14">
        <f t="shared" si="7"/>
        <v>-1013.3744378190003</v>
      </c>
      <c r="AE8" s="14">
        <f>AD8*1.08</f>
        <v>-1094.4443928445203</v>
      </c>
      <c r="AF8" s="14">
        <f>AE8*1.07</f>
        <v>-1171.0555003436368</v>
      </c>
      <c r="AG8" s="14">
        <f t="shared" ref="AG8:AL8" si="8">AF8*1.07</f>
        <v>-1253.0293853676915</v>
      </c>
      <c r="AH8" s="14">
        <f t="shared" si="8"/>
        <v>-1340.74144234343</v>
      </c>
      <c r="AI8" s="14">
        <f t="shared" si="8"/>
        <v>-1434.5933433074701</v>
      </c>
      <c r="AJ8" s="14">
        <f t="shared" si="8"/>
        <v>-1535.0148773389931</v>
      </c>
      <c r="AK8" s="14">
        <f t="shared" si="8"/>
        <v>-1642.4659187527227</v>
      </c>
      <c r="AL8" s="14">
        <f t="shared" si="8"/>
        <v>-1757.4385330654134</v>
      </c>
    </row>
    <row r="9" spans="1:65" x14ac:dyDescent="0.25">
      <c r="A9" s="4" t="s">
        <v>6</v>
      </c>
      <c r="B9" s="38">
        <f>B6-B7+B8</f>
        <v>6746.7192999999997</v>
      </c>
      <c r="C9" s="3" t="s">
        <v>25</v>
      </c>
      <c r="D9" s="14">
        <v>-86.667000000000002</v>
      </c>
      <c r="E9" s="14">
        <v>-87.798000000000002</v>
      </c>
      <c r="F9" s="14">
        <v>-86.421999999999997</v>
      </c>
      <c r="G9" s="14">
        <v>-87.408000000000001</v>
      </c>
      <c r="H9" s="14">
        <v>-95.817999999999998</v>
      </c>
      <c r="I9" s="14">
        <v>-100.833</v>
      </c>
      <c r="J9" s="14">
        <v>-101.774</v>
      </c>
      <c r="K9" s="14">
        <v>-105.711</v>
      </c>
      <c r="L9" s="14">
        <v>-114.974</v>
      </c>
      <c r="M9" s="14">
        <v>-118.16</v>
      </c>
      <c r="N9" s="14">
        <v>-118.19499999999999</v>
      </c>
      <c r="O9" s="14">
        <v>-120.334</v>
      </c>
      <c r="P9" s="15">
        <v>-131.66300000000001</v>
      </c>
      <c r="V9" s="14">
        <v>-264.97399999999999</v>
      </c>
      <c r="W9" s="14">
        <v>-340.84</v>
      </c>
      <c r="X9" s="14">
        <v>-336.37599999999998</v>
      </c>
      <c r="Y9" s="14">
        <f t="shared" si="6"/>
        <v>-348.29500000000002</v>
      </c>
      <c r="Z9" s="14">
        <f t="shared" ref="Z9" si="9">SUM(H9:K9)</f>
        <v>-404.13600000000002</v>
      </c>
      <c r="AA9" s="14">
        <f t="shared" ref="AA9:AA10" si="10">SUM(L9:O9)</f>
        <v>-471.66300000000001</v>
      </c>
      <c r="AB9" s="15">
        <f>AA9*1.12</f>
        <v>-528.26256000000001</v>
      </c>
      <c r="AC9" s="14">
        <f t="shared" ref="AC9:AD9" si="11">AB9*1.12</f>
        <v>-591.6540672000001</v>
      </c>
      <c r="AD9" s="14">
        <f t="shared" si="11"/>
        <v>-662.65255526400017</v>
      </c>
      <c r="AE9" s="14">
        <f>AD9*1.1</f>
        <v>-728.91781079040027</v>
      </c>
      <c r="AF9" s="14">
        <f>AE9*1.09</f>
        <v>-794.52041376153636</v>
      </c>
      <c r="AG9" s="14">
        <f t="shared" ref="AG9:AL9" si="12">AF9*1.09</f>
        <v>-866.02725100007467</v>
      </c>
      <c r="AH9" s="14">
        <f t="shared" si="12"/>
        <v>-943.96970359008151</v>
      </c>
      <c r="AI9" s="14">
        <f t="shared" si="12"/>
        <v>-1028.9269769131888</v>
      </c>
      <c r="AJ9" s="14">
        <f t="shared" si="12"/>
        <v>-1121.530404835376</v>
      </c>
      <c r="AK9" s="14">
        <f t="shared" si="12"/>
        <v>-1222.46814127056</v>
      </c>
      <c r="AL9" s="14">
        <f t="shared" si="12"/>
        <v>-1332.4902739849103</v>
      </c>
    </row>
    <row r="10" spans="1:65" x14ac:dyDescent="0.25">
      <c r="C10" s="3" t="s">
        <v>26</v>
      </c>
      <c r="D10" s="14">
        <v>-107.256</v>
      </c>
      <c r="E10" s="14">
        <v>-116.28100000000001</v>
      </c>
      <c r="F10" s="14">
        <v>-122.143</v>
      </c>
      <c r="G10" s="14">
        <v>-158.51900000000001</v>
      </c>
      <c r="H10" s="14">
        <v>-122.32899999999999</v>
      </c>
      <c r="I10" s="14">
        <v>-122.31100000000001</v>
      </c>
      <c r="J10" s="14">
        <v>-113.923</v>
      </c>
      <c r="K10" s="14">
        <v>-155.80799999999999</v>
      </c>
      <c r="L10" s="14">
        <v>-126.113</v>
      </c>
      <c r="M10" s="14">
        <v>-124.739</v>
      </c>
      <c r="N10" s="14">
        <v>-127.19499999999999</v>
      </c>
      <c r="O10" s="14">
        <v>-159.03700000000001</v>
      </c>
      <c r="P10" s="15">
        <v>-138.291</v>
      </c>
      <c r="V10" s="14">
        <v>-348.15300000000002</v>
      </c>
      <c r="W10" s="14">
        <v>-452.65</v>
      </c>
      <c r="X10" s="14">
        <v>-452.73</v>
      </c>
      <c r="Y10" s="14">
        <f t="shared" si="6"/>
        <v>-504.19900000000001</v>
      </c>
      <c r="Z10" s="14">
        <f>SUM(H10:K10)</f>
        <v>-514.37099999999998</v>
      </c>
      <c r="AA10" s="14">
        <f t="shared" si="10"/>
        <v>-537.08400000000006</v>
      </c>
      <c r="AB10" s="15">
        <f>AA10*1.13</f>
        <v>-606.90492000000006</v>
      </c>
      <c r="AC10" s="14">
        <f t="shared" ref="AC10:AE10" si="13">AB10*1.13</f>
        <v>-685.8025596</v>
      </c>
      <c r="AD10" s="14">
        <f t="shared" si="13"/>
        <v>-774.95689234799988</v>
      </c>
      <c r="AE10" s="14">
        <f t="shared" si="13"/>
        <v>-875.70128835323976</v>
      </c>
      <c r="AF10" s="14">
        <f>AE10*1.08</f>
        <v>-945.75739142149905</v>
      </c>
      <c r="AG10" s="14">
        <f t="shared" ref="AG10:AL10" si="14">AF10*1.08</f>
        <v>-1021.4179827352191</v>
      </c>
      <c r="AH10" s="14">
        <f t="shared" si="14"/>
        <v>-1103.1314213540368</v>
      </c>
      <c r="AI10" s="14">
        <f t="shared" si="14"/>
        <v>-1191.3819350623598</v>
      </c>
      <c r="AJ10" s="14">
        <f t="shared" si="14"/>
        <v>-1286.6924898673487</v>
      </c>
      <c r="AK10" s="14">
        <f t="shared" si="14"/>
        <v>-1389.6278890567366</v>
      </c>
      <c r="AL10" s="14">
        <f t="shared" si="14"/>
        <v>-1500.7981201812756</v>
      </c>
    </row>
    <row r="11" spans="1:65" x14ac:dyDescent="0.25">
      <c r="C11" s="3" t="s">
        <v>138</v>
      </c>
      <c r="D11" s="14">
        <f t="shared" ref="D11:N11" si="15">SUM(D7:D10)</f>
        <v>-581.55799999999999</v>
      </c>
      <c r="E11" s="14">
        <f t="shared" si="15"/>
        <v>-652.04899999999998</v>
      </c>
      <c r="F11" s="14">
        <f t="shared" si="15"/>
        <v>-679.9430000000001</v>
      </c>
      <c r="G11" s="14">
        <f t="shared" si="15"/>
        <v>-900.44899999999996</v>
      </c>
      <c r="H11" s="14">
        <f t="shared" si="15"/>
        <v>-645.19999999999993</v>
      </c>
      <c r="I11" s="14">
        <f t="shared" si="15"/>
        <v>-659.303</v>
      </c>
      <c r="J11" s="14">
        <f t="shared" si="15"/>
        <v>-692.34</v>
      </c>
      <c r="K11" s="14">
        <f t="shared" si="15"/>
        <v>-940.66499999999996</v>
      </c>
      <c r="L11" s="14">
        <f t="shared" si="15"/>
        <v>-687.79500000000007</v>
      </c>
      <c r="M11" s="14">
        <f t="shared" si="15"/>
        <v>-715.82399999999996</v>
      </c>
      <c r="N11" s="14">
        <f t="shared" si="15"/>
        <v>-770.02699999999982</v>
      </c>
      <c r="O11" s="14">
        <f>SUM(O7:O10)</f>
        <v>-1060.836</v>
      </c>
      <c r="P11" s="15">
        <f>SUM(P7:P10)</f>
        <v>-750.86599999999999</v>
      </c>
      <c r="V11" s="14">
        <f>SUM(V7:V10)</f>
        <v>-2042.2869999999998</v>
      </c>
      <c r="W11" s="14">
        <f t="shared" ref="W11:AL11" si="16">SUM(W7:W10)</f>
        <v>-2513.6220000000003</v>
      </c>
      <c r="X11" s="14">
        <f t="shared" si="16"/>
        <v>-2565.9119999999998</v>
      </c>
      <c r="Y11" s="14">
        <f t="shared" si="16"/>
        <v>-2813.9990000000003</v>
      </c>
      <c r="Z11" s="14">
        <f t="shared" si="16"/>
        <v>-2937.5080000000003</v>
      </c>
      <c r="AA11" s="14">
        <f t="shared" si="16"/>
        <v>-3234.482</v>
      </c>
      <c r="AB11" s="15">
        <f t="shared" si="16"/>
        <v>-3546.7863900000002</v>
      </c>
      <c r="AC11" s="14">
        <f t="shared" si="16"/>
        <v>-3906.1212387000005</v>
      </c>
      <c r="AD11" s="14">
        <f t="shared" si="16"/>
        <v>-4319.8435075110001</v>
      </c>
      <c r="AE11" s="14">
        <f t="shared" si="16"/>
        <v>-4754.8090762761603</v>
      </c>
      <c r="AF11" s="14">
        <f t="shared" si="16"/>
        <v>-5172.6534482434727</v>
      </c>
      <c r="AG11" s="14">
        <f t="shared" si="16"/>
        <v>-5627.9267760914663</v>
      </c>
      <c r="AH11" s="14">
        <f t="shared" si="16"/>
        <v>-6124.0399399748785</v>
      </c>
      <c r="AI11" s="14">
        <f t="shared" si="16"/>
        <v>-6664.7193652390815</v>
      </c>
      <c r="AJ11" s="14">
        <f t="shared" si="16"/>
        <v>-7254.0365929933878</v>
      </c>
      <c r="AK11" s="14">
        <f t="shared" si="16"/>
        <v>-7896.4406521268547</v>
      </c>
      <c r="AL11" s="14">
        <f t="shared" si="16"/>
        <v>-8596.7935005831205</v>
      </c>
    </row>
    <row r="12" spans="1:65" x14ac:dyDescent="0.25">
      <c r="C12" s="1" t="s">
        <v>27</v>
      </c>
      <c r="D12" s="18">
        <f t="shared" ref="D12:N12" si="17">D6+D11</f>
        <v>24.140999999999963</v>
      </c>
      <c r="E12" s="18">
        <f t="shared" si="17"/>
        <v>79.745999999999981</v>
      </c>
      <c r="F12" s="18">
        <f t="shared" si="17"/>
        <v>56.588999999999942</v>
      </c>
      <c r="G12" s="18">
        <f t="shared" si="17"/>
        <v>209.75200000000007</v>
      </c>
      <c r="H12" s="18">
        <f t="shared" si="17"/>
        <v>-39.576999999999884</v>
      </c>
      <c r="I12" s="18">
        <f t="shared" si="17"/>
        <v>65.649000000000001</v>
      </c>
      <c r="J12" s="18">
        <f t="shared" si="17"/>
        <v>139.66699999999992</v>
      </c>
      <c r="K12" s="18">
        <f t="shared" si="17"/>
        <v>313.99600000000009</v>
      </c>
      <c r="L12" s="18">
        <f t="shared" si="17"/>
        <v>9.0489999999999782</v>
      </c>
      <c r="M12" s="18">
        <f t="shared" si="17"/>
        <v>83.509000000000015</v>
      </c>
      <c r="N12" s="18">
        <f t="shared" si="17"/>
        <v>118.27700000000016</v>
      </c>
      <c r="O12" s="18">
        <f>O6+O11</f>
        <v>344.52099999999996</v>
      </c>
      <c r="P12" s="16">
        <f>P6+P11</f>
        <v>-17.16599999999994</v>
      </c>
      <c r="V12" s="18">
        <f>V6+V11</f>
        <v>301.89300000000003</v>
      </c>
      <c r="W12" s="18">
        <f t="shared" ref="W12:AL12" si="18">W6+W11</f>
        <v>482.63599999999951</v>
      </c>
      <c r="X12" s="18">
        <f t="shared" si="18"/>
        <v>541.1840000000002</v>
      </c>
      <c r="Y12" s="18">
        <f t="shared" si="18"/>
        <v>370.22799999999961</v>
      </c>
      <c r="Z12" s="18">
        <f t="shared" si="18"/>
        <v>479.73499999999967</v>
      </c>
      <c r="AA12" s="18">
        <f t="shared" si="18"/>
        <v>555.35600000000022</v>
      </c>
      <c r="AB12" s="16">
        <f t="shared" si="18"/>
        <v>616.71360999999979</v>
      </c>
      <c r="AC12" s="18">
        <f t="shared" si="18"/>
        <v>652.91126129999975</v>
      </c>
      <c r="AD12" s="18">
        <f t="shared" si="18"/>
        <v>672.29707998899994</v>
      </c>
      <c r="AE12" s="18">
        <f t="shared" si="18"/>
        <v>711.58486703633935</v>
      </c>
      <c r="AF12" s="18">
        <f t="shared" si="18"/>
        <v>785.71594996715248</v>
      </c>
      <c r="AG12" s="18">
        <f t="shared" si="18"/>
        <v>866.69586795811574</v>
      </c>
      <c r="AH12" s="18">
        <f t="shared" si="18"/>
        <v>955.09874203916661</v>
      </c>
      <c r="AI12" s="18">
        <f t="shared" si="18"/>
        <v>1051.5417981562287</v>
      </c>
      <c r="AJ12" s="18">
        <f t="shared" si="18"/>
        <v>1156.6880751075014</v>
      </c>
      <c r="AK12" s="18">
        <f t="shared" si="18"/>
        <v>1271.2492361031154</v>
      </c>
      <c r="AL12" s="18">
        <f t="shared" si="18"/>
        <v>1395.9884775875471</v>
      </c>
    </row>
    <row r="13" spans="1:65" x14ac:dyDescent="0.25">
      <c r="C13" s="3" t="s">
        <v>28</v>
      </c>
      <c r="D13" s="14">
        <v>-11.571</v>
      </c>
      <c r="E13" s="14">
        <v>-10.733000000000001</v>
      </c>
      <c r="F13" s="14">
        <v>-12.446</v>
      </c>
      <c r="G13" s="14">
        <v>-12.779</v>
      </c>
      <c r="H13" s="14">
        <v>-17.902999999999999</v>
      </c>
      <c r="I13" s="14">
        <v>-20.542000000000002</v>
      </c>
      <c r="J13" s="14">
        <v>-20.231000000000002</v>
      </c>
      <c r="K13" s="14">
        <v>-17.954000000000001</v>
      </c>
      <c r="L13" s="14">
        <v>-19.890999999999998</v>
      </c>
      <c r="M13" s="14">
        <v>-23.117999999999999</v>
      </c>
      <c r="N13" s="14">
        <v>-25.006</v>
      </c>
      <c r="O13" s="55">
        <v>-22.454000000000001</v>
      </c>
      <c r="P13" s="32">
        <v>-21.974</v>
      </c>
      <c r="V13" s="14">
        <v>-40.942999999999998</v>
      </c>
      <c r="W13" s="14">
        <v>-28.434999999999999</v>
      </c>
      <c r="X13" s="14">
        <v>-56</v>
      </c>
      <c r="Y13" s="14">
        <f>SUM(D13:G13)</f>
        <v>-47.528999999999996</v>
      </c>
      <c r="Z13" s="14">
        <f>SUM(H13:K13)</f>
        <v>-76.63</v>
      </c>
      <c r="AA13" s="14">
        <f>SUM(L13:O13)</f>
        <v>-90.468999999999994</v>
      </c>
      <c r="AB13" s="15">
        <v>-80</v>
      </c>
      <c r="AC13" s="14">
        <f>AB13*1.05</f>
        <v>-84</v>
      </c>
      <c r="AD13" s="14">
        <f t="shared" ref="AD13:AL13" si="19">AC13*1.05</f>
        <v>-88.2</v>
      </c>
      <c r="AE13" s="14">
        <f t="shared" si="19"/>
        <v>-92.610000000000014</v>
      </c>
      <c r="AF13" s="14">
        <f t="shared" si="19"/>
        <v>-97.240500000000011</v>
      </c>
      <c r="AG13" s="14">
        <f t="shared" si="19"/>
        <v>-102.10252500000001</v>
      </c>
      <c r="AH13" s="14">
        <f t="shared" si="19"/>
        <v>-107.20765125000003</v>
      </c>
      <c r="AI13" s="14">
        <f t="shared" si="19"/>
        <v>-112.56803381250003</v>
      </c>
      <c r="AJ13" s="14">
        <f t="shared" si="19"/>
        <v>-118.19643550312504</v>
      </c>
      <c r="AK13" s="14">
        <f t="shared" si="19"/>
        <v>-124.1062572782813</v>
      </c>
      <c r="AL13" s="14">
        <f t="shared" si="19"/>
        <v>-130.31157014219536</v>
      </c>
      <c r="AM13" s="14"/>
      <c r="AN13" s="14"/>
    </row>
    <row r="14" spans="1:65" x14ac:dyDescent="0.25">
      <c r="C14" s="3" t="s">
        <v>29</v>
      </c>
      <c r="D14" s="14">
        <v>-0.68799999999999994</v>
      </c>
      <c r="E14" s="14">
        <v>-1.1859999999999999</v>
      </c>
      <c r="F14" s="14">
        <v>-2.5299999999999998</v>
      </c>
      <c r="G14" s="14">
        <v>1.6180000000000001</v>
      </c>
      <c r="H14" s="14">
        <v>-0.35799999999999998</v>
      </c>
      <c r="I14" s="14">
        <v>0.10199999999999999</v>
      </c>
      <c r="J14" s="14">
        <v>-1.3320000000000001</v>
      </c>
      <c r="K14" s="14">
        <v>0.38800000000000001</v>
      </c>
      <c r="L14" s="14">
        <v>-0.59</v>
      </c>
      <c r="M14" s="14">
        <v>-0.91900000000000004</v>
      </c>
      <c r="N14" s="14">
        <v>-0.69499999999999995</v>
      </c>
      <c r="O14" s="55">
        <v>35.530999999999999</v>
      </c>
      <c r="P14" s="32">
        <v>0.38300000000000001</v>
      </c>
      <c r="V14" s="14">
        <v>0</v>
      </c>
      <c r="W14" s="14">
        <v>0</v>
      </c>
      <c r="X14" s="14">
        <v>0</v>
      </c>
      <c r="Y14" s="14">
        <f>SUM(D14:G14)</f>
        <v>-2.7859999999999996</v>
      </c>
      <c r="Z14" s="14">
        <f>SUM(H14:K14)</f>
        <v>-1.2000000000000002</v>
      </c>
      <c r="AA14" s="14">
        <f>SUM(L14:O14)</f>
        <v>33.326999999999998</v>
      </c>
      <c r="AB14" s="15">
        <v>-2.5</v>
      </c>
      <c r="AC14" s="14">
        <v>-2.5</v>
      </c>
      <c r="AD14" s="14">
        <v>-2.5</v>
      </c>
      <c r="AE14" s="14">
        <v>-2.5</v>
      </c>
      <c r="AF14" s="14">
        <v>-2.5</v>
      </c>
      <c r="AG14" s="14">
        <v>-2.5</v>
      </c>
      <c r="AH14" s="14">
        <v>-2.5</v>
      </c>
      <c r="AI14" s="14">
        <v>-2.5</v>
      </c>
      <c r="AJ14" s="14">
        <v>-2.5</v>
      </c>
      <c r="AK14" s="14">
        <v>-2.5</v>
      </c>
      <c r="AL14" s="14">
        <v>-2.5</v>
      </c>
      <c r="AM14" s="14"/>
      <c r="AN14" s="14"/>
    </row>
    <row r="15" spans="1:65" x14ac:dyDescent="0.25">
      <c r="C15" s="3" t="s">
        <v>30</v>
      </c>
      <c r="D15" s="14">
        <f t="shared" ref="D15:O15" si="20">SUM(D12:D14)</f>
        <v>11.881999999999962</v>
      </c>
      <c r="E15" s="14">
        <f t="shared" si="20"/>
        <v>67.82699999999997</v>
      </c>
      <c r="F15" s="14">
        <f t="shared" si="20"/>
        <v>41.612999999999943</v>
      </c>
      <c r="G15" s="14">
        <f t="shared" si="20"/>
        <v>198.59100000000007</v>
      </c>
      <c r="H15" s="14">
        <f t="shared" si="20"/>
        <v>-57.83799999999988</v>
      </c>
      <c r="I15" s="14">
        <f t="shared" si="20"/>
        <v>45.208999999999996</v>
      </c>
      <c r="J15" s="14">
        <f t="shared" si="20"/>
        <v>118.10399999999993</v>
      </c>
      <c r="K15" s="14">
        <f t="shared" si="20"/>
        <v>296.43000000000006</v>
      </c>
      <c r="L15" s="14">
        <f t="shared" si="20"/>
        <v>-11.43200000000002</v>
      </c>
      <c r="M15" s="14">
        <f t="shared" si="20"/>
        <v>59.472000000000023</v>
      </c>
      <c r="N15" s="14">
        <f t="shared" si="20"/>
        <v>92.576000000000164</v>
      </c>
      <c r="O15" s="14">
        <f t="shared" si="20"/>
        <v>357.59799999999996</v>
      </c>
      <c r="P15" s="15">
        <f t="shared" ref="P15" si="21">SUM(P12:P14)</f>
        <v>-38.756999999999941</v>
      </c>
      <c r="V15" s="14">
        <f t="shared" ref="V15:AA15" si="22">SUM(V12:V14)</f>
        <v>260.95000000000005</v>
      </c>
      <c r="W15" s="14">
        <f t="shared" si="22"/>
        <v>454.20099999999951</v>
      </c>
      <c r="X15" s="14">
        <f t="shared" si="22"/>
        <v>485.1840000000002</v>
      </c>
      <c r="Y15" s="14">
        <f t="shared" si="22"/>
        <v>319.91299999999961</v>
      </c>
      <c r="Z15" s="14">
        <f t="shared" si="22"/>
        <v>401.90499999999969</v>
      </c>
      <c r="AA15" s="14">
        <f t="shared" si="22"/>
        <v>498.21400000000023</v>
      </c>
      <c r="AB15" s="15">
        <f t="shared" ref="AB15:AL15" si="23">SUM(AB12:AB14)</f>
        <v>534.21360999999979</v>
      </c>
      <c r="AC15" s="14">
        <f t="shared" si="23"/>
        <v>566.41126129999975</v>
      </c>
      <c r="AD15" s="14">
        <f t="shared" si="23"/>
        <v>581.59707998899989</v>
      </c>
      <c r="AE15" s="14">
        <f t="shared" si="23"/>
        <v>616.47486703633933</v>
      </c>
      <c r="AF15" s="14">
        <f t="shared" si="23"/>
        <v>685.97544996715249</v>
      </c>
      <c r="AG15" s="14">
        <f t="shared" si="23"/>
        <v>762.09334295811573</v>
      </c>
      <c r="AH15" s="14">
        <f t="shared" si="23"/>
        <v>845.39109078916658</v>
      </c>
      <c r="AI15" s="14">
        <f t="shared" si="23"/>
        <v>936.47376434372859</v>
      </c>
      <c r="AJ15" s="14">
        <f t="shared" si="23"/>
        <v>1035.9916396043764</v>
      </c>
      <c r="AK15" s="14">
        <f t="shared" si="23"/>
        <v>1144.6429788248342</v>
      </c>
      <c r="AL15" s="14">
        <f t="shared" si="23"/>
        <v>1263.1769074453518</v>
      </c>
      <c r="AM15" s="14"/>
      <c r="AN15" s="14"/>
    </row>
    <row r="16" spans="1:65" x14ac:dyDescent="0.25">
      <c r="C16" s="3" t="s">
        <v>31</v>
      </c>
      <c r="D16" s="14">
        <v>-2.8010000000000002</v>
      </c>
      <c r="E16" s="14">
        <v>-15.909000000000001</v>
      </c>
      <c r="F16" s="14">
        <v>-11.801</v>
      </c>
      <c r="G16" s="14">
        <v>-39.156999999999996</v>
      </c>
      <c r="H16" s="14">
        <v>10.795</v>
      </c>
      <c r="I16" s="14">
        <v>-8.8740000000000006</v>
      </c>
      <c r="J16" s="14">
        <v>-27.370999999999999</v>
      </c>
      <c r="K16" s="14">
        <v>-63.250999999999998</v>
      </c>
      <c r="L16" s="14">
        <v>1.8</v>
      </c>
      <c r="M16" s="14">
        <v>-10.891</v>
      </c>
      <c r="N16" s="14">
        <v>-22.283000000000001</v>
      </c>
      <c r="O16" s="14">
        <v>-68.183000000000007</v>
      </c>
      <c r="P16" s="15">
        <v>7.782</v>
      </c>
      <c r="V16" s="14">
        <v>-53</v>
      </c>
      <c r="W16" s="14">
        <v>-98.195999999999998</v>
      </c>
      <c r="X16" s="14">
        <v>-100.741</v>
      </c>
      <c r="Y16" s="14">
        <f>SUM(D16:G16)</f>
        <v>-69.668000000000006</v>
      </c>
      <c r="Z16" s="14">
        <f>SUM(H16:K16)</f>
        <v>-88.700999999999993</v>
      </c>
      <c r="AA16" s="14">
        <f>SUM(L16:O16)</f>
        <v>-99.557000000000016</v>
      </c>
      <c r="AB16" s="15">
        <f>AB15*-0.22</f>
        <v>-117.52699419999995</v>
      </c>
      <c r="AC16" s="14">
        <f t="shared" ref="AC16:AL16" si="24">AC15*-0.22</f>
        <v>-124.61047748599995</v>
      </c>
      <c r="AD16" s="14">
        <f t="shared" si="24"/>
        <v>-127.95135759757997</v>
      </c>
      <c r="AE16" s="14">
        <f t="shared" si="24"/>
        <v>-135.62447074799465</v>
      </c>
      <c r="AF16" s="14">
        <f t="shared" si="24"/>
        <v>-150.91459899277353</v>
      </c>
      <c r="AG16" s="14">
        <f t="shared" si="24"/>
        <v>-167.66053545078546</v>
      </c>
      <c r="AH16" s="14">
        <f t="shared" si="24"/>
        <v>-185.98603997361664</v>
      </c>
      <c r="AI16" s="14">
        <f t="shared" si="24"/>
        <v>-206.02422815562028</v>
      </c>
      <c r="AJ16" s="14">
        <f t="shared" si="24"/>
        <v>-227.91816071296279</v>
      </c>
      <c r="AK16" s="14">
        <f t="shared" si="24"/>
        <v>-251.82145534146355</v>
      </c>
      <c r="AL16" s="14">
        <f t="shared" si="24"/>
        <v>-277.89891963797743</v>
      </c>
    </row>
    <row r="17" spans="1:125" s="1" customFormat="1" x14ac:dyDescent="0.25">
      <c r="A17" s="3"/>
      <c r="B17" s="2"/>
      <c r="C17" s="1" t="s">
        <v>32</v>
      </c>
      <c r="D17" s="18">
        <f t="shared" ref="D17:O17" si="25">SUM(D15:D16)</f>
        <v>9.0809999999999622</v>
      </c>
      <c r="E17" s="18">
        <f t="shared" si="25"/>
        <v>51.917999999999971</v>
      </c>
      <c r="F17" s="18">
        <f t="shared" si="25"/>
        <v>29.811999999999941</v>
      </c>
      <c r="G17" s="18">
        <f t="shared" si="25"/>
        <v>159.43400000000008</v>
      </c>
      <c r="H17" s="18">
        <f t="shared" si="25"/>
        <v>-47.042999999999878</v>
      </c>
      <c r="I17" s="18">
        <f t="shared" si="25"/>
        <v>36.334999999999994</v>
      </c>
      <c r="J17" s="18">
        <f t="shared" si="25"/>
        <v>90.732999999999933</v>
      </c>
      <c r="K17" s="18">
        <f t="shared" si="25"/>
        <v>233.17900000000006</v>
      </c>
      <c r="L17" s="18">
        <f t="shared" si="25"/>
        <v>-9.6320000000000192</v>
      </c>
      <c r="M17" s="18">
        <f t="shared" si="25"/>
        <v>48.581000000000024</v>
      </c>
      <c r="N17" s="18">
        <f t="shared" si="25"/>
        <v>70.293000000000163</v>
      </c>
      <c r="O17" s="18">
        <f t="shared" si="25"/>
        <v>289.41499999999996</v>
      </c>
      <c r="P17" s="16">
        <f t="shared" ref="P17" si="26">SUM(P15:P16)</f>
        <v>-30.974999999999941</v>
      </c>
      <c r="Q17" s="3"/>
      <c r="R17" s="3"/>
      <c r="S17" s="3"/>
      <c r="T17" s="3"/>
      <c r="U17" s="3"/>
      <c r="V17" s="18">
        <f t="shared" ref="V17:AA17" si="27">SUM(V15:V16)</f>
        <v>207.95000000000005</v>
      </c>
      <c r="W17" s="18">
        <f t="shared" si="27"/>
        <v>356.00499999999954</v>
      </c>
      <c r="X17" s="18">
        <f t="shared" si="27"/>
        <v>384.44300000000021</v>
      </c>
      <c r="Y17" s="18">
        <f t="shared" si="27"/>
        <v>250.24499999999961</v>
      </c>
      <c r="Z17" s="18">
        <f t="shared" si="27"/>
        <v>313.20399999999972</v>
      </c>
      <c r="AA17" s="18">
        <f t="shared" si="27"/>
        <v>398.65700000000021</v>
      </c>
      <c r="AB17" s="16">
        <f t="shared" ref="AB17:AL17" si="28">SUM(AB15:AB16)</f>
        <v>416.68661579999986</v>
      </c>
      <c r="AC17" s="18">
        <f t="shared" si="28"/>
        <v>441.80078381399983</v>
      </c>
      <c r="AD17" s="18">
        <f t="shared" si="28"/>
        <v>453.64572239141989</v>
      </c>
      <c r="AE17" s="18">
        <f t="shared" si="28"/>
        <v>480.85039628834465</v>
      </c>
      <c r="AF17" s="18">
        <f t="shared" si="28"/>
        <v>535.06085097437892</v>
      </c>
      <c r="AG17" s="18">
        <f t="shared" si="28"/>
        <v>594.43280750733027</v>
      </c>
      <c r="AH17" s="18">
        <f t="shared" si="28"/>
        <v>659.40505081554988</v>
      </c>
      <c r="AI17" s="18">
        <f t="shared" si="28"/>
        <v>730.44953618810837</v>
      </c>
      <c r="AJ17" s="18">
        <f t="shared" si="28"/>
        <v>808.07347889141352</v>
      </c>
      <c r="AK17" s="18">
        <f t="shared" si="28"/>
        <v>892.8215234833707</v>
      </c>
      <c r="AL17" s="18">
        <f t="shared" si="28"/>
        <v>985.27798780737442</v>
      </c>
      <c r="AM17" s="18">
        <f>AL17*(1+$AO$21)</f>
        <v>975.42520792930065</v>
      </c>
      <c r="AN17" s="18">
        <f t="shared" ref="AN17:BR17" si="29">AM17*(1+$AO$21)</f>
        <v>965.67095585000766</v>
      </c>
      <c r="AO17" s="18">
        <f t="shared" si="29"/>
        <v>956.01424629150756</v>
      </c>
      <c r="AP17" s="18">
        <f t="shared" si="29"/>
        <v>946.45410382859245</v>
      </c>
      <c r="AQ17" s="18">
        <f t="shared" si="29"/>
        <v>936.98956279030654</v>
      </c>
      <c r="AR17" s="18">
        <f t="shared" si="29"/>
        <v>927.61966716240352</v>
      </c>
      <c r="AS17" s="18">
        <f t="shared" si="29"/>
        <v>918.34347049077951</v>
      </c>
      <c r="AT17" s="18">
        <f t="shared" si="29"/>
        <v>909.16003578587174</v>
      </c>
      <c r="AU17" s="18">
        <f t="shared" si="29"/>
        <v>900.068435428013</v>
      </c>
      <c r="AV17" s="18">
        <f t="shared" si="29"/>
        <v>891.06775107373289</v>
      </c>
      <c r="AW17" s="18">
        <f t="shared" si="29"/>
        <v>882.15707356299561</v>
      </c>
      <c r="AX17" s="18">
        <f t="shared" si="29"/>
        <v>873.33550282736564</v>
      </c>
      <c r="AY17" s="18">
        <f t="shared" si="29"/>
        <v>864.60214779909199</v>
      </c>
      <c r="AZ17" s="18">
        <f t="shared" si="29"/>
        <v>855.95612632110112</v>
      </c>
      <c r="BA17" s="18">
        <f t="shared" si="29"/>
        <v>847.39656505789014</v>
      </c>
      <c r="BB17" s="18">
        <f t="shared" si="29"/>
        <v>838.92259940731128</v>
      </c>
      <c r="BC17" s="18">
        <f t="shared" si="29"/>
        <v>830.53337341323811</v>
      </c>
      <c r="BD17" s="18">
        <f t="shared" si="29"/>
        <v>822.22803967910568</v>
      </c>
      <c r="BE17" s="18">
        <f t="shared" si="29"/>
        <v>814.00575928231456</v>
      </c>
      <c r="BF17" s="18">
        <f t="shared" si="29"/>
        <v>805.8657016894914</v>
      </c>
      <c r="BG17" s="18">
        <f t="shared" si="29"/>
        <v>797.80704467259648</v>
      </c>
      <c r="BH17" s="18">
        <f t="shared" si="29"/>
        <v>789.82897422587052</v>
      </c>
      <c r="BI17" s="18">
        <f t="shared" si="29"/>
        <v>781.9306844836118</v>
      </c>
      <c r="BJ17" s="18">
        <f t="shared" si="29"/>
        <v>774.11137763877571</v>
      </c>
      <c r="BK17" s="18">
        <f t="shared" si="29"/>
        <v>766.3702638623879</v>
      </c>
      <c r="BL17" s="18">
        <f t="shared" si="29"/>
        <v>758.70656122376397</v>
      </c>
      <c r="BM17" s="18">
        <f t="shared" si="29"/>
        <v>751.1194956115263</v>
      </c>
      <c r="BN17" s="18">
        <f t="shared" si="29"/>
        <v>743.60830065541109</v>
      </c>
      <c r="BO17" s="18">
        <f t="shared" si="29"/>
        <v>736.17221764885699</v>
      </c>
      <c r="BP17" s="18">
        <f t="shared" si="29"/>
        <v>728.81049547236842</v>
      </c>
      <c r="BQ17" s="18">
        <f t="shared" si="29"/>
        <v>721.52239051764468</v>
      </c>
      <c r="BR17" s="18">
        <f t="shared" si="29"/>
        <v>714.30716661246822</v>
      </c>
      <c r="BS17" s="18">
        <f t="shared" ref="BS17:CX17" si="30">BR17*(1+$AO$21)</f>
        <v>707.16409494634354</v>
      </c>
      <c r="BT17" s="18">
        <f t="shared" si="30"/>
        <v>700.09245399688007</v>
      </c>
      <c r="BU17" s="18">
        <f t="shared" si="30"/>
        <v>693.0915294569113</v>
      </c>
      <c r="BV17" s="18">
        <f t="shared" si="30"/>
        <v>686.1606141623422</v>
      </c>
      <c r="BW17" s="18">
        <f t="shared" si="30"/>
        <v>679.29900802071882</v>
      </c>
      <c r="BX17" s="18">
        <f t="shared" si="30"/>
        <v>672.50601794051158</v>
      </c>
      <c r="BY17" s="18">
        <f t="shared" si="30"/>
        <v>665.78095776110649</v>
      </c>
      <c r="BZ17" s="18">
        <f t="shared" si="30"/>
        <v>659.12314818349546</v>
      </c>
      <c r="CA17" s="18">
        <f t="shared" si="30"/>
        <v>652.53191670166052</v>
      </c>
      <c r="CB17" s="18">
        <f t="shared" si="30"/>
        <v>646.0065975346439</v>
      </c>
      <c r="CC17" s="18">
        <f t="shared" si="30"/>
        <v>639.54653155929748</v>
      </c>
      <c r="CD17" s="18">
        <f t="shared" si="30"/>
        <v>633.15106624370446</v>
      </c>
      <c r="CE17" s="18">
        <f t="shared" si="30"/>
        <v>626.81955558126742</v>
      </c>
      <c r="CF17" s="18">
        <f t="shared" si="30"/>
        <v>620.55136002545476</v>
      </c>
      <c r="CG17" s="18">
        <f t="shared" si="30"/>
        <v>614.34584642520019</v>
      </c>
      <c r="CH17" s="18">
        <f t="shared" si="30"/>
        <v>608.20238796094816</v>
      </c>
      <c r="CI17" s="18">
        <f t="shared" si="30"/>
        <v>602.12036408133872</v>
      </c>
      <c r="CJ17" s="18">
        <f t="shared" si="30"/>
        <v>596.09916044052534</v>
      </c>
      <c r="CK17" s="18">
        <f t="shared" si="30"/>
        <v>590.13816883612003</v>
      </c>
      <c r="CL17" s="18">
        <f t="shared" si="30"/>
        <v>584.23678714775883</v>
      </c>
      <c r="CM17" s="18">
        <f t="shared" si="30"/>
        <v>578.39441927628127</v>
      </c>
      <c r="CN17" s="18">
        <f t="shared" si="30"/>
        <v>572.61047508351839</v>
      </c>
      <c r="CO17" s="18">
        <f t="shared" si="30"/>
        <v>566.88437033268326</v>
      </c>
      <c r="CP17" s="18">
        <f t="shared" si="30"/>
        <v>561.21552662935642</v>
      </c>
      <c r="CQ17" s="18">
        <f t="shared" si="30"/>
        <v>555.60337136306282</v>
      </c>
      <c r="CR17" s="18">
        <f t="shared" si="30"/>
        <v>550.04733764943217</v>
      </c>
      <c r="CS17" s="18">
        <f t="shared" si="30"/>
        <v>544.5468642729378</v>
      </c>
      <c r="CT17" s="18">
        <f t="shared" si="30"/>
        <v>539.10139563020846</v>
      </c>
      <c r="CU17" s="18">
        <f t="shared" si="30"/>
        <v>533.71038167390634</v>
      </c>
      <c r="CV17" s="18">
        <f t="shared" si="30"/>
        <v>528.3732778571673</v>
      </c>
      <c r="CW17" s="18">
        <f t="shared" si="30"/>
        <v>523.08954507859562</v>
      </c>
      <c r="CX17" s="18">
        <f t="shared" si="30"/>
        <v>517.85864962780965</v>
      </c>
      <c r="CY17" s="18">
        <f t="shared" ref="CY17:DU17" si="31">CX17*(1+$AO$21)</f>
        <v>512.6800631315316</v>
      </c>
      <c r="CZ17" s="18">
        <f t="shared" si="31"/>
        <v>507.55326250021625</v>
      </c>
      <c r="DA17" s="18">
        <f t="shared" si="31"/>
        <v>502.4777298752141</v>
      </c>
      <c r="DB17" s="18">
        <f t="shared" si="31"/>
        <v>497.45295257646194</v>
      </c>
      <c r="DC17" s="18">
        <f t="shared" si="31"/>
        <v>492.4784230506973</v>
      </c>
      <c r="DD17" s="18">
        <f t="shared" si="31"/>
        <v>487.55363882019032</v>
      </c>
      <c r="DE17" s="18">
        <f t="shared" si="31"/>
        <v>482.67810243198841</v>
      </c>
      <c r="DF17" s="18">
        <f t="shared" si="31"/>
        <v>477.85132140766854</v>
      </c>
      <c r="DG17" s="18">
        <f t="shared" si="31"/>
        <v>473.07280819359187</v>
      </c>
      <c r="DH17" s="18">
        <f t="shared" si="31"/>
        <v>468.34208011165595</v>
      </c>
      <c r="DI17" s="18">
        <f t="shared" si="31"/>
        <v>463.65865931053941</v>
      </c>
      <c r="DJ17" s="18">
        <f t="shared" si="31"/>
        <v>459.02207271743401</v>
      </c>
      <c r="DK17" s="18">
        <f t="shared" si="31"/>
        <v>454.43185199025964</v>
      </c>
      <c r="DL17" s="18">
        <f t="shared" si="31"/>
        <v>449.88753347035703</v>
      </c>
      <c r="DM17" s="18">
        <f t="shared" si="31"/>
        <v>445.38865813565343</v>
      </c>
      <c r="DN17" s="18">
        <f t="shared" si="31"/>
        <v>440.9347715542969</v>
      </c>
      <c r="DO17" s="18">
        <f t="shared" si="31"/>
        <v>436.52542383875391</v>
      </c>
      <c r="DP17" s="18">
        <f t="shared" si="31"/>
        <v>432.16016960036637</v>
      </c>
      <c r="DQ17" s="18">
        <f t="shared" si="31"/>
        <v>427.83856790436272</v>
      </c>
      <c r="DR17" s="18">
        <f t="shared" si="31"/>
        <v>423.56018222531907</v>
      </c>
      <c r="DS17" s="18">
        <f t="shared" si="31"/>
        <v>419.32458040306585</v>
      </c>
      <c r="DT17" s="18">
        <f t="shared" si="31"/>
        <v>415.1313345990352</v>
      </c>
      <c r="DU17" s="18">
        <f t="shared" si="31"/>
        <v>410.98002125304487</v>
      </c>
    </row>
    <row r="18" spans="1:125" x14ac:dyDescent="0.25">
      <c r="C18" s="3" t="s">
        <v>34</v>
      </c>
      <c r="D18" s="17">
        <v>40.645161999999999</v>
      </c>
      <c r="E18" s="17">
        <v>40.645161999999999</v>
      </c>
      <c r="F18" s="17">
        <v>40.645161999999999</v>
      </c>
      <c r="G18" s="17">
        <v>40.645161999999999</v>
      </c>
      <c r="H18" s="17">
        <v>40.645161999999999</v>
      </c>
      <c r="I18" s="17">
        <v>40.645161999999999</v>
      </c>
      <c r="J18" s="17">
        <v>40.645161999999999</v>
      </c>
      <c r="K18" s="17">
        <v>40.645161999999999</v>
      </c>
      <c r="L18" s="17">
        <v>40.645161999999999</v>
      </c>
      <c r="M18" s="17">
        <v>40.645161999999999</v>
      </c>
      <c r="N18" s="17">
        <v>40.645161999999999</v>
      </c>
      <c r="O18" s="17">
        <v>40.645161999999999</v>
      </c>
      <c r="P18" s="7">
        <v>40.645161999999999</v>
      </c>
      <c r="V18" s="17">
        <v>40.645161999999999</v>
      </c>
      <c r="W18" s="17">
        <v>40.645161999999999</v>
      </c>
      <c r="X18" s="17">
        <v>40.645161999999999</v>
      </c>
      <c r="Y18" s="17">
        <v>40.645161999999999</v>
      </c>
      <c r="Z18" s="17">
        <v>40.645161999999999</v>
      </c>
      <c r="AA18" s="17">
        <v>40.645161999999999</v>
      </c>
      <c r="AB18" s="7">
        <v>40.645161999999999</v>
      </c>
      <c r="AC18" s="17">
        <v>40.645161999999999</v>
      </c>
      <c r="AD18" s="17">
        <v>40.645161999999999</v>
      </c>
      <c r="AE18" s="17">
        <v>40.645161999999999</v>
      </c>
      <c r="AF18" s="17">
        <v>40.645161999999999</v>
      </c>
      <c r="AG18" s="17">
        <v>40.645161999999999</v>
      </c>
      <c r="AH18" s="17">
        <v>40.645161999999999</v>
      </c>
      <c r="AI18" s="17">
        <v>40.645161999999999</v>
      </c>
      <c r="AJ18" s="17">
        <v>40.645161999999999</v>
      </c>
      <c r="AK18" s="17">
        <v>40.645161999999999</v>
      </c>
      <c r="AL18" s="17">
        <v>40.645161999999999</v>
      </c>
    </row>
    <row r="19" spans="1:125" x14ac:dyDescent="0.25">
      <c r="C19" s="3" t="s">
        <v>33</v>
      </c>
      <c r="D19" s="19">
        <f t="shared" ref="D19:I19" si="32">D17/D18</f>
        <v>0.22342142467041864</v>
      </c>
      <c r="E19" s="19">
        <f t="shared" si="32"/>
        <v>1.2773475967447239</v>
      </c>
      <c r="F19" s="19">
        <f t="shared" si="32"/>
        <v>0.73346982846322373</v>
      </c>
      <c r="G19" s="19">
        <f t="shared" si="32"/>
        <v>3.9225824711930066</v>
      </c>
      <c r="H19" s="19">
        <f t="shared" si="32"/>
        <v>-1.1574071226484441</v>
      </c>
      <c r="I19" s="19">
        <f t="shared" si="32"/>
        <v>0.89395633359758764</v>
      </c>
      <c r="J19" s="19">
        <f>J17/J18</f>
        <v>2.2323198022928272</v>
      </c>
      <c r="K19" s="19">
        <f t="shared" ref="K19:O19" si="33">K17/K18</f>
        <v>5.7369435506247966</v>
      </c>
      <c r="L19" s="19">
        <f t="shared" si="33"/>
        <v>-0.23697777364007111</v>
      </c>
      <c r="M19" s="19">
        <f t="shared" si="33"/>
        <v>1.1952468045274374</v>
      </c>
      <c r="N19" s="19">
        <f>N17/N18</f>
        <v>1.7294309221845434</v>
      </c>
      <c r="O19" s="19">
        <f t="shared" si="33"/>
        <v>7.1205276534511039</v>
      </c>
      <c r="P19" s="5">
        <f t="shared" ref="P19" si="34">P17/P18</f>
        <v>-0.76208332002711521</v>
      </c>
      <c r="V19" s="19">
        <f t="shared" ref="V19:W19" si="35">V17/V18</f>
        <v>5.1162300693991591</v>
      </c>
      <c r="W19" s="19">
        <f t="shared" si="35"/>
        <v>8.7588530216708094</v>
      </c>
      <c r="X19" s="19">
        <f t="shared" ref="X19:Y19" si="36">X17/X18</f>
        <v>9.458518088819531</v>
      </c>
      <c r="Y19" s="19">
        <f t="shared" si="36"/>
        <v>6.156821321071364</v>
      </c>
      <c r="Z19" s="19">
        <f t="shared" ref="Z19" si="37">Z17/Z18</f>
        <v>7.7058125638667585</v>
      </c>
      <c r="AA19" s="19">
        <f t="shared" ref="AA19" si="38">AA17/AA18</f>
        <v>9.8082276065230154</v>
      </c>
      <c r="AB19" s="5">
        <f t="shared" ref="AB19" si="39">AB17/AB18</f>
        <v>10.251813384333413</v>
      </c>
      <c r="AC19" s="19">
        <f t="shared" ref="AC19" si="40">AC17/AC18</f>
        <v>10.869701634206793</v>
      </c>
      <c r="AD19" s="19">
        <f t="shared" ref="AD19" si="41">AD17/AD18</f>
        <v>11.161124721102597</v>
      </c>
      <c r="AE19" s="19">
        <f t="shared" ref="AE19" si="42">AE17/AE18</f>
        <v>11.8304460513245</v>
      </c>
      <c r="AF19" s="19">
        <f t="shared" ref="AF19" si="43">AF17/AF18</f>
        <v>13.164195309994803</v>
      </c>
      <c r="AG19" s="19">
        <f t="shared" ref="AG19" si="44">AG17/AG18</f>
        <v>14.624933897602137</v>
      </c>
      <c r="AH19" s="19">
        <f t="shared" ref="AH19" si="45">AH17/AH18</f>
        <v>16.223457316163479</v>
      </c>
      <c r="AI19" s="19">
        <f t="shared" ref="AI19" si="46">AI17/AI18</f>
        <v>17.971377163857987</v>
      </c>
      <c r="AJ19" s="19">
        <f t="shared" ref="AJ19" si="47">AJ17/AJ18</f>
        <v>19.881172546228591</v>
      </c>
      <c r="AK19" s="19">
        <f t="shared" ref="AK19" si="48">AK17/AK18</f>
        <v>21.966243448196138</v>
      </c>
      <c r="AL19" s="19">
        <f t="shared" ref="AL19" si="49">AL17/AL18</f>
        <v>24.240965943434411</v>
      </c>
    </row>
    <row r="20" spans="1:125" x14ac:dyDescent="0.25">
      <c r="AN20" s="3" t="s">
        <v>86</v>
      </c>
      <c r="AO20" s="25">
        <v>0.1</v>
      </c>
    </row>
    <row r="21" spans="1:125" x14ac:dyDescent="0.25">
      <c r="C21" s="1" t="s">
        <v>35</v>
      </c>
      <c r="D21" s="28"/>
      <c r="E21" s="28"/>
      <c r="F21" s="28"/>
      <c r="G21" s="28"/>
      <c r="H21" s="28">
        <f t="shared" ref="H21:P21" si="50">(H6-D6)/D6</f>
        <v>-1.254748645777988E-4</v>
      </c>
      <c r="I21" s="28">
        <f t="shared" si="50"/>
        <v>-9.3509794409636048E-3</v>
      </c>
      <c r="J21" s="28">
        <f t="shared" si="50"/>
        <v>0.12962776905823495</v>
      </c>
      <c r="K21" s="28">
        <f t="shared" si="50"/>
        <v>0.13012058176852664</v>
      </c>
      <c r="L21" s="28">
        <f t="shared" si="50"/>
        <v>0.1506234076314803</v>
      </c>
      <c r="M21" s="28">
        <f t="shared" si="50"/>
        <v>0.10260127567066506</v>
      </c>
      <c r="N21" s="28">
        <f t="shared" si="50"/>
        <v>6.7664094172284639E-2</v>
      </c>
      <c r="O21" s="28">
        <f t="shared" si="50"/>
        <v>0.12010893779275829</v>
      </c>
      <c r="P21" s="56">
        <f t="shared" si="50"/>
        <v>5.2889886402121555E-2</v>
      </c>
      <c r="W21" s="20">
        <f t="shared" ref="W21:AL21" si="51">(W6-V6)/V6</f>
        <v>0.27816891194362209</v>
      </c>
      <c r="X21" s="20">
        <f t="shared" si="51"/>
        <v>3.6992141531203324E-2</v>
      </c>
      <c r="Y21" s="20">
        <f t="shared" si="51"/>
        <v>2.4824144474454558E-2</v>
      </c>
      <c r="Z21" s="20">
        <f t="shared" si="51"/>
        <v>7.3178199921048376E-2</v>
      </c>
      <c r="AA21" s="20">
        <f t="shared" si="51"/>
        <v>0.10903380298094115</v>
      </c>
      <c r="AB21" s="21">
        <f t="shared" si="51"/>
        <v>9.8595771112116079E-2</v>
      </c>
      <c r="AC21" s="20">
        <f t="shared" si="51"/>
        <v>9.5000000000000057E-2</v>
      </c>
      <c r="AD21" s="20">
        <f t="shared" si="51"/>
        <v>9.4999999999999946E-2</v>
      </c>
      <c r="AE21" s="20">
        <f t="shared" si="51"/>
        <v>9.4999999999999932E-2</v>
      </c>
      <c r="AF21" s="20">
        <f t="shared" si="51"/>
        <v>9.0000000000000094E-2</v>
      </c>
      <c r="AG21" s="20">
        <f t="shared" si="51"/>
        <v>9.0000000000000108E-2</v>
      </c>
      <c r="AH21" s="20">
        <f t="shared" si="51"/>
        <v>9.0000000000000108E-2</v>
      </c>
      <c r="AI21" s="20">
        <f t="shared" si="51"/>
        <v>9.0000000000000135E-2</v>
      </c>
      <c r="AJ21" s="20">
        <f t="shared" si="51"/>
        <v>9.0000000000000135E-2</v>
      </c>
      <c r="AK21" s="20">
        <f t="shared" si="51"/>
        <v>9.0000000000000108E-2</v>
      </c>
      <c r="AL21" s="20">
        <f t="shared" si="51"/>
        <v>9.0000000000000011E-2</v>
      </c>
      <c r="AN21" s="3" t="s">
        <v>87</v>
      </c>
      <c r="AO21" s="25">
        <v>-0.01</v>
      </c>
    </row>
    <row r="22" spans="1:125" s="1" customFormat="1" x14ac:dyDescent="0.25">
      <c r="A22" s="3"/>
      <c r="B22" s="2"/>
      <c r="C22" s="1" t="s">
        <v>137</v>
      </c>
      <c r="D22" s="28">
        <v>7.2999999999999995E-2</v>
      </c>
      <c r="E22" s="28">
        <v>5.6000000000000001E-2</v>
      </c>
      <c r="F22" s="28">
        <v>-4.0000000000000001E-3</v>
      </c>
      <c r="G22" s="28">
        <v>1.7999999999999999E-2</v>
      </c>
      <c r="H22" s="28">
        <v>-3.0000000000000001E-3</v>
      </c>
      <c r="I22" s="28">
        <v>-3.3000000000000002E-2</v>
      </c>
      <c r="J22" s="28">
        <v>0.129</v>
      </c>
      <c r="K22" s="28">
        <v>9.2999999999999999E-2</v>
      </c>
      <c r="L22" s="28">
        <v>0.13500000000000001</v>
      </c>
      <c r="M22" s="28">
        <v>9.1999999999999998E-2</v>
      </c>
      <c r="N22" s="28">
        <v>0.03</v>
      </c>
      <c r="O22" s="28">
        <v>0.10100000000000001</v>
      </c>
      <c r="P22" s="56">
        <v>2.9000000000000001E-2</v>
      </c>
      <c r="Q22" s="3"/>
      <c r="R22" s="3"/>
      <c r="S22" s="3"/>
      <c r="T22" s="3"/>
      <c r="U22" s="3"/>
      <c r="V22" s="3"/>
      <c r="W22" s="20"/>
      <c r="X22" s="20"/>
      <c r="Y22" s="20"/>
      <c r="Z22" s="20"/>
      <c r="AA22" s="20"/>
      <c r="AB22" s="21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N22" s="23" t="s">
        <v>88</v>
      </c>
      <c r="AO22" s="27">
        <f>NPV(AO20,AB17:DU17)</f>
        <v>6900.0381863938546</v>
      </c>
    </row>
    <row r="23" spans="1:125" x14ac:dyDescent="0.25">
      <c r="C23" s="3" t="s">
        <v>139</v>
      </c>
      <c r="H23" s="57">
        <f>(H11-D11)/D11</f>
        <v>0.10943362484911211</v>
      </c>
      <c r="I23" s="57">
        <f t="shared" ref="I23:O23" si="52">(I11-E11)/E11</f>
        <v>1.1124930795078314E-2</v>
      </c>
      <c r="J23" s="57">
        <f t="shared" si="52"/>
        <v>1.823241065795211E-2</v>
      </c>
      <c r="K23" s="57">
        <f t="shared" si="52"/>
        <v>4.4662162987576207E-2</v>
      </c>
      <c r="L23" s="57">
        <f t="shared" si="52"/>
        <v>6.6018288902666061E-2</v>
      </c>
      <c r="M23" s="57">
        <f t="shared" si="52"/>
        <v>8.5728413187866517E-2</v>
      </c>
      <c r="N23" s="57">
        <f>(N11-J11)/J11</f>
        <v>0.11220931912066294</v>
      </c>
      <c r="O23" s="57">
        <f t="shared" si="52"/>
        <v>0.12775111224506072</v>
      </c>
      <c r="P23" s="58">
        <f>(P11-L11)/L11</f>
        <v>9.1700288603435487E-2</v>
      </c>
      <c r="W23" s="57">
        <f t="shared" ref="W23:AA23" si="53">(W11-V11)/V11</f>
        <v>0.23078783736076297</v>
      </c>
      <c r="X23" s="57">
        <f t="shared" si="53"/>
        <v>2.0802650517858096E-2</v>
      </c>
      <c r="Y23" s="57">
        <f t="shared" si="53"/>
        <v>9.6685700834635194E-2</v>
      </c>
      <c r="Z23" s="57">
        <f t="shared" si="53"/>
        <v>4.3890918227049831E-2</v>
      </c>
      <c r="AA23" s="57">
        <f t="shared" si="53"/>
        <v>0.10109725658619471</v>
      </c>
      <c r="AB23" s="58">
        <f>(AB11-AA11)/AA11</f>
        <v>9.6554684799606313E-2</v>
      </c>
      <c r="AC23" s="57">
        <f t="shared" ref="AC23:AL23" si="54">(AC11-AB11)/AB11</f>
        <v>0.1013127967652995</v>
      </c>
      <c r="AD23" s="57">
        <f t="shared" si="54"/>
        <v>0.10591639212629531</v>
      </c>
      <c r="AE23" s="57">
        <f t="shared" si="54"/>
        <v>0.10069012176225289</v>
      </c>
      <c r="AF23" s="57">
        <f t="shared" si="54"/>
        <v>8.787826498694179E-2</v>
      </c>
      <c r="AG23" s="57">
        <f t="shared" si="54"/>
        <v>8.8015432002813795E-2</v>
      </c>
      <c r="AH23" s="57">
        <f t="shared" si="54"/>
        <v>8.8152028912493671E-2</v>
      </c>
      <c r="AI23" s="57">
        <f t="shared" si="54"/>
        <v>8.8288030542534465E-2</v>
      </c>
      <c r="AJ23" s="57">
        <f t="shared" si="54"/>
        <v>8.8423412218672739E-2</v>
      </c>
      <c r="AK23" s="57">
        <f t="shared" si="54"/>
        <v>8.8558149782971815E-2</v>
      </c>
      <c r="AL23" s="57">
        <f t="shared" si="54"/>
        <v>8.8692219610063211E-2</v>
      </c>
      <c r="AN23" s="3" t="s">
        <v>2</v>
      </c>
      <c r="AO23" s="24">
        <v>40.645161999999999</v>
      </c>
    </row>
    <row r="24" spans="1:125" x14ac:dyDescent="0.25">
      <c r="C24" s="3" t="s">
        <v>82</v>
      </c>
      <c r="D24" s="57">
        <f t="shared" ref="D24:P24" si="55">D12/D6</f>
        <v>3.9856430339161801E-2</v>
      </c>
      <c r="E24" s="57">
        <f t="shared" si="55"/>
        <v>0.10897314138522399</v>
      </c>
      <c r="F24" s="57">
        <f t="shared" si="55"/>
        <v>7.6831692309363264E-2</v>
      </c>
      <c r="G24" s="57">
        <f t="shared" si="55"/>
        <v>0.18893155383574692</v>
      </c>
      <c r="H24" s="57">
        <f t="shared" si="55"/>
        <v>-6.5349235415431514E-2</v>
      </c>
      <c r="I24" s="57">
        <f t="shared" si="55"/>
        <v>9.0556340281839356E-2</v>
      </c>
      <c r="J24" s="57">
        <f t="shared" si="55"/>
        <v>0.16786757803720392</v>
      </c>
      <c r="K24" s="57">
        <f t="shared" si="55"/>
        <v>0.25026361702483785</v>
      </c>
      <c r="L24" s="57">
        <f t="shared" si="55"/>
        <v>1.2985689767006644E-2</v>
      </c>
      <c r="M24" s="57">
        <f t="shared" si="55"/>
        <v>0.10447335465944733</v>
      </c>
      <c r="N24" s="57">
        <f t="shared" si="55"/>
        <v>0.1331492371980765</v>
      </c>
      <c r="O24" s="57">
        <f t="shared" si="55"/>
        <v>0.24514838578382572</v>
      </c>
      <c r="P24" s="58">
        <f t="shared" si="55"/>
        <v>-2.339648357639354E-2</v>
      </c>
      <c r="V24" s="11">
        <f t="shared" ref="V24:AL24" si="56">V12/V6</f>
        <v>0.12878405241918284</v>
      </c>
      <c r="W24" s="11">
        <f t="shared" si="56"/>
        <v>0.16107958660435767</v>
      </c>
      <c r="X24" s="11">
        <f t="shared" si="56"/>
        <v>0.17417678758557836</v>
      </c>
      <c r="Y24" s="11">
        <f t="shared" si="56"/>
        <v>0.11626934888750068</v>
      </c>
      <c r="Z24" s="11">
        <f t="shared" si="56"/>
        <v>0.14038656308609007</v>
      </c>
      <c r="AA24" s="11">
        <f t="shared" si="56"/>
        <v>0.1465381897590346</v>
      </c>
      <c r="AB24" s="12">
        <f t="shared" si="56"/>
        <v>0.14812384051879424</v>
      </c>
      <c r="AC24" s="11">
        <f t="shared" si="56"/>
        <v>0.14321267972974522</v>
      </c>
      <c r="AD24" s="11">
        <f t="shared" si="56"/>
        <v>0.13467110314809416</v>
      </c>
      <c r="AE24" s="11">
        <f t="shared" si="56"/>
        <v>0.13017445768007282</v>
      </c>
      <c r="AF24" s="11">
        <f t="shared" si="56"/>
        <v>0.13186761300887337</v>
      </c>
      <c r="AG24" s="11">
        <f t="shared" si="56"/>
        <v>0.13344822562588582</v>
      </c>
      <c r="AH24" s="11">
        <f t="shared" si="56"/>
        <v>0.13491736564870305</v>
      </c>
      <c r="AI24" s="11">
        <f t="shared" si="56"/>
        <v>0.13627607670209144</v>
      </c>
      <c r="AJ24" s="11">
        <f t="shared" si="56"/>
        <v>0.13752537632035899</v>
      </c>
      <c r="AK24" s="11">
        <f t="shared" si="56"/>
        <v>0.13866625634176624</v>
      </c>
      <c r="AL24" s="11">
        <f t="shared" si="56"/>
        <v>0.1396996832951122</v>
      </c>
      <c r="AN24" s="1" t="s">
        <v>89</v>
      </c>
      <c r="AO24" s="26">
        <f>AO22/AO23</f>
        <v>169.76284130430713</v>
      </c>
    </row>
    <row r="25" spans="1:125" x14ac:dyDescent="0.25">
      <c r="Z25" s="11"/>
      <c r="AA25" s="11"/>
      <c r="AB25" s="12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N25" s="1" t="s">
        <v>90</v>
      </c>
      <c r="AO25" s="28">
        <f>(AO24-B4)/B4</f>
        <v>0.13175227536204753</v>
      </c>
    </row>
    <row r="26" spans="1:125" x14ac:dyDescent="0.25">
      <c r="C26" s="4" t="s">
        <v>93</v>
      </c>
      <c r="Z26" s="11"/>
      <c r="AA26" s="11"/>
      <c r="AB26" s="12"/>
      <c r="AC26" s="11"/>
      <c r="AD26" s="11"/>
      <c r="AE26" s="11"/>
      <c r="AF26" s="11"/>
      <c r="AG26" s="11"/>
      <c r="AH26" s="11"/>
      <c r="AI26" s="11"/>
      <c r="AJ26" s="11"/>
      <c r="AK26" s="11"/>
      <c r="AL26" s="11"/>
    </row>
    <row r="27" spans="1:125" x14ac:dyDescent="0.25">
      <c r="C27" s="3" t="s">
        <v>36</v>
      </c>
      <c r="D27" s="14">
        <v>65</v>
      </c>
      <c r="E27" s="14">
        <v>67</v>
      </c>
      <c r="F27" s="14">
        <v>67</v>
      </c>
      <c r="G27" s="14">
        <v>65</v>
      </c>
      <c r="H27" s="14">
        <v>69.956999999999994</v>
      </c>
      <c r="I27" s="14">
        <v>68.662000000000006</v>
      </c>
      <c r="J27" s="14">
        <v>68</v>
      </c>
      <c r="K27" s="14">
        <v>70</v>
      </c>
      <c r="L27" s="14">
        <v>70.328000000000003</v>
      </c>
      <c r="M27" s="14">
        <v>69.5</v>
      </c>
      <c r="N27" s="14">
        <v>72.114999999999995</v>
      </c>
      <c r="O27" s="14">
        <v>71.298000000000002</v>
      </c>
      <c r="P27" s="15">
        <v>73</v>
      </c>
    </row>
    <row r="28" spans="1:125" x14ac:dyDescent="0.25">
      <c r="C28" s="3" t="s">
        <v>37</v>
      </c>
      <c r="D28" s="14">
        <v>1509.9</v>
      </c>
      <c r="E28" s="14">
        <v>1511</v>
      </c>
      <c r="F28" s="14">
        <v>1511.6</v>
      </c>
      <c r="G28" s="14">
        <v>1510</v>
      </c>
      <c r="H28" s="14">
        <v>1513.6959999999999</v>
      </c>
      <c r="I28" s="14">
        <v>1512.694</v>
      </c>
      <c r="J28" s="14">
        <v>1511.8</v>
      </c>
      <c r="K28" s="14">
        <v>1513.8510000000001</v>
      </c>
      <c r="L28" s="14">
        <v>1513.9739999999999</v>
      </c>
      <c r="M28" s="14">
        <v>1513.3309999999999</v>
      </c>
      <c r="N28" s="14">
        <v>1515.356</v>
      </c>
      <c r="O28" s="14">
        <v>1514.7239999999999</v>
      </c>
      <c r="P28" s="15">
        <v>1515.94</v>
      </c>
    </row>
    <row r="29" spans="1:125" x14ac:dyDescent="0.25">
      <c r="C29" s="3" t="s">
        <v>38</v>
      </c>
      <c r="D29" s="14">
        <v>21</v>
      </c>
      <c r="E29" s="14">
        <v>22</v>
      </c>
      <c r="F29" s="14">
        <v>24.5</v>
      </c>
      <c r="G29" s="14">
        <v>35</v>
      </c>
      <c r="H29" s="14">
        <v>34.655999999999999</v>
      </c>
      <c r="I29" s="14">
        <v>34.503999999999998</v>
      </c>
      <c r="J29" s="14">
        <v>42.6</v>
      </c>
      <c r="K29" s="14">
        <v>46.7</v>
      </c>
      <c r="L29" s="14">
        <v>46.276000000000003</v>
      </c>
      <c r="M29" s="14">
        <v>45.225999999999999</v>
      </c>
      <c r="N29" s="14">
        <v>44.774999999999999</v>
      </c>
      <c r="O29" s="14">
        <v>54.933999999999997</v>
      </c>
      <c r="P29" s="15">
        <v>57.128</v>
      </c>
    </row>
    <row r="30" spans="1:125" x14ac:dyDescent="0.25">
      <c r="C30" s="3" t="s">
        <v>39</v>
      </c>
      <c r="D30" s="14">
        <v>9.6</v>
      </c>
      <c r="E30" s="14">
        <v>6</v>
      </c>
      <c r="F30" s="14">
        <v>0</v>
      </c>
      <c r="G30" s="14">
        <v>2</v>
      </c>
      <c r="H30" s="14">
        <v>17.45</v>
      </c>
      <c r="I30" s="14">
        <v>0</v>
      </c>
      <c r="J30" s="14">
        <v>0</v>
      </c>
      <c r="K30" s="14">
        <v>7</v>
      </c>
      <c r="L30" s="14">
        <v>6.5620000000000003</v>
      </c>
      <c r="M30" s="14">
        <v>9.2319999999999993</v>
      </c>
      <c r="N30" s="14">
        <v>6.1109999999999998</v>
      </c>
      <c r="O30" s="14">
        <v>0</v>
      </c>
      <c r="P30" s="15">
        <v>0</v>
      </c>
    </row>
    <row r="31" spans="1:125" x14ac:dyDescent="0.25">
      <c r="C31" s="3" t="s">
        <v>40</v>
      </c>
      <c r="D31" s="14">
        <v>737.7</v>
      </c>
      <c r="E31" s="14">
        <v>777</v>
      </c>
      <c r="F31" s="14">
        <v>795.4</v>
      </c>
      <c r="G31" s="14">
        <v>761</v>
      </c>
      <c r="H31" s="14">
        <v>1067.1420000000001</v>
      </c>
      <c r="I31" s="14">
        <v>1042.4670000000001</v>
      </c>
      <c r="J31" s="14">
        <v>1039.5</v>
      </c>
      <c r="K31" s="14">
        <v>1050</v>
      </c>
      <c r="L31" s="14">
        <v>1182.5350000000001</v>
      </c>
      <c r="M31" s="14">
        <v>1199.1669999999999</v>
      </c>
      <c r="N31" s="14">
        <v>1181.866</v>
      </c>
      <c r="O31" s="14">
        <v>1198.9549999999999</v>
      </c>
      <c r="P31" s="15">
        <v>1212.1679999999999</v>
      </c>
    </row>
    <row r="32" spans="1:125" x14ac:dyDescent="0.25">
      <c r="C32" s="3" t="s">
        <v>41</v>
      </c>
      <c r="D32" s="14">
        <v>194.3</v>
      </c>
      <c r="E32" s="14">
        <v>200</v>
      </c>
      <c r="F32" s="14">
        <v>202</v>
      </c>
      <c r="G32" s="14">
        <v>237</v>
      </c>
      <c r="H32" s="14">
        <v>274.96600000000001</v>
      </c>
      <c r="I32" s="14">
        <v>308.31599999999997</v>
      </c>
      <c r="J32" s="14">
        <v>299.60000000000002</v>
      </c>
      <c r="K32" s="14">
        <v>303</v>
      </c>
      <c r="L32" s="14">
        <v>319.11099999999999</v>
      </c>
      <c r="M32" s="14">
        <v>328.86200000000002</v>
      </c>
      <c r="N32" s="14">
        <v>336.95499999999998</v>
      </c>
      <c r="O32" s="14">
        <v>383.495</v>
      </c>
      <c r="P32" s="15">
        <v>387.44499999999999</v>
      </c>
    </row>
    <row r="33" spans="3:16" x14ac:dyDescent="0.25">
      <c r="C33" s="3" t="s">
        <v>42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1</v>
      </c>
      <c r="L33" s="14">
        <v>0.42399999999999999</v>
      </c>
      <c r="M33" s="14">
        <v>0</v>
      </c>
      <c r="N33" s="14">
        <v>0</v>
      </c>
      <c r="O33" s="14">
        <v>34.331000000000003</v>
      </c>
      <c r="P33" s="15">
        <v>1.214</v>
      </c>
    </row>
    <row r="34" spans="3:16" x14ac:dyDescent="0.25">
      <c r="C34" s="3" t="s">
        <v>43</v>
      </c>
      <c r="D34" s="14">
        <v>22.5</v>
      </c>
      <c r="E34" s="14">
        <v>31</v>
      </c>
      <c r="F34" s="14">
        <v>23</v>
      </c>
      <c r="G34" s="14">
        <v>24</v>
      </c>
      <c r="H34" s="14">
        <v>35.799999999999997</v>
      </c>
      <c r="I34" s="14">
        <v>37.024000000000001</v>
      </c>
      <c r="J34" s="14">
        <v>37.5</v>
      </c>
      <c r="K34" s="14">
        <v>51</v>
      </c>
      <c r="L34" s="14">
        <v>51.475999999999999</v>
      </c>
      <c r="M34" s="14">
        <v>70</v>
      </c>
      <c r="N34" s="14">
        <v>71.073999999999998</v>
      </c>
      <c r="O34" s="14">
        <v>0</v>
      </c>
      <c r="P34" s="15">
        <v>0</v>
      </c>
    </row>
    <row r="35" spans="3:16" x14ac:dyDescent="0.25">
      <c r="C35" s="3" t="s">
        <v>44</v>
      </c>
      <c r="D35" s="14">
        <v>722.18799999999999</v>
      </c>
      <c r="E35" s="14">
        <v>779.6</v>
      </c>
      <c r="F35" s="14">
        <v>876.5</v>
      </c>
      <c r="G35" s="14">
        <v>669</v>
      </c>
      <c r="H35" s="14">
        <v>672.80600000000004</v>
      </c>
      <c r="I35" s="14">
        <v>666.04899999999998</v>
      </c>
      <c r="J35" s="14">
        <v>728.7</v>
      </c>
      <c r="K35" s="14">
        <v>576</v>
      </c>
      <c r="L35" s="14">
        <v>700</v>
      </c>
      <c r="M35" s="14">
        <v>759.88900000000001</v>
      </c>
      <c r="N35" s="14">
        <v>930.78499999999997</v>
      </c>
      <c r="O35" s="14">
        <v>775.91099999999994</v>
      </c>
      <c r="P35" s="15">
        <v>865.75099999999998</v>
      </c>
    </row>
    <row r="36" spans="3:16" x14ac:dyDescent="0.25">
      <c r="C36" s="3" t="s">
        <v>45</v>
      </c>
      <c r="D36" s="14">
        <v>16</v>
      </c>
      <c r="E36" s="14">
        <v>21</v>
      </c>
      <c r="F36" s="14">
        <v>16</v>
      </c>
      <c r="G36" s="14">
        <v>12</v>
      </c>
      <c r="H36" s="14">
        <v>15.3322</v>
      </c>
      <c r="I36" s="14">
        <v>32.841000000000001</v>
      </c>
      <c r="J36" s="14">
        <v>10.1</v>
      </c>
      <c r="K36" s="14">
        <v>33</v>
      </c>
      <c r="L36" s="14">
        <v>25.876000000000001</v>
      </c>
      <c r="M36" s="14">
        <v>27.274000000000001</v>
      </c>
      <c r="N36" s="14">
        <v>25.707999999999998</v>
      </c>
      <c r="O36" s="14">
        <v>31.510999999999999</v>
      </c>
      <c r="P36" s="15">
        <v>43.704000000000001</v>
      </c>
    </row>
    <row r="37" spans="3:16" x14ac:dyDescent="0.25">
      <c r="C37" s="3" t="s">
        <v>46</v>
      </c>
      <c r="D37" s="14">
        <v>35.299999999999997</v>
      </c>
      <c r="E37" s="14">
        <v>31</v>
      </c>
      <c r="F37" s="14">
        <v>33</v>
      </c>
      <c r="G37" s="14">
        <v>35</v>
      </c>
      <c r="H37" s="14">
        <v>16.495000000000001</v>
      </c>
      <c r="I37" s="14">
        <v>50.140999999999998</v>
      </c>
      <c r="J37" s="14">
        <v>27</v>
      </c>
      <c r="K37" s="14">
        <v>43</v>
      </c>
      <c r="L37" s="14">
        <v>41.942999999999998</v>
      </c>
      <c r="M37" s="14">
        <v>41.420999999999999</v>
      </c>
      <c r="N37" s="14">
        <v>31.038</v>
      </c>
      <c r="O37" s="14">
        <v>52.793999999999997</v>
      </c>
      <c r="P37" s="15">
        <v>64.260000000000005</v>
      </c>
    </row>
    <row r="38" spans="3:16" x14ac:dyDescent="0.25">
      <c r="C38" s="3" t="s">
        <v>47</v>
      </c>
      <c r="D38" s="14">
        <v>37.5</v>
      </c>
      <c r="E38" s="14">
        <v>120</v>
      </c>
      <c r="F38" s="14">
        <v>148</v>
      </c>
      <c r="G38" s="14">
        <v>59</v>
      </c>
      <c r="H38" s="14">
        <v>53.762999999999998</v>
      </c>
      <c r="I38" s="14">
        <v>79.614000000000004</v>
      </c>
      <c r="J38" s="14">
        <v>61.7</v>
      </c>
      <c r="K38" s="14">
        <v>29</v>
      </c>
      <c r="L38" s="14">
        <v>49.692999999999998</v>
      </c>
      <c r="M38" s="14">
        <v>42.438000000000002</v>
      </c>
      <c r="N38" s="14">
        <v>28.593</v>
      </c>
      <c r="O38" s="14">
        <v>76.057000000000002</v>
      </c>
      <c r="P38" s="15">
        <v>34.238999999999997</v>
      </c>
    </row>
    <row r="39" spans="3:16" x14ac:dyDescent="0.25">
      <c r="C39" s="3" t="s">
        <v>48</v>
      </c>
      <c r="D39" s="14">
        <v>0</v>
      </c>
      <c r="E39" s="14">
        <v>4</v>
      </c>
      <c r="F39" s="14">
        <v>6</v>
      </c>
      <c r="G39" s="14">
        <v>76</v>
      </c>
      <c r="H39" s="14">
        <v>0</v>
      </c>
      <c r="I39" s="14">
        <v>0</v>
      </c>
      <c r="J39" s="14">
        <v>0</v>
      </c>
      <c r="K39" s="14">
        <v>225</v>
      </c>
      <c r="L39" s="14">
        <v>0</v>
      </c>
      <c r="M39" s="14">
        <v>0</v>
      </c>
      <c r="N39" s="14">
        <v>0</v>
      </c>
      <c r="O39" s="14">
        <v>228.53399999999999</v>
      </c>
      <c r="P39" s="15">
        <v>0</v>
      </c>
    </row>
    <row r="40" spans="3:16" x14ac:dyDescent="0.25">
      <c r="C40" s="1" t="s">
        <v>49</v>
      </c>
      <c r="D40" s="18">
        <f t="shared" ref="D40:M40" si="57">SUM(D27:D39)</f>
        <v>3370.9880000000003</v>
      </c>
      <c r="E40" s="18">
        <f t="shared" si="57"/>
        <v>3569.6</v>
      </c>
      <c r="F40" s="18">
        <f>SUM(F27:F39)</f>
        <v>3703</v>
      </c>
      <c r="G40" s="18">
        <f t="shared" si="57"/>
        <v>3485</v>
      </c>
      <c r="H40" s="18">
        <f t="shared" si="57"/>
        <v>3772.0631999999996</v>
      </c>
      <c r="I40" s="18">
        <f t="shared" si="57"/>
        <v>3832.3119999999999</v>
      </c>
      <c r="J40" s="18">
        <f t="shared" si="57"/>
        <v>3826.4999999999995</v>
      </c>
      <c r="K40" s="18">
        <f t="shared" si="57"/>
        <v>3948.5510000000004</v>
      </c>
      <c r="L40" s="18">
        <f t="shared" si="57"/>
        <v>4008.1980000000008</v>
      </c>
      <c r="M40" s="18">
        <f t="shared" si="57"/>
        <v>4106.3399999999992</v>
      </c>
      <c r="N40" s="18">
        <f>SUM(N27:N39)</f>
        <v>4244.3759999999993</v>
      </c>
      <c r="O40" s="18">
        <f>SUM(O27:O39)</f>
        <v>4422.5439999999999</v>
      </c>
      <c r="P40" s="16">
        <f>SUM(P27:P39)</f>
        <v>4254.8489999999993</v>
      </c>
    </row>
    <row r="41" spans="3:16" x14ac:dyDescent="0.25">
      <c r="C41" s="3" t="s">
        <v>50</v>
      </c>
      <c r="D41" s="14">
        <v>48.7</v>
      </c>
      <c r="E41" s="14">
        <v>49</v>
      </c>
      <c r="F41" s="14">
        <v>48.77</v>
      </c>
      <c r="G41" s="14">
        <v>49</v>
      </c>
      <c r="H41" s="14">
        <v>48.77</v>
      </c>
      <c r="I41" s="14">
        <v>48.77</v>
      </c>
      <c r="J41" s="14">
        <v>48.77</v>
      </c>
      <c r="K41" s="14">
        <v>49</v>
      </c>
      <c r="L41" s="14">
        <v>48.77</v>
      </c>
      <c r="M41" s="14">
        <v>49</v>
      </c>
      <c r="N41" s="14">
        <v>48.77</v>
      </c>
      <c r="O41" s="14">
        <v>48.77</v>
      </c>
      <c r="P41" s="15">
        <v>48.77</v>
      </c>
    </row>
    <row r="42" spans="3:16" x14ac:dyDescent="0.25">
      <c r="C42" s="3" t="s">
        <v>51</v>
      </c>
      <c r="D42" s="14">
        <v>321</v>
      </c>
      <c r="E42" s="14">
        <v>321</v>
      </c>
      <c r="F42" s="14">
        <v>321</v>
      </c>
      <c r="G42" s="14">
        <v>321</v>
      </c>
      <c r="H42" s="14">
        <v>321.05</v>
      </c>
      <c r="I42" s="14">
        <v>321.05</v>
      </c>
      <c r="J42" s="14">
        <v>321</v>
      </c>
      <c r="K42" s="14">
        <v>321</v>
      </c>
      <c r="L42" s="14">
        <v>321.05</v>
      </c>
      <c r="M42" s="14">
        <v>321.05</v>
      </c>
      <c r="N42" s="14">
        <v>321.05</v>
      </c>
      <c r="O42" s="14">
        <v>321.05</v>
      </c>
      <c r="P42" s="15">
        <v>321</v>
      </c>
    </row>
    <row r="43" spans="3:16" x14ac:dyDescent="0.25">
      <c r="C43" s="3" t="s">
        <v>52</v>
      </c>
      <c r="D43" s="14">
        <v>64.599999999999994</v>
      </c>
      <c r="E43" s="14">
        <v>64.5</v>
      </c>
      <c r="F43" s="14">
        <v>64.599999999999994</v>
      </c>
      <c r="G43" s="14">
        <v>65</v>
      </c>
      <c r="H43" s="14">
        <v>64.617000000000004</v>
      </c>
      <c r="I43" s="14">
        <v>64.617000000000004</v>
      </c>
      <c r="J43" s="14">
        <v>64.599999999999994</v>
      </c>
      <c r="K43" s="14">
        <v>65</v>
      </c>
      <c r="L43" s="14">
        <v>64.617000000000004</v>
      </c>
      <c r="M43" s="14">
        <v>64.617000000000004</v>
      </c>
      <c r="N43" s="14">
        <v>64.617000000000004</v>
      </c>
      <c r="O43" s="14">
        <v>64.617000000000004</v>
      </c>
      <c r="P43" s="15">
        <v>64.617000000000004</v>
      </c>
    </row>
    <row r="44" spans="3:16" x14ac:dyDescent="0.25">
      <c r="C44" s="3" t="s">
        <v>53</v>
      </c>
      <c r="D44" s="14">
        <v>833.4</v>
      </c>
      <c r="E44" s="14">
        <v>808</v>
      </c>
      <c r="F44" s="14">
        <v>860.2</v>
      </c>
      <c r="G44" s="14">
        <v>839</v>
      </c>
      <c r="H44" s="14">
        <v>823.70399999999995</v>
      </c>
      <c r="I44" s="14">
        <v>747.13599999999997</v>
      </c>
      <c r="J44" s="14">
        <v>812</v>
      </c>
      <c r="K44" s="14">
        <v>881</v>
      </c>
      <c r="L44" s="14">
        <v>929.25900000000001</v>
      </c>
      <c r="M44" s="14">
        <v>818.59299999999996</v>
      </c>
      <c r="N44" s="14">
        <v>890.57</v>
      </c>
      <c r="O44" s="14">
        <v>1103.886</v>
      </c>
      <c r="P44" s="15">
        <v>1011.711</v>
      </c>
    </row>
    <row r="45" spans="3:16" x14ac:dyDescent="0.25">
      <c r="C45" s="13" t="s">
        <v>54</v>
      </c>
      <c r="D45" s="31">
        <f t="shared" ref="D45:M45" si="58">SUM(D41:D44)</f>
        <v>1267.6999999999998</v>
      </c>
      <c r="E45" s="31">
        <f t="shared" si="58"/>
        <v>1242.5</v>
      </c>
      <c r="F45" s="31">
        <f t="shared" si="58"/>
        <v>1294.5700000000002</v>
      </c>
      <c r="G45" s="31">
        <f t="shared" si="58"/>
        <v>1274</v>
      </c>
      <c r="H45" s="31">
        <f t="shared" si="58"/>
        <v>1258.1410000000001</v>
      </c>
      <c r="I45" s="31">
        <f t="shared" si="58"/>
        <v>1181.5729999999999</v>
      </c>
      <c r="J45" s="31">
        <f t="shared" si="58"/>
        <v>1246.3699999999999</v>
      </c>
      <c r="K45" s="31">
        <f t="shared" si="58"/>
        <v>1316</v>
      </c>
      <c r="L45" s="31">
        <f t="shared" si="58"/>
        <v>1363.6959999999999</v>
      </c>
      <c r="M45" s="31">
        <f t="shared" si="58"/>
        <v>1253.26</v>
      </c>
      <c r="N45" s="31">
        <f>SUM(N41:N44)</f>
        <v>1325.0070000000001</v>
      </c>
      <c r="O45" s="31">
        <f>SUM(O41:O44)</f>
        <v>1538.3229999999999</v>
      </c>
      <c r="P45" s="22">
        <f>SUM(P41:P44)</f>
        <v>1446.098</v>
      </c>
    </row>
    <row r="46" spans="3:16" x14ac:dyDescent="0.25">
      <c r="C46" s="3" t="s">
        <v>55</v>
      </c>
      <c r="D46" s="14">
        <v>322.5</v>
      </c>
      <c r="E46" s="14">
        <v>345</v>
      </c>
      <c r="F46" s="14">
        <v>346</v>
      </c>
      <c r="G46" s="14">
        <v>323</v>
      </c>
      <c r="H46" s="14">
        <v>325.54300000000001</v>
      </c>
      <c r="I46" s="14">
        <v>316.30599999999998</v>
      </c>
      <c r="J46" s="14">
        <v>322.89999999999998</v>
      </c>
      <c r="K46" s="14">
        <v>312</v>
      </c>
      <c r="L46" s="14">
        <v>322.26400000000001</v>
      </c>
      <c r="M46" s="14">
        <v>319.57600000000002</v>
      </c>
      <c r="N46" s="14">
        <v>316.803</v>
      </c>
      <c r="O46" s="14">
        <v>322.62799999999999</v>
      </c>
      <c r="P46" s="15">
        <v>296.61799999999999</v>
      </c>
    </row>
    <row r="47" spans="3:16" x14ac:dyDescent="0.25">
      <c r="C47" s="3" t="s">
        <v>94</v>
      </c>
      <c r="D47" s="14">
        <v>500.3</v>
      </c>
      <c r="E47" s="14">
        <v>539</v>
      </c>
      <c r="F47" s="14">
        <v>554</v>
      </c>
      <c r="G47" s="14">
        <v>524</v>
      </c>
      <c r="H47" s="14">
        <v>786.32500000000005</v>
      </c>
      <c r="I47" s="14">
        <v>768.11300000000006</v>
      </c>
      <c r="J47" s="14">
        <v>767</v>
      </c>
      <c r="K47" s="14">
        <v>779</v>
      </c>
      <c r="L47" s="14">
        <v>879.31500000000005</v>
      </c>
      <c r="M47" s="14">
        <v>893.65200000000004</v>
      </c>
      <c r="N47" s="14">
        <v>876.68299999999999</v>
      </c>
      <c r="O47" s="14">
        <v>891.62</v>
      </c>
      <c r="P47" s="15">
        <v>887.88199999999995</v>
      </c>
    </row>
    <row r="48" spans="3:16" x14ac:dyDescent="0.25">
      <c r="C48" s="3" t="s">
        <v>64</v>
      </c>
      <c r="D48" s="14">
        <v>451.6</v>
      </c>
      <c r="E48" s="14">
        <v>521.6</v>
      </c>
      <c r="F48" s="14">
        <v>621.6</v>
      </c>
      <c r="G48" s="14">
        <v>522</v>
      </c>
      <c r="H48" s="14">
        <v>521.65</v>
      </c>
      <c r="I48" s="14">
        <v>511.654</v>
      </c>
      <c r="J48" s="14">
        <v>671.6</v>
      </c>
      <c r="K48" s="14">
        <v>492</v>
      </c>
      <c r="L48" s="14">
        <v>491.65199999999999</v>
      </c>
      <c r="M48" s="14">
        <v>681.54100000000005</v>
      </c>
      <c r="N48" s="14">
        <v>681.56399999999996</v>
      </c>
      <c r="O48" s="14">
        <v>461.66800000000001</v>
      </c>
      <c r="P48" s="15">
        <v>461.66899999999998</v>
      </c>
    </row>
    <row r="49" spans="3:27" x14ac:dyDescent="0.25">
      <c r="C49" s="3" t="s">
        <v>95</v>
      </c>
      <c r="D49" s="14">
        <v>248.6</v>
      </c>
      <c r="E49" s="14">
        <v>251.4</v>
      </c>
      <c r="F49" s="14">
        <v>259</v>
      </c>
      <c r="G49" s="14">
        <v>258</v>
      </c>
      <c r="H49" s="14">
        <v>302.97300000000001</v>
      </c>
      <c r="I49" s="14">
        <v>301.678</v>
      </c>
      <c r="J49" s="14">
        <v>302.3</v>
      </c>
      <c r="K49" s="14">
        <v>306</v>
      </c>
      <c r="L49" s="14">
        <v>341.85300000000001</v>
      </c>
      <c r="M49" s="14">
        <v>343</v>
      </c>
      <c r="N49" s="14">
        <v>351.76499999999999</v>
      </c>
      <c r="O49" s="14">
        <v>354.09300000000002</v>
      </c>
      <c r="P49" s="15">
        <v>377.23700000000002</v>
      </c>
    </row>
    <row r="50" spans="3:27" x14ac:dyDescent="0.25">
      <c r="C50" s="3" t="s">
        <v>65</v>
      </c>
      <c r="D50" s="14">
        <v>168.6</v>
      </c>
      <c r="E50" s="14">
        <v>167</v>
      </c>
      <c r="F50" s="14">
        <v>200.7</v>
      </c>
      <c r="G50" s="14">
        <v>30</v>
      </c>
      <c r="H50" s="14">
        <v>178.41900000000001</v>
      </c>
      <c r="I50" s="14">
        <v>331.06099999999998</v>
      </c>
      <c r="J50" s="14">
        <v>75.8</v>
      </c>
      <c r="K50" s="14">
        <v>30</v>
      </c>
      <c r="L50" s="14">
        <v>77.296000000000006</v>
      </c>
      <c r="M50" s="14">
        <v>74.477000000000004</v>
      </c>
      <c r="N50" s="14">
        <v>102.62</v>
      </c>
      <c r="O50" s="14">
        <v>30</v>
      </c>
      <c r="P50" s="15">
        <v>188.27600000000001</v>
      </c>
    </row>
    <row r="51" spans="3:27" x14ac:dyDescent="0.25">
      <c r="C51" s="3" t="s">
        <v>56</v>
      </c>
      <c r="D51" s="14">
        <v>127.5</v>
      </c>
      <c r="E51" s="14">
        <v>101</v>
      </c>
      <c r="F51" s="14">
        <v>113</v>
      </c>
      <c r="G51" s="14">
        <v>122</v>
      </c>
      <c r="H51" s="14">
        <v>134.25800000000001</v>
      </c>
      <c r="I51" s="14">
        <v>110.93</v>
      </c>
      <c r="J51" s="14">
        <v>152</v>
      </c>
      <c r="K51" s="14">
        <v>203</v>
      </c>
      <c r="L51" s="14">
        <v>187.08799999999999</v>
      </c>
      <c r="M51" s="14">
        <v>182.136</v>
      </c>
      <c r="N51" s="14">
        <v>213.386</v>
      </c>
      <c r="O51" s="14">
        <v>235.91</v>
      </c>
      <c r="P51" s="15">
        <v>166.18299999999999</v>
      </c>
    </row>
    <row r="52" spans="3:27" x14ac:dyDescent="0.25">
      <c r="C52" s="3" t="s">
        <v>57</v>
      </c>
      <c r="D52" s="14">
        <v>45.9</v>
      </c>
      <c r="E52" s="14">
        <v>12</v>
      </c>
      <c r="F52" s="14">
        <v>14</v>
      </c>
      <c r="G52" s="14">
        <v>58</v>
      </c>
      <c r="H52" s="14">
        <v>20.491</v>
      </c>
      <c r="I52" s="14">
        <v>0</v>
      </c>
      <c r="J52" s="14">
        <v>0</v>
      </c>
      <c r="K52" s="14">
        <v>56</v>
      </c>
      <c r="L52" s="14">
        <v>0</v>
      </c>
      <c r="M52" s="14">
        <v>0</v>
      </c>
      <c r="N52" s="14">
        <v>4.6180000000000003</v>
      </c>
      <c r="O52" s="14">
        <v>84.698999999999998</v>
      </c>
      <c r="P52" s="15">
        <v>7.6</v>
      </c>
    </row>
    <row r="53" spans="3:27" x14ac:dyDescent="0.25">
      <c r="C53" s="3" t="s">
        <v>58</v>
      </c>
      <c r="D53" s="14">
        <v>96.3</v>
      </c>
      <c r="E53" s="14">
        <v>100.6</v>
      </c>
      <c r="F53" s="14">
        <v>119</v>
      </c>
      <c r="G53" s="14">
        <v>167</v>
      </c>
      <c r="H53" s="14">
        <v>90</v>
      </c>
      <c r="I53" s="14">
        <v>100.84399999999999</v>
      </c>
      <c r="J53" s="14">
        <v>129</v>
      </c>
      <c r="K53" s="14">
        <v>210</v>
      </c>
      <c r="L53" s="14">
        <v>138.63999999999999</v>
      </c>
      <c r="M53" s="14">
        <v>127.35599999999999</v>
      </c>
      <c r="N53" s="14">
        <v>152.81100000000001</v>
      </c>
      <c r="O53" s="14">
        <v>228.10900000000001</v>
      </c>
      <c r="P53" s="15">
        <v>124.476</v>
      </c>
    </row>
    <row r="54" spans="3:27" x14ac:dyDescent="0.25">
      <c r="C54" s="3" t="s">
        <v>66</v>
      </c>
      <c r="D54" s="14">
        <v>131.80000000000001</v>
      </c>
      <c r="E54" s="14">
        <v>189</v>
      </c>
      <c r="F54" s="14">
        <v>181.6</v>
      </c>
      <c r="G54" s="14">
        <v>202</v>
      </c>
      <c r="H54" s="14">
        <v>192.554</v>
      </c>
      <c r="I54" s="14">
        <v>208.745</v>
      </c>
      <c r="J54" s="14">
        <v>155</v>
      </c>
      <c r="K54" s="14">
        <v>191.6</v>
      </c>
      <c r="L54" s="14">
        <v>199.797</v>
      </c>
      <c r="M54" s="14">
        <v>220.351</v>
      </c>
      <c r="N54" s="14">
        <v>207.12</v>
      </c>
      <c r="O54" s="14">
        <v>274.851</v>
      </c>
      <c r="P54" s="15">
        <v>259</v>
      </c>
    </row>
    <row r="55" spans="3:27" x14ac:dyDescent="0.25">
      <c r="C55" s="3" t="s">
        <v>47</v>
      </c>
      <c r="D55" s="14">
        <v>10</v>
      </c>
      <c r="E55" s="14">
        <v>1</v>
      </c>
      <c r="F55" s="14">
        <v>0.05</v>
      </c>
      <c r="G55" s="14">
        <v>7</v>
      </c>
      <c r="H55" s="14">
        <v>2.5</v>
      </c>
      <c r="I55" s="14">
        <v>1.4079999999999999</v>
      </c>
      <c r="J55" s="14">
        <v>3.4</v>
      </c>
      <c r="K55" s="14">
        <v>53.7</v>
      </c>
      <c r="L55" s="14">
        <v>6.7309999999999999</v>
      </c>
      <c r="M55" s="14">
        <v>11.143000000000001</v>
      </c>
      <c r="N55" s="14">
        <v>12</v>
      </c>
      <c r="O55" s="14">
        <v>0.16900000000000001</v>
      </c>
      <c r="P55" s="15">
        <v>39.5</v>
      </c>
    </row>
    <row r="56" spans="3:27" x14ac:dyDescent="0.25">
      <c r="C56" s="13" t="s">
        <v>59</v>
      </c>
      <c r="D56" s="31">
        <f t="shared" ref="D56:M56" si="59">SUM(D46:D55)</f>
        <v>2103.1</v>
      </c>
      <c r="E56" s="31">
        <f t="shared" si="59"/>
        <v>2227.6</v>
      </c>
      <c r="F56" s="31">
        <f t="shared" si="59"/>
        <v>2408.9500000000003</v>
      </c>
      <c r="G56" s="31">
        <f t="shared" si="59"/>
        <v>2213</v>
      </c>
      <c r="H56" s="31">
        <f>SUM(H46:H55)</f>
        <v>2554.7129999999997</v>
      </c>
      <c r="I56" s="31">
        <f t="shared" si="59"/>
        <v>2650.739</v>
      </c>
      <c r="J56" s="31">
        <f t="shared" si="59"/>
        <v>2579.0000000000005</v>
      </c>
      <c r="K56" s="31">
        <f t="shared" si="59"/>
        <v>2633.2999999999997</v>
      </c>
      <c r="L56" s="31">
        <f t="shared" si="59"/>
        <v>2644.6360000000004</v>
      </c>
      <c r="M56" s="31">
        <f t="shared" si="59"/>
        <v>2853.2320000000004</v>
      </c>
      <c r="N56" s="31">
        <f>SUM(N46:N55)</f>
        <v>2919.3699999999994</v>
      </c>
      <c r="O56" s="31">
        <f>SUM(O46:O55)</f>
        <v>2883.7469999999998</v>
      </c>
      <c r="P56" s="22">
        <f>SUM(P46:P55)</f>
        <v>2808.4409999999998</v>
      </c>
    </row>
    <row r="57" spans="3:27" x14ac:dyDescent="0.25">
      <c r="C57" s="1" t="s">
        <v>60</v>
      </c>
      <c r="D57" s="18">
        <f t="shared" ref="D57:M57" si="60">D45+D56</f>
        <v>3370.7999999999997</v>
      </c>
      <c r="E57" s="18">
        <f t="shared" si="60"/>
        <v>3470.1</v>
      </c>
      <c r="F57" s="18">
        <f t="shared" si="60"/>
        <v>3703.5200000000004</v>
      </c>
      <c r="G57" s="18">
        <f t="shared" si="60"/>
        <v>3487</v>
      </c>
      <c r="H57" s="18">
        <f>H45+H56</f>
        <v>3812.8539999999998</v>
      </c>
      <c r="I57" s="18">
        <f t="shared" si="60"/>
        <v>3832.3119999999999</v>
      </c>
      <c r="J57" s="18">
        <f t="shared" si="60"/>
        <v>3825.3700000000003</v>
      </c>
      <c r="K57" s="18">
        <f t="shared" si="60"/>
        <v>3949.2999999999997</v>
      </c>
      <c r="L57" s="18">
        <f t="shared" si="60"/>
        <v>4008.3320000000003</v>
      </c>
      <c r="M57" s="18">
        <f t="shared" si="60"/>
        <v>4106.4920000000002</v>
      </c>
      <c r="N57" s="18">
        <f>N45+N56</f>
        <v>4244.3769999999995</v>
      </c>
      <c r="O57" s="18">
        <f>O45+O56</f>
        <v>4422.07</v>
      </c>
      <c r="P57" s="16">
        <f>P45+P56</f>
        <v>4254.5389999999998</v>
      </c>
    </row>
    <row r="58" spans="3:27" x14ac:dyDescent="0.25"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</row>
    <row r="59" spans="3:27" x14ac:dyDescent="0.25">
      <c r="C59" s="4" t="s">
        <v>108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O59" s="14"/>
    </row>
    <row r="60" spans="3:27" x14ac:dyDescent="0.25">
      <c r="C60" s="3" t="s">
        <v>115</v>
      </c>
      <c r="D60" s="14">
        <f t="shared" ref="D60:P60" si="61">D15</f>
        <v>11.881999999999962</v>
      </c>
      <c r="E60" s="14">
        <f t="shared" si="61"/>
        <v>67.82699999999997</v>
      </c>
      <c r="F60" s="14">
        <f t="shared" si="61"/>
        <v>41.612999999999943</v>
      </c>
      <c r="G60" s="14">
        <f t="shared" si="61"/>
        <v>198.59100000000007</v>
      </c>
      <c r="H60" s="14">
        <f t="shared" si="61"/>
        <v>-57.83799999999988</v>
      </c>
      <c r="I60" s="14">
        <f t="shared" si="61"/>
        <v>45.208999999999996</v>
      </c>
      <c r="J60" s="14">
        <f t="shared" si="61"/>
        <v>118.10399999999993</v>
      </c>
      <c r="K60" s="14">
        <f t="shared" si="61"/>
        <v>296.43000000000006</v>
      </c>
      <c r="L60" s="14">
        <f t="shared" si="61"/>
        <v>-11.43200000000002</v>
      </c>
      <c r="M60" s="14">
        <f t="shared" si="61"/>
        <v>59.472000000000023</v>
      </c>
      <c r="N60" s="14">
        <f t="shared" si="61"/>
        <v>92.576000000000164</v>
      </c>
      <c r="O60" s="14">
        <f t="shared" si="61"/>
        <v>357.59799999999996</v>
      </c>
      <c r="P60" s="15">
        <f t="shared" si="61"/>
        <v>-38.756999999999941</v>
      </c>
      <c r="V60" s="14">
        <f t="shared" ref="V60:AA60" si="62">V15</f>
        <v>260.95000000000005</v>
      </c>
      <c r="W60" s="14">
        <f t="shared" si="62"/>
        <v>454.20099999999951</v>
      </c>
      <c r="X60" s="14">
        <f t="shared" si="62"/>
        <v>485.1840000000002</v>
      </c>
      <c r="Y60" s="14">
        <f t="shared" si="62"/>
        <v>319.91299999999961</v>
      </c>
      <c r="Z60" s="14">
        <f t="shared" si="62"/>
        <v>401.90499999999969</v>
      </c>
      <c r="AA60" s="14">
        <f t="shared" si="62"/>
        <v>498.21400000000023</v>
      </c>
    </row>
    <row r="61" spans="3:27" x14ac:dyDescent="0.25">
      <c r="C61" s="3" t="s">
        <v>116</v>
      </c>
      <c r="D61" s="14"/>
      <c r="E61" s="14"/>
      <c r="F61" s="14"/>
      <c r="G61" s="14"/>
      <c r="H61" s="14"/>
      <c r="I61" s="14"/>
      <c r="J61" s="14"/>
      <c r="K61" s="14">
        <v>296.63</v>
      </c>
      <c r="L61" s="14"/>
      <c r="M61" s="14"/>
      <c r="N61" s="14"/>
      <c r="O61" s="14">
        <v>357</v>
      </c>
      <c r="P61" s="15">
        <v>-38</v>
      </c>
      <c r="V61" s="14">
        <v>261</v>
      </c>
      <c r="W61" s="14">
        <v>454</v>
      </c>
      <c r="X61" s="14">
        <v>485.16699999999997</v>
      </c>
      <c r="Y61" s="14">
        <v>319</v>
      </c>
      <c r="Z61" s="14">
        <v>402.5</v>
      </c>
      <c r="AA61" s="14">
        <v>498</v>
      </c>
    </row>
    <row r="62" spans="3:27" x14ac:dyDescent="0.25">
      <c r="C62" s="3" t="s">
        <v>117</v>
      </c>
      <c r="D62" s="14"/>
      <c r="E62" s="14"/>
      <c r="F62" s="14"/>
      <c r="G62" s="14"/>
      <c r="H62" s="14"/>
      <c r="I62" s="14"/>
      <c r="J62" s="14"/>
      <c r="K62" s="14">
        <v>-25.198</v>
      </c>
      <c r="L62" s="14"/>
      <c r="M62" s="14"/>
      <c r="N62" s="14"/>
      <c r="O62" s="14">
        <v>-26.238</v>
      </c>
      <c r="P62" s="15">
        <v>-46.5</v>
      </c>
      <c r="V62" s="14">
        <v>-49.7</v>
      </c>
      <c r="W62" s="14">
        <v>-50</v>
      </c>
      <c r="X62" s="14">
        <v>-105</v>
      </c>
      <c r="Y62" s="14">
        <v>-105.571</v>
      </c>
      <c r="Z62" s="14">
        <v>-91</v>
      </c>
      <c r="AA62" s="14">
        <v>-107</v>
      </c>
    </row>
    <row r="63" spans="3:27" x14ac:dyDescent="0.25">
      <c r="C63" s="3" t="s">
        <v>25</v>
      </c>
      <c r="D63" s="14"/>
      <c r="E63" s="14"/>
      <c r="F63" s="14"/>
      <c r="G63" s="14"/>
      <c r="H63" s="14"/>
      <c r="I63" s="14"/>
      <c r="J63" s="14"/>
      <c r="K63" s="14">
        <v>105.711</v>
      </c>
      <c r="L63" s="14"/>
      <c r="M63" s="14"/>
      <c r="N63" s="14"/>
      <c r="O63" s="14">
        <v>120.334</v>
      </c>
      <c r="P63" s="15">
        <v>131.66300000000001</v>
      </c>
      <c r="V63" s="14">
        <v>265.15199999999999</v>
      </c>
      <c r="W63" s="14">
        <v>340.8</v>
      </c>
      <c r="X63" s="14">
        <v>336.37599999999998</v>
      </c>
      <c r="Y63" s="14">
        <v>348.29599999999999</v>
      </c>
      <c r="Z63" s="14">
        <v>404.13600000000002</v>
      </c>
      <c r="AA63" s="14">
        <v>471.66199999999998</v>
      </c>
    </row>
    <row r="64" spans="3:27" x14ac:dyDescent="0.25">
      <c r="C64" s="3" t="s">
        <v>118</v>
      </c>
      <c r="D64" s="14"/>
      <c r="E64" s="14"/>
      <c r="F64" s="14"/>
      <c r="G64" s="14"/>
      <c r="H64" s="14"/>
      <c r="I64" s="14"/>
      <c r="J64" s="14"/>
      <c r="K64" s="14">
        <v>4</v>
      </c>
      <c r="L64" s="14"/>
      <c r="M64" s="14"/>
      <c r="N64" s="14"/>
      <c r="O64" s="14">
        <v>-2.2000000000000002</v>
      </c>
      <c r="P64" s="15">
        <v>0</v>
      </c>
      <c r="V64" s="14">
        <v>0</v>
      </c>
      <c r="W64" s="14">
        <v>-23.146999999999998</v>
      </c>
      <c r="X64" s="14">
        <v>16.861000000000001</v>
      </c>
      <c r="Y64" s="14">
        <v>1.3</v>
      </c>
      <c r="Z64" s="14">
        <v>79.742999999999995</v>
      </c>
      <c r="AA64" s="14">
        <v>97.6</v>
      </c>
    </row>
    <row r="65" spans="3:27" x14ac:dyDescent="0.25">
      <c r="C65" s="3" t="s">
        <v>135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>
        <v>0</v>
      </c>
      <c r="P65" s="15">
        <v>0</v>
      </c>
      <c r="V65" s="14">
        <v>0</v>
      </c>
      <c r="W65" s="14">
        <v>0</v>
      </c>
      <c r="X65" s="14">
        <v>0</v>
      </c>
      <c r="Y65" s="14">
        <v>0</v>
      </c>
      <c r="Z65" s="14">
        <v>10.1</v>
      </c>
      <c r="AA65" s="14">
        <v>-1.5</v>
      </c>
    </row>
    <row r="66" spans="3:27" x14ac:dyDescent="0.25">
      <c r="C66" s="3" t="s">
        <v>119</v>
      </c>
      <c r="D66" s="14"/>
      <c r="E66" s="14"/>
      <c r="F66" s="14"/>
      <c r="G66" s="14"/>
      <c r="H66" s="14"/>
      <c r="I66" s="14"/>
      <c r="J66" s="14"/>
      <c r="K66" s="14">
        <f>162.657-22.521+46.954+110.253</f>
        <v>297.34300000000002</v>
      </c>
      <c r="L66" s="14"/>
      <c r="M66" s="14"/>
      <c r="N66" s="14"/>
      <c r="O66" s="14">
        <f>150.588-5.486+23.78+150.364</f>
        <v>319.24599999999998</v>
      </c>
      <c r="P66" s="15">
        <f>-84.315-11.615-72.3-134.979</f>
        <v>-303.209</v>
      </c>
      <c r="V66" s="14">
        <f>-77.155-15.733+65.636+74.322</f>
        <v>47.069999999999993</v>
      </c>
      <c r="W66" s="14">
        <f>22.777+8.685-61.333+57.193</f>
        <v>27.322000000000003</v>
      </c>
      <c r="X66" s="14">
        <f>-180-4.4+71.228+15.515+39.283</f>
        <v>-58.374000000000009</v>
      </c>
      <c r="Y66" s="14">
        <f>-29.17+9.135-34.347-7+46.435</f>
        <v>-14.947000000000003</v>
      </c>
      <c r="Z66" s="14">
        <f>111.538-20.231+76.5-11.9</f>
        <v>155.90699999999998</v>
      </c>
      <c r="AA66" s="14">
        <f>-195.4+1.4+29.8+68.967</f>
        <v>-95.23299999999999</v>
      </c>
    </row>
    <row r="67" spans="3:27" x14ac:dyDescent="0.25">
      <c r="C67" s="1" t="s">
        <v>61</v>
      </c>
      <c r="D67" s="18">
        <f t="shared" ref="D67:P67" si="63">SUM(D61:D66)</f>
        <v>0</v>
      </c>
      <c r="E67" s="18">
        <f t="shared" si="63"/>
        <v>0</v>
      </c>
      <c r="F67" s="18">
        <f t="shared" si="63"/>
        <v>0</v>
      </c>
      <c r="G67" s="18">
        <f t="shared" si="63"/>
        <v>0</v>
      </c>
      <c r="H67" s="18">
        <f t="shared" si="63"/>
        <v>0</v>
      </c>
      <c r="I67" s="18">
        <f t="shared" si="63"/>
        <v>0</v>
      </c>
      <c r="J67" s="18">
        <f t="shared" si="63"/>
        <v>0</v>
      </c>
      <c r="K67" s="18">
        <f t="shared" si="63"/>
        <v>678.4860000000001</v>
      </c>
      <c r="L67" s="18">
        <f t="shared" si="63"/>
        <v>0</v>
      </c>
      <c r="M67" s="18">
        <f t="shared" si="63"/>
        <v>0</v>
      </c>
      <c r="N67" s="18">
        <f t="shared" si="63"/>
        <v>0</v>
      </c>
      <c r="O67" s="18">
        <f t="shared" si="63"/>
        <v>768.14200000000005</v>
      </c>
      <c r="P67" s="16">
        <f t="shared" si="63"/>
        <v>-256.04599999999999</v>
      </c>
      <c r="V67" s="18">
        <f>SUM(V61:V66)</f>
        <v>523.52199999999993</v>
      </c>
      <c r="W67" s="18">
        <f>SUM(W61:W66)</f>
        <v>748.97499999999991</v>
      </c>
      <c r="X67" s="18">
        <f t="shared" ref="X67:Z67" si="64">SUM(X61:X66)</f>
        <v>675.02999999999986</v>
      </c>
      <c r="Y67" s="18">
        <f t="shared" si="64"/>
        <v>548.07799999999997</v>
      </c>
      <c r="Z67" s="18">
        <f t="shared" si="64"/>
        <v>961.38599999999997</v>
      </c>
      <c r="AA67" s="18">
        <f>SUM(AA61:AA66)</f>
        <v>863.52900000000011</v>
      </c>
    </row>
    <row r="68" spans="3:27" x14ac:dyDescent="0.25"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5"/>
      <c r="V68" s="14"/>
      <c r="W68" s="14"/>
      <c r="X68" s="14"/>
      <c r="Y68" s="14"/>
      <c r="Z68" s="14"/>
      <c r="AA68" s="14"/>
    </row>
    <row r="69" spans="3:27" x14ac:dyDescent="0.25">
      <c r="C69" s="3" t="s">
        <v>120</v>
      </c>
      <c r="D69" s="14"/>
      <c r="E69" s="14"/>
      <c r="F69" s="14"/>
      <c r="G69" s="14"/>
      <c r="H69" s="14"/>
      <c r="I69" s="14"/>
      <c r="J69" s="14"/>
      <c r="K69" s="14">
        <v>-22.218</v>
      </c>
      <c r="L69" s="14"/>
      <c r="M69" s="14"/>
      <c r="N69" s="14"/>
      <c r="O69" s="14">
        <v>-88</v>
      </c>
      <c r="P69" s="15">
        <v>-38.334000000000003</v>
      </c>
      <c r="V69" s="14">
        <v>-98.088999999999999</v>
      </c>
      <c r="W69" s="14">
        <v>-65.397999999999996</v>
      </c>
      <c r="X69" s="14">
        <v>-92.614000000000004</v>
      </c>
      <c r="Y69" s="14">
        <v>-119.264</v>
      </c>
      <c r="Z69" s="14">
        <v>-163.697</v>
      </c>
      <c r="AA69" s="14">
        <v>-208.32599999999999</v>
      </c>
    </row>
    <row r="70" spans="3:27" x14ac:dyDescent="0.25">
      <c r="C70" s="3" t="s">
        <v>121</v>
      </c>
      <c r="D70" s="14"/>
      <c r="E70" s="14"/>
      <c r="F70" s="14"/>
      <c r="G70" s="14"/>
      <c r="H70" s="14"/>
      <c r="I70" s="14"/>
      <c r="J70" s="14"/>
      <c r="K70" s="14">
        <v>4</v>
      </c>
      <c r="L70" s="14"/>
      <c r="M70" s="14"/>
      <c r="N70" s="14"/>
      <c r="O70" s="14">
        <v>72</v>
      </c>
      <c r="P70" s="15">
        <v>33.5</v>
      </c>
      <c r="V70" s="14">
        <v>0</v>
      </c>
      <c r="W70" s="14">
        <v>0</v>
      </c>
      <c r="X70" s="14">
        <v>0</v>
      </c>
      <c r="Y70" s="14">
        <v>-23.795000000000002</v>
      </c>
      <c r="Z70" s="14">
        <v>-17.785</v>
      </c>
      <c r="AA70" s="14">
        <v>72</v>
      </c>
    </row>
    <row r="71" spans="3:27" x14ac:dyDescent="0.25">
      <c r="C71" s="1" t="s">
        <v>62</v>
      </c>
      <c r="D71" s="18">
        <f t="shared" ref="D71:N71" si="65">SUM(D69:D70)</f>
        <v>0</v>
      </c>
      <c r="E71" s="18">
        <f t="shared" si="65"/>
        <v>0</v>
      </c>
      <c r="F71" s="18">
        <f t="shared" si="65"/>
        <v>0</v>
      </c>
      <c r="G71" s="18">
        <f t="shared" si="65"/>
        <v>0</v>
      </c>
      <c r="H71" s="18">
        <f t="shared" si="65"/>
        <v>0</v>
      </c>
      <c r="I71" s="18">
        <f t="shared" si="65"/>
        <v>0</v>
      </c>
      <c r="J71" s="18">
        <f t="shared" si="65"/>
        <v>0</v>
      </c>
      <c r="K71" s="18">
        <f t="shared" si="65"/>
        <v>-18.218</v>
      </c>
      <c r="L71" s="18">
        <f t="shared" si="65"/>
        <v>0</v>
      </c>
      <c r="M71" s="18">
        <f t="shared" si="65"/>
        <v>0</v>
      </c>
      <c r="N71" s="18">
        <f t="shared" si="65"/>
        <v>0</v>
      </c>
      <c r="O71" s="18">
        <f>SUM(O69:O70)</f>
        <v>-16</v>
      </c>
      <c r="P71" s="16">
        <f>SUM(P69:P70)</f>
        <v>-4.8340000000000032</v>
      </c>
      <c r="V71" s="18">
        <f t="shared" ref="V71:Z71" si="66">SUM(V69:V70)</f>
        <v>-98.088999999999999</v>
      </c>
      <c r="W71" s="18">
        <f t="shared" si="66"/>
        <v>-65.397999999999996</v>
      </c>
      <c r="X71" s="18">
        <f t="shared" si="66"/>
        <v>-92.614000000000004</v>
      </c>
      <c r="Y71" s="18">
        <f t="shared" si="66"/>
        <v>-143.059</v>
      </c>
      <c r="Z71" s="18">
        <f t="shared" si="66"/>
        <v>-181.482</v>
      </c>
      <c r="AA71" s="18">
        <f>SUM(AA69:AA70)</f>
        <v>-136.32599999999999</v>
      </c>
    </row>
    <row r="72" spans="3:27" x14ac:dyDescent="0.25"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5"/>
      <c r="V72" s="14"/>
      <c r="W72" s="14"/>
      <c r="X72" s="14"/>
      <c r="Y72" s="14"/>
      <c r="Z72" s="14"/>
      <c r="AA72" s="14"/>
    </row>
    <row r="73" spans="3:27" x14ac:dyDescent="0.25">
      <c r="C73" s="3" t="s">
        <v>122</v>
      </c>
      <c r="D73" s="14"/>
      <c r="E73" s="14"/>
      <c r="F73" s="14"/>
      <c r="G73" s="14"/>
      <c r="H73" s="14"/>
      <c r="I73" s="14"/>
      <c r="J73" s="14"/>
      <c r="K73" s="14">
        <v>0</v>
      </c>
      <c r="L73" s="14"/>
      <c r="M73" s="14"/>
      <c r="N73" s="14"/>
      <c r="O73" s="14">
        <v>0</v>
      </c>
      <c r="P73" s="15">
        <v>0</v>
      </c>
      <c r="V73" s="14">
        <v>674.375</v>
      </c>
      <c r="W73" s="14">
        <v>25</v>
      </c>
      <c r="X73" s="14">
        <v>130</v>
      </c>
      <c r="Y73" s="14">
        <v>230</v>
      </c>
      <c r="Z73" s="14">
        <v>0</v>
      </c>
      <c r="AA73" s="3">
        <v>0</v>
      </c>
    </row>
    <row r="74" spans="3:27" x14ac:dyDescent="0.25">
      <c r="C74" s="3" t="s">
        <v>123</v>
      </c>
      <c r="D74" s="14"/>
      <c r="E74" s="14"/>
      <c r="F74" s="14"/>
      <c r="G74" s="14"/>
      <c r="H74" s="14"/>
      <c r="I74" s="14"/>
      <c r="J74" s="14"/>
      <c r="K74" s="14">
        <v>0</v>
      </c>
      <c r="L74" s="14"/>
      <c r="M74" s="14"/>
      <c r="N74" s="14"/>
      <c r="O74" s="14">
        <v>30</v>
      </c>
      <c r="P74" s="15">
        <v>0</v>
      </c>
      <c r="V74" s="14">
        <v>0</v>
      </c>
      <c r="W74" s="14">
        <v>0</v>
      </c>
      <c r="X74" s="14">
        <v>0</v>
      </c>
      <c r="Y74" s="14">
        <v>0</v>
      </c>
      <c r="Z74" s="14">
        <v>160</v>
      </c>
      <c r="AA74" s="14">
        <v>230</v>
      </c>
    </row>
    <row r="75" spans="3:27" x14ac:dyDescent="0.25">
      <c r="C75" s="3" t="s">
        <v>124</v>
      </c>
      <c r="D75" s="14"/>
      <c r="E75" s="14"/>
      <c r="F75" s="14"/>
      <c r="G75" s="14"/>
      <c r="H75" s="14"/>
      <c r="I75" s="14"/>
      <c r="J75" s="14"/>
      <c r="K75" s="14">
        <v>-160</v>
      </c>
      <c r="L75" s="14"/>
      <c r="M75" s="14"/>
      <c r="N75" s="14"/>
      <c r="O75" s="14">
        <v>-230</v>
      </c>
      <c r="P75" s="15">
        <v>0</v>
      </c>
      <c r="V75" s="14">
        <v>0</v>
      </c>
      <c r="W75" s="14">
        <v>-130</v>
      </c>
      <c r="X75" s="14">
        <v>-65</v>
      </c>
      <c r="Y75" s="14">
        <v>-195.119</v>
      </c>
      <c r="Z75" s="14">
        <v>-160</v>
      </c>
      <c r="AA75" s="14">
        <v>-230</v>
      </c>
    </row>
    <row r="76" spans="3:27" x14ac:dyDescent="0.25">
      <c r="C76" s="3" t="s">
        <v>125</v>
      </c>
      <c r="D76" s="14"/>
      <c r="E76" s="14"/>
      <c r="F76" s="14"/>
      <c r="G76" s="14"/>
      <c r="H76" s="14"/>
      <c r="I76" s="14"/>
      <c r="J76" s="14"/>
      <c r="K76" s="14">
        <v>-20</v>
      </c>
      <c r="L76" s="14"/>
      <c r="M76" s="14"/>
      <c r="N76" s="14"/>
      <c r="O76" s="14">
        <v>-20</v>
      </c>
      <c r="P76" s="15">
        <v>0</v>
      </c>
      <c r="V76" s="14">
        <v>-627.37900000000002</v>
      </c>
      <c r="W76" s="14">
        <v>-50</v>
      </c>
      <c r="X76" s="14">
        <v>-38.283000000000001</v>
      </c>
      <c r="Y76" s="14">
        <v>-30</v>
      </c>
      <c r="Z76" s="14">
        <v>-30</v>
      </c>
      <c r="AA76" s="14">
        <v>-30</v>
      </c>
    </row>
    <row r="77" spans="3:27" x14ac:dyDescent="0.25">
      <c r="C77" s="3" t="s">
        <v>126</v>
      </c>
      <c r="D77" s="14"/>
      <c r="E77" s="14"/>
      <c r="F77" s="14"/>
      <c r="G77" s="14"/>
      <c r="H77" s="14"/>
      <c r="I77" s="14"/>
      <c r="J77" s="14"/>
      <c r="K77" s="14">
        <v>-45.8</v>
      </c>
      <c r="L77" s="14"/>
      <c r="M77" s="14"/>
      <c r="N77" s="14"/>
      <c r="O77" s="14">
        <v>-72.62</v>
      </c>
      <c r="P77" s="15">
        <v>158.27600000000001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3">
        <v>0</v>
      </c>
    </row>
    <row r="78" spans="3:27" x14ac:dyDescent="0.25">
      <c r="C78" s="3" t="s">
        <v>127</v>
      </c>
      <c r="D78" s="14"/>
      <c r="E78" s="14"/>
      <c r="F78" s="14"/>
      <c r="G78" s="14"/>
      <c r="H78" s="14"/>
      <c r="I78" s="14"/>
      <c r="J78" s="14"/>
      <c r="K78" s="14">
        <v>-76.817999999999998</v>
      </c>
      <c r="L78" s="14"/>
      <c r="M78" s="14"/>
      <c r="N78" s="14"/>
      <c r="O78" s="14">
        <v>-86.861999999999995</v>
      </c>
      <c r="P78" s="15">
        <v>-93</v>
      </c>
      <c r="V78" s="14">
        <v>-223.33500000000001</v>
      </c>
      <c r="W78" s="14">
        <v>-274.95600000000002</v>
      </c>
      <c r="X78" s="14">
        <v>-264.95100000000002</v>
      </c>
      <c r="Y78" s="14">
        <v>-263.35000000000002</v>
      </c>
      <c r="Z78" s="14">
        <v>-296.25</v>
      </c>
      <c r="AA78" s="14">
        <v>-340.54</v>
      </c>
    </row>
    <row r="79" spans="3:27" x14ac:dyDescent="0.25">
      <c r="C79" s="3" t="s">
        <v>128</v>
      </c>
      <c r="D79" s="14"/>
      <c r="E79" s="14"/>
      <c r="F79" s="14"/>
      <c r="G79" s="14"/>
      <c r="H79" s="14"/>
      <c r="I79" s="14"/>
      <c r="J79" s="14"/>
      <c r="K79" s="14">
        <v>-111.774</v>
      </c>
      <c r="L79" s="14"/>
      <c r="M79" s="14"/>
      <c r="N79" s="14"/>
      <c r="O79" s="14">
        <v>-121.935</v>
      </c>
      <c r="P79" s="15">
        <v>0</v>
      </c>
      <c r="V79" s="14">
        <v>-130</v>
      </c>
      <c r="W79" s="14">
        <v>-284.47399999999999</v>
      </c>
      <c r="X79" s="14">
        <v>-365.80700000000002</v>
      </c>
      <c r="Y79" s="14">
        <v>-264.19400000000002</v>
      </c>
      <c r="Z79" s="14">
        <v>-233.71</v>
      </c>
      <c r="AA79" s="14">
        <v>-264.19400000000002</v>
      </c>
    </row>
    <row r="80" spans="3:27" x14ac:dyDescent="0.25">
      <c r="C80" s="3" t="s">
        <v>136</v>
      </c>
      <c r="D80" s="14"/>
      <c r="E80" s="14"/>
      <c r="F80" s="14"/>
      <c r="G80" s="14"/>
      <c r="H80" s="14"/>
      <c r="I80" s="14"/>
      <c r="J80" s="14"/>
      <c r="K80" s="14">
        <v>-19.542999999999999</v>
      </c>
      <c r="L80" s="14"/>
      <c r="M80" s="14"/>
      <c r="N80" s="14"/>
      <c r="O80" s="14">
        <v>-27.765000000000001</v>
      </c>
      <c r="P80" s="15">
        <v>-23.6</v>
      </c>
      <c r="V80" s="14">
        <v>-26.17</v>
      </c>
      <c r="W80" s="14">
        <v>-10.5</v>
      </c>
      <c r="X80" s="14">
        <v>-39.283000000000001</v>
      </c>
      <c r="Y80" s="14">
        <v>-46.435000000000002</v>
      </c>
      <c r="Z80" s="14">
        <v>-79.742999999999995</v>
      </c>
      <c r="AA80" s="3">
        <v>-97</v>
      </c>
    </row>
    <row r="81" spans="3:27" x14ac:dyDescent="0.25">
      <c r="C81" s="1" t="s">
        <v>63</v>
      </c>
      <c r="D81" s="18">
        <f t="shared" ref="D81:N81" si="67">SUM(D73:D80)</f>
        <v>0</v>
      </c>
      <c r="E81" s="18">
        <f t="shared" si="67"/>
        <v>0</v>
      </c>
      <c r="F81" s="18">
        <f t="shared" si="67"/>
        <v>0</v>
      </c>
      <c r="G81" s="18">
        <f t="shared" si="67"/>
        <v>0</v>
      </c>
      <c r="H81" s="18">
        <f t="shared" si="67"/>
        <v>0</v>
      </c>
      <c r="I81" s="18">
        <f t="shared" si="67"/>
        <v>0</v>
      </c>
      <c r="J81" s="18">
        <f t="shared" si="67"/>
        <v>0</v>
      </c>
      <c r="K81" s="18">
        <f t="shared" si="67"/>
        <v>-433.935</v>
      </c>
      <c r="L81" s="18">
        <f t="shared" si="67"/>
        <v>0</v>
      </c>
      <c r="M81" s="18">
        <f t="shared" si="67"/>
        <v>0</v>
      </c>
      <c r="N81" s="18">
        <f t="shared" si="67"/>
        <v>0</v>
      </c>
      <c r="O81" s="18">
        <f>SUM(O73:O80)</f>
        <v>-529.18200000000002</v>
      </c>
      <c r="P81" s="16">
        <f>SUM(P73:P80)</f>
        <v>41.676000000000009</v>
      </c>
      <c r="V81" s="18">
        <f>SUM(V73:V80)</f>
        <v>-332.50900000000007</v>
      </c>
      <c r="W81" s="18">
        <f t="shared" ref="W81" si="68">SUM(W74:W80)</f>
        <v>-749.93000000000006</v>
      </c>
      <c r="X81" s="18">
        <f>SUM(X73:X80)</f>
        <v>-643.32400000000007</v>
      </c>
      <c r="Y81" s="18">
        <f>SUM(Y73:Y80)</f>
        <v>-569.09799999999996</v>
      </c>
      <c r="Z81" s="18">
        <f t="shared" ref="Z81:AA81" si="69">SUM(Z73:Z80)</f>
        <v>-639.70299999999997</v>
      </c>
      <c r="AA81" s="18">
        <f t="shared" si="69"/>
        <v>-731.73400000000004</v>
      </c>
    </row>
    <row r="82" spans="3:27" x14ac:dyDescent="0.25"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5"/>
      <c r="V82" s="14"/>
      <c r="W82" s="14"/>
      <c r="X82" s="14"/>
      <c r="Y82" s="14"/>
      <c r="Z82" s="14"/>
      <c r="AA82" s="14"/>
    </row>
    <row r="83" spans="3:27" x14ac:dyDescent="0.25">
      <c r="C83" s="3" t="s">
        <v>129</v>
      </c>
      <c r="D83" s="14"/>
      <c r="E83" s="14"/>
      <c r="F83" s="14"/>
      <c r="G83" s="14"/>
      <c r="H83" s="14"/>
      <c r="I83" s="14"/>
      <c r="J83" s="14"/>
      <c r="K83" s="14">
        <v>-2.6</v>
      </c>
      <c r="L83" s="14"/>
      <c r="M83" s="14"/>
      <c r="N83" s="14"/>
      <c r="O83" s="14">
        <v>4.6959999999999997</v>
      </c>
      <c r="P83" s="15">
        <v>-9.3629999999999995</v>
      </c>
      <c r="U83" s="14"/>
      <c r="V83" s="14">
        <v>-1</v>
      </c>
      <c r="X83" s="14"/>
      <c r="Y83" s="14"/>
      <c r="Z83" s="14">
        <v>9</v>
      </c>
      <c r="AA83" s="14">
        <v>8.5</v>
      </c>
    </row>
    <row r="84" spans="3:27" x14ac:dyDescent="0.25"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5"/>
      <c r="V84" s="14"/>
      <c r="W84" s="14"/>
      <c r="X84" s="14"/>
      <c r="Y84" s="14"/>
      <c r="Z84" s="14"/>
      <c r="AA84" s="14"/>
    </row>
    <row r="85" spans="3:27" x14ac:dyDescent="0.25">
      <c r="C85" s="3" t="s">
        <v>130</v>
      </c>
      <c r="D85" s="14">
        <f t="shared" ref="D85:N85" si="70">D67+D71+D81+D83</f>
        <v>0</v>
      </c>
      <c r="E85" s="14">
        <f t="shared" si="70"/>
        <v>0</v>
      </c>
      <c r="F85" s="14">
        <f t="shared" si="70"/>
        <v>0</v>
      </c>
      <c r="G85" s="14">
        <f t="shared" si="70"/>
        <v>0</v>
      </c>
      <c r="H85" s="14">
        <f t="shared" si="70"/>
        <v>0</v>
      </c>
      <c r="I85" s="14">
        <f t="shared" si="70"/>
        <v>0</v>
      </c>
      <c r="J85" s="14">
        <f t="shared" si="70"/>
        <v>0</v>
      </c>
      <c r="K85" s="14">
        <f t="shared" si="70"/>
        <v>223.73300000000015</v>
      </c>
      <c r="L85" s="14">
        <f t="shared" si="70"/>
        <v>0</v>
      </c>
      <c r="M85" s="14">
        <f t="shared" si="70"/>
        <v>0</v>
      </c>
      <c r="N85" s="14">
        <f t="shared" si="70"/>
        <v>0</v>
      </c>
      <c r="O85" s="14">
        <f>O67+O71+O81+O83</f>
        <v>227.65600000000003</v>
      </c>
      <c r="P85" s="15">
        <f>P67+P71+P81+P83</f>
        <v>-228.56699999999998</v>
      </c>
      <c r="V85" s="14">
        <f t="shared" ref="V85:AA85" si="71">V67+V71+V81+V83</f>
        <v>91.923999999999864</v>
      </c>
      <c r="W85" s="14">
        <f t="shared" si="71"/>
        <v>-66.353000000000179</v>
      </c>
      <c r="X85" s="14">
        <f t="shared" si="71"/>
        <v>-60.908000000000243</v>
      </c>
      <c r="Y85" s="14">
        <f t="shared" si="71"/>
        <v>-164.07899999999995</v>
      </c>
      <c r="Z85" s="14">
        <f t="shared" si="71"/>
        <v>149.20100000000002</v>
      </c>
      <c r="AA85" s="14">
        <f t="shared" si="71"/>
        <v>3.9690000000000509</v>
      </c>
    </row>
    <row r="86" spans="3:27" x14ac:dyDescent="0.25"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5"/>
      <c r="V86" s="14"/>
      <c r="W86" s="14"/>
      <c r="X86" s="14"/>
      <c r="Y86" s="14"/>
      <c r="Z86" s="14"/>
      <c r="AA86" s="14"/>
    </row>
    <row r="87" spans="3:27" x14ac:dyDescent="0.25">
      <c r="C87" s="3" t="s">
        <v>131</v>
      </c>
      <c r="D87" s="14">
        <f t="shared" ref="D87:N87" si="72">D67+D69</f>
        <v>0</v>
      </c>
      <c r="E87" s="14">
        <f t="shared" si="72"/>
        <v>0</v>
      </c>
      <c r="F87" s="14">
        <f t="shared" si="72"/>
        <v>0</v>
      </c>
      <c r="G87" s="14">
        <f t="shared" si="72"/>
        <v>0</v>
      </c>
      <c r="H87" s="14">
        <f t="shared" si="72"/>
        <v>0</v>
      </c>
      <c r="I87" s="14">
        <f t="shared" si="72"/>
        <v>0</v>
      </c>
      <c r="J87" s="14">
        <f t="shared" si="72"/>
        <v>0</v>
      </c>
      <c r="K87" s="14">
        <f t="shared" si="72"/>
        <v>656.26800000000014</v>
      </c>
      <c r="L87" s="14">
        <f t="shared" si="72"/>
        <v>0</v>
      </c>
      <c r="M87" s="14">
        <f t="shared" si="72"/>
        <v>0</v>
      </c>
      <c r="N87" s="14">
        <f t="shared" si="72"/>
        <v>0</v>
      </c>
      <c r="O87" s="14">
        <f>O67+O69</f>
        <v>680.14200000000005</v>
      </c>
      <c r="P87" s="15">
        <f>P67+P69</f>
        <v>-294.38</v>
      </c>
      <c r="V87" s="14">
        <f t="shared" ref="V87:Z87" si="73">V67+V69</f>
        <v>425.43299999999994</v>
      </c>
      <c r="W87" s="14">
        <f t="shared" si="73"/>
        <v>683.57699999999988</v>
      </c>
      <c r="X87" s="14">
        <f t="shared" si="73"/>
        <v>582.41599999999983</v>
      </c>
      <c r="Y87" s="14">
        <f t="shared" si="73"/>
        <v>428.81399999999996</v>
      </c>
      <c r="Z87" s="14">
        <f t="shared" si="73"/>
        <v>797.68899999999996</v>
      </c>
      <c r="AA87" s="14">
        <f>AA67+AA69</f>
        <v>655.20300000000009</v>
      </c>
    </row>
    <row r="88" spans="3:27" x14ac:dyDescent="0.25">
      <c r="V88" s="14"/>
      <c r="W88" s="14"/>
      <c r="X88" s="14"/>
      <c r="Y88" s="14"/>
      <c r="Z88" s="14"/>
      <c r="AA88" s="14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AD3C-6195-F841-BFBF-723B9173117A}">
  <dimension ref="B3:V24"/>
  <sheetViews>
    <sheetView showGridLines="0" zoomScale="90" zoomScaleNormal="9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R8" sqref="R8"/>
    </sheetView>
  </sheetViews>
  <sheetFormatPr baseColWidth="10" defaultRowHeight="21" x14ac:dyDescent="0.25"/>
  <cols>
    <col min="1" max="1" width="4.33203125" style="10" customWidth="1"/>
    <col min="2" max="2" width="23.1640625" style="10" bestFit="1" customWidth="1"/>
    <col min="3" max="16384" width="10.83203125" style="10"/>
  </cols>
  <sheetData>
    <row r="3" spans="2:22" x14ac:dyDescent="0.25">
      <c r="B3" s="33"/>
    </row>
    <row r="4" spans="2:22" x14ac:dyDescent="0.25">
      <c r="B4" s="33" t="s">
        <v>91</v>
      </c>
      <c r="C4" s="34" t="s">
        <v>7</v>
      </c>
      <c r="D4" s="34" t="s">
        <v>8</v>
      </c>
      <c r="E4" s="34" t="s">
        <v>9</v>
      </c>
      <c r="F4" s="34" t="s">
        <v>10</v>
      </c>
      <c r="G4" s="41">
        <v>2022</v>
      </c>
      <c r="H4" s="34" t="s">
        <v>11</v>
      </c>
      <c r="I4" s="34" t="s">
        <v>12</v>
      </c>
      <c r="J4" s="34" t="s">
        <v>13</v>
      </c>
      <c r="K4" s="34" t="s">
        <v>14</v>
      </c>
      <c r="L4" s="41">
        <v>2023</v>
      </c>
      <c r="M4" s="34" t="s">
        <v>15</v>
      </c>
      <c r="N4" s="34" t="s">
        <v>16</v>
      </c>
      <c r="O4" s="34" t="s">
        <v>17</v>
      </c>
      <c r="P4" s="34" t="s">
        <v>18</v>
      </c>
      <c r="Q4" s="41">
        <v>2024</v>
      </c>
      <c r="R4" s="34" t="s">
        <v>104</v>
      </c>
      <c r="S4" s="34" t="s">
        <v>105</v>
      </c>
      <c r="T4" s="34" t="s">
        <v>106</v>
      </c>
      <c r="U4" s="34" t="s">
        <v>107</v>
      </c>
      <c r="V4" s="43">
        <v>2025</v>
      </c>
    </row>
    <row r="5" spans="2:22" ht="24" x14ac:dyDescent="0.3">
      <c r="B5" s="39" t="s">
        <v>19</v>
      </c>
      <c r="G5" s="42"/>
      <c r="L5" s="42"/>
      <c r="Q5" s="42"/>
      <c r="V5" s="42"/>
    </row>
    <row r="6" spans="2:22" x14ac:dyDescent="0.25">
      <c r="B6" s="33" t="s">
        <v>21</v>
      </c>
      <c r="C6" s="49">
        <v>366.8</v>
      </c>
      <c r="D6" s="49">
        <v>455.5</v>
      </c>
      <c r="E6" s="49">
        <v>457.9</v>
      </c>
      <c r="F6" s="49">
        <v>703.4</v>
      </c>
      <c r="G6" s="50">
        <f>SUM(C6:F6)</f>
        <v>1983.6</v>
      </c>
      <c r="H6" s="49">
        <v>385.9</v>
      </c>
      <c r="I6" s="49">
        <v>450.7</v>
      </c>
      <c r="J6" s="49">
        <v>517.79999999999995</v>
      </c>
      <c r="K6" s="49">
        <v>768.5</v>
      </c>
      <c r="L6" s="50">
        <f>SUM(H6:K6)</f>
        <v>2122.8999999999996</v>
      </c>
      <c r="M6" s="49">
        <v>437.7</v>
      </c>
      <c r="N6" s="49">
        <v>500.4</v>
      </c>
      <c r="O6" s="49">
        <v>562.9</v>
      </c>
      <c r="P6" s="49">
        <v>836.4</v>
      </c>
      <c r="Q6" s="50">
        <f>SUM(M6:P6)</f>
        <v>2337.4</v>
      </c>
      <c r="R6" s="49">
        <v>452.4</v>
      </c>
      <c r="V6" s="50">
        <f>SUM(R6:U6)</f>
        <v>452.4</v>
      </c>
    </row>
    <row r="7" spans="2:22" x14ac:dyDescent="0.25">
      <c r="B7" s="35" t="s">
        <v>96</v>
      </c>
      <c r="C7" s="36">
        <v>0.125</v>
      </c>
      <c r="D7" s="36">
        <v>8.8999999999999996E-2</v>
      </c>
      <c r="E7" s="36">
        <v>1.4E-2</v>
      </c>
      <c r="F7" s="36">
        <v>2.3E-2</v>
      </c>
      <c r="G7" s="44"/>
      <c r="H7" s="36">
        <v>5.1999999999999998E-2</v>
      </c>
      <c r="I7" s="36">
        <v>-1.0999999999999999E-2</v>
      </c>
      <c r="J7" s="36">
        <v>0.13100000000000001</v>
      </c>
      <c r="K7" s="36">
        <v>9.2999999999999999E-2</v>
      </c>
      <c r="L7" s="44">
        <f>(L6-G6)/G6</f>
        <v>7.0225851986287419E-2</v>
      </c>
      <c r="M7" s="36">
        <v>0.13400000000000001</v>
      </c>
      <c r="N7" s="36">
        <v>0.11</v>
      </c>
      <c r="O7" s="36">
        <v>8.6999999999999994E-2</v>
      </c>
      <c r="P7" s="36">
        <v>8.7999999999999995E-2</v>
      </c>
      <c r="Q7" s="44">
        <f>(Q6-L6)/L6</f>
        <v>0.10104102878138418</v>
      </c>
      <c r="R7" s="36">
        <v>3.3000000000000002E-2</v>
      </c>
      <c r="V7" s="44">
        <f>(V6-Q6)/Q6</f>
        <v>-0.80645161290322576</v>
      </c>
    </row>
    <row r="8" spans="2:22" x14ac:dyDescent="0.25">
      <c r="B8" s="35" t="s">
        <v>97</v>
      </c>
      <c r="C8" s="36">
        <v>0.107</v>
      </c>
      <c r="D8" s="36">
        <v>5.8000000000000003E-2</v>
      </c>
      <c r="E8" s="36">
        <v>-0.01</v>
      </c>
      <c r="F8" s="36">
        <v>8.9999999999999993E-3</v>
      </c>
      <c r="G8" s="44">
        <f>AVERAGE(C8:F8)</f>
        <v>4.1000000000000002E-2</v>
      </c>
      <c r="H8" s="36">
        <v>3.5000000000000003E-2</v>
      </c>
      <c r="I8" s="36">
        <v>-0.02</v>
      </c>
      <c r="J8" s="36">
        <v>0.127</v>
      </c>
      <c r="K8" s="47">
        <v>8.5000000000000006E-2</v>
      </c>
      <c r="L8" s="44">
        <f>AVERAGE(H8:K8)</f>
        <v>5.6750000000000009E-2</v>
      </c>
      <c r="M8" s="36">
        <v>0.127</v>
      </c>
      <c r="N8" s="36">
        <v>9.5000000000000001E-2</v>
      </c>
      <c r="O8" s="36">
        <v>7.0000000000000007E-2</v>
      </c>
      <c r="P8" s="36">
        <v>6.7000000000000004E-2</v>
      </c>
      <c r="Q8" s="44">
        <f>AVERAGE(M8:P8)</f>
        <v>8.975000000000001E-2</v>
      </c>
      <c r="R8" s="36">
        <v>1.7999999999999999E-2</v>
      </c>
      <c r="V8" s="44">
        <f>AVERAGE(R8:U8)</f>
        <v>1.7999999999999999E-2</v>
      </c>
    </row>
    <row r="9" spans="2:22" x14ac:dyDescent="0.25">
      <c r="B9" s="33" t="s">
        <v>98</v>
      </c>
      <c r="C9" s="49">
        <v>225</v>
      </c>
      <c r="D9" s="49">
        <v>273.3</v>
      </c>
      <c r="E9" s="49">
        <v>248.6</v>
      </c>
      <c r="F9" s="54">
        <v>408.7</v>
      </c>
      <c r="G9" s="50">
        <f>SUM(C9:F9)</f>
        <v>1155.5999999999999</v>
      </c>
      <c r="H9" s="49">
        <v>213.7</v>
      </c>
      <c r="I9" s="49">
        <v>284.3</v>
      </c>
      <c r="J9" s="49">
        <v>325.3</v>
      </c>
      <c r="K9" s="54">
        <v>503.3</v>
      </c>
      <c r="L9" s="50">
        <f>SUM(H9:K9)</f>
        <v>1326.6</v>
      </c>
      <c r="M9" s="49">
        <v>269.39999999999998</v>
      </c>
      <c r="N9" s="49">
        <v>316.60000000000002</v>
      </c>
      <c r="O9" s="49">
        <v>346.5</v>
      </c>
      <c r="P9" s="49">
        <v>512.6</v>
      </c>
      <c r="Q9" s="50">
        <f>SUM(M9:P9)</f>
        <v>1445.1</v>
      </c>
      <c r="R9" s="49">
        <v>274.3</v>
      </c>
      <c r="V9" s="50">
        <f>SUM(R9:U9)</f>
        <v>274.3</v>
      </c>
    </row>
    <row r="10" spans="2:22" x14ac:dyDescent="0.25">
      <c r="B10" s="35" t="s">
        <v>99</v>
      </c>
      <c r="C10" s="36">
        <v>0.61399999999999999</v>
      </c>
      <c r="D10" s="36">
        <v>0.6</v>
      </c>
      <c r="E10" s="36">
        <v>0.54300000000000004</v>
      </c>
      <c r="F10" s="47">
        <v>0.58099999999999996</v>
      </c>
      <c r="G10" s="44">
        <f>G9/G6</f>
        <v>0.58257713248638832</v>
      </c>
      <c r="H10" s="36">
        <v>0.55400000000000005</v>
      </c>
      <c r="I10" s="36">
        <v>0.63100000000000001</v>
      </c>
      <c r="J10" s="36">
        <v>0.628</v>
      </c>
      <c r="K10" s="47">
        <v>0.65500000000000003</v>
      </c>
      <c r="L10" s="44">
        <f>L9/L6</f>
        <v>0.62489990107871318</v>
      </c>
      <c r="M10" s="36">
        <v>0.61499999999999999</v>
      </c>
      <c r="N10" s="36">
        <v>0.63300000000000001</v>
      </c>
      <c r="O10" s="36">
        <v>0.61599999999999999</v>
      </c>
      <c r="P10" s="47">
        <v>0.61299999999999999</v>
      </c>
      <c r="Q10" s="44">
        <f>Q9/Q6</f>
        <v>0.61825104817318377</v>
      </c>
      <c r="R10" s="40">
        <f>R9/R6</f>
        <v>0.60632183908045978</v>
      </c>
      <c r="S10" s="36" t="e">
        <f t="shared" ref="S10:U10" si="0">S9/S6</f>
        <v>#DIV/0!</v>
      </c>
      <c r="T10" s="36" t="e">
        <f t="shared" si="0"/>
        <v>#DIV/0!</v>
      </c>
      <c r="U10" s="36" t="e">
        <f t="shared" si="0"/>
        <v>#DIV/0!</v>
      </c>
      <c r="V10" s="44">
        <f>V9/V6</f>
        <v>0.60632183908045978</v>
      </c>
    </row>
    <row r="11" spans="2:22" x14ac:dyDescent="0.25">
      <c r="B11" s="33" t="s">
        <v>100</v>
      </c>
      <c r="C11" s="51">
        <v>75.900000000000006</v>
      </c>
      <c r="D11" s="51">
        <v>118.1</v>
      </c>
      <c r="E11" s="51">
        <v>95.8</v>
      </c>
      <c r="F11" s="53">
        <v>208</v>
      </c>
      <c r="G11" s="52">
        <f>SUM(C11:F11)</f>
        <v>497.8</v>
      </c>
      <c r="H11" s="51">
        <v>52</v>
      </c>
      <c r="I11" s="51">
        <v>121.2</v>
      </c>
      <c r="J11" s="51">
        <v>166.9</v>
      </c>
      <c r="K11" s="53">
        <v>275.39999999999998</v>
      </c>
      <c r="L11" s="52">
        <f>SUM(H11:K11)</f>
        <v>615.5</v>
      </c>
      <c r="M11" s="51">
        <v>91.6</v>
      </c>
      <c r="N11" s="51">
        <v>146</v>
      </c>
      <c r="O11" s="51">
        <v>159.9</v>
      </c>
      <c r="P11" s="53">
        <v>287.89999999999998</v>
      </c>
      <c r="Q11" s="52">
        <f>SUM(M11:P11)</f>
        <v>685.4</v>
      </c>
      <c r="R11" s="51">
        <v>81.8</v>
      </c>
      <c r="V11" s="52">
        <f>SUM(R11:U11)</f>
        <v>81.8</v>
      </c>
    </row>
    <row r="12" spans="2:22" x14ac:dyDescent="0.25">
      <c r="B12" s="35" t="s">
        <v>101</v>
      </c>
      <c r="C12" s="36">
        <v>0.20699999999999999</v>
      </c>
      <c r="D12" s="36">
        <v>0.25900000000000001</v>
      </c>
      <c r="E12" s="36">
        <v>0.20899999999999999</v>
      </c>
      <c r="F12" s="47">
        <v>0.29599999999999999</v>
      </c>
      <c r="G12" s="44">
        <f>G11/G6</f>
        <v>0.25095785440613028</v>
      </c>
      <c r="H12" s="36">
        <v>0.13500000000000001</v>
      </c>
      <c r="I12" s="36">
        <v>0.26900000000000002</v>
      </c>
      <c r="J12" s="36">
        <v>0.32200000000000001</v>
      </c>
      <c r="K12" s="47">
        <v>0.35799999999999998</v>
      </c>
      <c r="L12" s="44">
        <f>L11/L6</f>
        <v>0.28993358142164027</v>
      </c>
      <c r="M12" s="36">
        <v>0.109</v>
      </c>
      <c r="N12" s="36">
        <v>0.29199999999999998</v>
      </c>
      <c r="O12" s="36">
        <v>0.28399999999999997</v>
      </c>
      <c r="P12" s="47">
        <v>0.34399999999999997</v>
      </c>
      <c r="Q12" s="44">
        <f>Q11/Q6</f>
        <v>0.29323179601266364</v>
      </c>
      <c r="R12" s="40">
        <f>R11/R6</f>
        <v>0.18081343943412909</v>
      </c>
      <c r="S12" s="36" t="e">
        <f t="shared" ref="S12" si="1">S11/S8</f>
        <v>#DIV/0!</v>
      </c>
      <c r="T12" s="36" t="e">
        <f t="shared" ref="T12:U12" si="2">T11/T8</f>
        <v>#DIV/0!</v>
      </c>
      <c r="U12" s="36" t="e">
        <f t="shared" si="2"/>
        <v>#DIV/0!</v>
      </c>
      <c r="V12" s="44">
        <f>V11/V6</f>
        <v>0.18081343943412909</v>
      </c>
    </row>
    <row r="13" spans="2:22" x14ac:dyDescent="0.25">
      <c r="B13" s="10" t="s">
        <v>102</v>
      </c>
      <c r="C13" s="10">
        <v>76</v>
      </c>
      <c r="D13" s="10">
        <v>72</v>
      </c>
      <c r="E13" s="10">
        <v>79</v>
      </c>
      <c r="F13" s="46">
        <v>81</v>
      </c>
      <c r="G13" s="42">
        <f>SUM(C13:F13)</f>
        <v>308</v>
      </c>
      <c r="H13" s="10">
        <v>77</v>
      </c>
      <c r="I13" s="10">
        <v>71</v>
      </c>
      <c r="J13" s="10">
        <v>79</v>
      </c>
      <c r="K13" s="46">
        <v>79</v>
      </c>
      <c r="L13" s="42">
        <f>SUM(H13:K13)</f>
        <v>306</v>
      </c>
      <c r="M13" s="10">
        <v>75</v>
      </c>
      <c r="N13" s="10">
        <v>73</v>
      </c>
      <c r="O13" s="10">
        <v>79</v>
      </c>
      <c r="P13" s="46">
        <v>80</v>
      </c>
      <c r="Q13" s="42">
        <f>SUM(M13:P13)</f>
        <v>307</v>
      </c>
      <c r="R13" s="10">
        <v>76</v>
      </c>
      <c r="V13" s="42">
        <f>SUM(R13:U13)</f>
        <v>76</v>
      </c>
    </row>
    <row r="14" spans="2:22" x14ac:dyDescent="0.25">
      <c r="B14" s="37" t="s">
        <v>103</v>
      </c>
      <c r="C14" s="37">
        <v>153</v>
      </c>
      <c r="D14" s="37">
        <v>155</v>
      </c>
      <c r="E14" s="37">
        <v>155</v>
      </c>
      <c r="F14" s="48">
        <v>156</v>
      </c>
      <c r="G14" s="45">
        <v>156</v>
      </c>
      <c r="H14" s="37">
        <v>155</v>
      </c>
      <c r="I14" s="37">
        <v>156</v>
      </c>
      <c r="J14" s="37">
        <v>156</v>
      </c>
      <c r="K14" s="48">
        <v>157</v>
      </c>
      <c r="L14" s="45">
        <v>157</v>
      </c>
      <c r="M14" s="37">
        <v>157</v>
      </c>
      <c r="N14" s="37">
        <v>158</v>
      </c>
      <c r="O14" s="37">
        <v>158</v>
      </c>
      <c r="P14" s="48">
        <v>158</v>
      </c>
      <c r="Q14" s="45">
        <v>158</v>
      </c>
      <c r="R14" s="37">
        <v>158</v>
      </c>
      <c r="S14" s="37"/>
      <c r="T14" s="37"/>
      <c r="U14" s="37"/>
      <c r="V14" s="45"/>
    </row>
    <row r="15" spans="2:22" ht="24" x14ac:dyDescent="0.3">
      <c r="B15" s="39" t="s">
        <v>20</v>
      </c>
      <c r="G15" s="42"/>
      <c r="L15" s="42"/>
      <c r="Q15" s="42"/>
      <c r="V15" s="42"/>
    </row>
    <row r="16" spans="2:22" x14ac:dyDescent="0.25">
      <c r="B16" s="33" t="s">
        <v>21</v>
      </c>
      <c r="C16" s="49">
        <v>237.8</v>
      </c>
      <c r="D16" s="49">
        <v>274.60000000000002</v>
      </c>
      <c r="E16" s="49">
        <v>276.8</v>
      </c>
      <c r="F16" s="49">
        <v>405.2</v>
      </c>
      <c r="G16" s="50">
        <f>SUM(C16:F16)</f>
        <v>1194.4000000000001</v>
      </c>
      <c r="H16" s="49">
        <v>219.5</v>
      </c>
      <c r="I16" s="49">
        <v>273.39999999999998</v>
      </c>
      <c r="J16" s="49">
        <v>313.10000000000002</v>
      </c>
      <c r="K16" s="49">
        <v>484.7</v>
      </c>
      <c r="L16" s="50">
        <f>SUM(H16:K16)</f>
        <v>1290.7</v>
      </c>
      <c r="M16" s="49">
        <v>258.8</v>
      </c>
      <c r="N16" s="49">
        <v>297.39999999999998</v>
      </c>
      <c r="O16" s="49">
        <v>324</v>
      </c>
      <c r="P16" s="49">
        <v>567.29999999999995</v>
      </c>
      <c r="Q16" s="50">
        <f>SUM(M16:P16)</f>
        <v>1447.5</v>
      </c>
      <c r="R16" s="49">
        <v>281.3</v>
      </c>
      <c r="V16" s="50">
        <f>SUM(R16:U16)</f>
        <v>281.3</v>
      </c>
    </row>
    <row r="17" spans="2:22" x14ac:dyDescent="0.25">
      <c r="B17" s="35" t="s">
        <v>96</v>
      </c>
      <c r="C17" s="36">
        <v>4.8000000000000001E-2</v>
      </c>
      <c r="D17" s="36">
        <v>8.7999999999999995E-2</v>
      </c>
      <c r="E17" s="36">
        <v>-0.01</v>
      </c>
      <c r="F17" s="36">
        <v>1.7000000000000001E-2</v>
      </c>
      <c r="G17" s="44"/>
      <c r="H17" s="36">
        <v>-0.109</v>
      </c>
      <c r="I17" s="36">
        <v>-4.8000000000000001E-2</v>
      </c>
      <c r="J17" s="36">
        <v>0.105</v>
      </c>
      <c r="K17" s="47">
        <v>0.11899999999999999</v>
      </c>
      <c r="L17" s="44">
        <f>(L16-G16)/G16</f>
        <v>8.0626255860683144E-2</v>
      </c>
      <c r="M17" s="36">
        <v>0.14299999999999999</v>
      </c>
      <c r="N17" s="36">
        <v>9.9000000000000005E-2</v>
      </c>
      <c r="O17" s="36">
        <v>-2.3E-2</v>
      </c>
      <c r="P17" s="36">
        <v>0.16700000000000001</v>
      </c>
      <c r="Q17" s="44">
        <f>(Q16-L16)/L16</f>
        <v>0.12148446579375528</v>
      </c>
      <c r="R17" s="36">
        <v>6.0999999999999999E-2</v>
      </c>
      <c r="V17" s="44">
        <f>(V16-Q16)/Q16</f>
        <v>-0.80566493955094998</v>
      </c>
    </row>
    <row r="18" spans="2:22" x14ac:dyDescent="0.25">
      <c r="B18" s="10" t="s">
        <v>97</v>
      </c>
      <c r="C18" s="36">
        <v>0.02</v>
      </c>
      <c r="D18" s="36">
        <v>5.1999999999999998E-2</v>
      </c>
      <c r="E18" s="36">
        <v>8.0000000000000002E-3</v>
      </c>
      <c r="F18" s="47">
        <v>3.5000000000000003E-2</v>
      </c>
      <c r="G18" s="44">
        <f>AVERAGE(C18:F18)</f>
        <v>2.8749999999999998E-2</v>
      </c>
      <c r="H18" s="36">
        <v>-6.5000000000000002E-2</v>
      </c>
      <c r="I18" s="36">
        <v>-5.3999999999999999E-2</v>
      </c>
      <c r="J18" s="36">
        <v>0.13300000000000001</v>
      </c>
      <c r="K18" s="47">
        <v>0.107</v>
      </c>
      <c r="L18" s="44">
        <f>AVERAGE(H18:K18)</f>
        <v>3.0250000000000003E-2</v>
      </c>
      <c r="M18" s="36">
        <v>0.14899999999999999</v>
      </c>
      <c r="N18" s="36">
        <v>8.6999999999999994E-2</v>
      </c>
      <c r="O18" s="36">
        <v>-3.5000000000000003E-2</v>
      </c>
      <c r="P18" s="36">
        <v>0.157</v>
      </c>
      <c r="Q18" s="44">
        <f>AVERAGE(M18:P18)</f>
        <v>8.9499999999999996E-2</v>
      </c>
      <c r="R18" s="36">
        <v>4.7E-2</v>
      </c>
      <c r="V18" s="44">
        <f>AVERAGE(R18:U18)</f>
        <v>4.7E-2</v>
      </c>
    </row>
    <row r="19" spans="2:22" x14ac:dyDescent="0.25">
      <c r="B19" s="33" t="s">
        <v>98</v>
      </c>
      <c r="C19" s="51">
        <v>145.1</v>
      </c>
      <c r="D19" s="51">
        <v>164.7</v>
      </c>
      <c r="E19" s="51">
        <v>159.19999999999999</v>
      </c>
      <c r="F19" s="53">
        <v>221.8</v>
      </c>
      <c r="G19" s="52">
        <f>SUM(C19:F19)</f>
        <v>690.8</v>
      </c>
      <c r="H19" s="51">
        <v>125.5</v>
      </c>
      <c r="I19" s="51">
        <v>166</v>
      </c>
      <c r="J19" s="51">
        <v>190.4</v>
      </c>
      <c r="K19" s="53">
        <v>290.8</v>
      </c>
      <c r="L19" s="52">
        <f>SUM(H19:K19)</f>
        <v>772.7</v>
      </c>
      <c r="M19" s="51">
        <v>158.9</v>
      </c>
      <c r="N19" s="51">
        <v>187.8</v>
      </c>
      <c r="O19" s="51">
        <v>204.1</v>
      </c>
      <c r="P19" s="51">
        <v>290.8</v>
      </c>
      <c r="Q19" s="52">
        <f>SUM(M19:P19)</f>
        <v>841.60000000000014</v>
      </c>
      <c r="R19" s="51">
        <v>170</v>
      </c>
      <c r="V19" s="52">
        <f>SUM(R19:U19)</f>
        <v>170</v>
      </c>
    </row>
    <row r="20" spans="2:22" x14ac:dyDescent="0.25">
      <c r="B20" s="35" t="s">
        <v>99</v>
      </c>
      <c r="C20" s="36">
        <v>0.61</v>
      </c>
      <c r="D20" s="36">
        <v>0.6</v>
      </c>
      <c r="E20" s="36">
        <v>0.57499999999999996</v>
      </c>
      <c r="F20" s="47">
        <v>0.54700000000000004</v>
      </c>
      <c r="G20" s="44">
        <f>G19/G16</f>
        <v>0.57836570663094433</v>
      </c>
      <c r="H20" s="36">
        <v>0.57199999999999995</v>
      </c>
      <c r="I20" s="36">
        <v>0.60699999999999998</v>
      </c>
      <c r="J20" s="36">
        <v>0.60799999999999998</v>
      </c>
      <c r="K20" s="47">
        <v>0.6</v>
      </c>
      <c r="L20" s="44">
        <f>L19/L16</f>
        <v>0.59866738978848688</v>
      </c>
      <c r="M20" s="36">
        <v>0.61399999999999999</v>
      </c>
      <c r="N20" s="36">
        <v>0.63200000000000001</v>
      </c>
      <c r="O20" s="36">
        <v>0.63</v>
      </c>
      <c r="P20" s="47">
        <v>0.6</v>
      </c>
      <c r="Q20" s="44">
        <f>Q19/Q16</f>
        <v>0.58141623488773753</v>
      </c>
      <c r="R20" s="40">
        <f>R19/R16</f>
        <v>0.60433700675435476</v>
      </c>
      <c r="S20" s="36" t="e">
        <f t="shared" ref="S20:U20" si="3">S19/S16</f>
        <v>#DIV/0!</v>
      </c>
      <c r="T20" s="36" t="e">
        <f t="shared" si="3"/>
        <v>#DIV/0!</v>
      </c>
      <c r="U20" s="36" t="e">
        <f t="shared" si="3"/>
        <v>#DIV/0!</v>
      </c>
      <c r="V20" s="44">
        <f>V19/V16</f>
        <v>0.60433700675435476</v>
      </c>
    </row>
    <row r="21" spans="2:22" x14ac:dyDescent="0.25">
      <c r="B21" s="33" t="s">
        <v>100</v>
      </c>
      <c r="C21" s="51">
        <v>34.5</v>
      </c>
      <c r="D21" s="51">
        <v>49.6</v>
      </c>
      <c r="E21" s="51">
        <v>46.9</v>
      </c>
      <c r="F21" s="53">
        <v>88.8</v>
      </c>
      <c r="G21" s="52">
        <f>SUM(C21:F21)</f>
        <v>219.8</v>
      </c>
      <c r="H21" s="51">
        <v>4.5999999999999996</v>
      </c>
      <c r="I21" s="51">
        <v>45.4</v>
      </c>
      <c r="J21" s="51">
        <v>74.5</v>
      </c>
      <c r="K21" s="53">
        <v>144.5</v>
      </c>
      <c r="L21" s="52">
        <f>SUM(H21:K21)</f>
        <v>269</v>
      </c>
      <c r="M21" s="51">
        <v>33</v>
      </c>
      <c r="N21" s="51">
        <v>55.5</v>
      </c>
      <c r="O21" s="51">
        <v>76.5</v>
      </c>
      <c r="P21" s="53">
        <v>144.5</v>
      </c>
      <c r="Q21" s="52">
        <f>SUM(M21:P21)</f>
        <v>309.5</v>
      </c>
      <c r="R21" s="51">
        <v>33.6</v>
      </c>
      <c r="V21" s="52">
        <f>SUM(R21:U21)</f>
        <v>33.6</v>
      </c>
    </row>
    <row r="22" spans="2:22" x14ac:dyDescent="0.25">
      <c r="B22" s="35" t="s">
        <v>101</v>
      </c>
      <c r="C22" s="36">
        <v>0.14499999999999999</v>
      </c>
      <c r="D22" s="36">
        <v>0.17899999999999999</v>
      </c>
      <c r="E22" s="36">
        <v>0.16800000000000001</v>
      </c>
      <c r="F22" s="47">
        <v>0.218</v>
      </c>
      <c r="G22" s="44">
        <f>G21/G16</f>
        <v>0.18402545210984594</v>
      </c>
      <c r="H22" s="36">
        <v>2.1000000000000001E-2</v>
      </c>
      <c r="I22" s="36">
        <v>0.16600000000000001</v>
      </c>
      <c r="J22" s="36">
        <v>0.23699999999999999</v>
      </c>
      <c r="K22" s="47">
        <v>0.29699999999999999</v>
      </c>
      <c r="L22" s="44">
        <f>L21/L16</f>
        <v>0.20841403889362362</v>
      </c>
      <c r="M22" s="36">
        <v>0.127</v>
      </c>
      <c r="N22" s="36">
        <v>0.186</v>
      </c>
      <c r="O22" s="36">
        <v>0.23499999999999999</v>
      </c>
      <c r="P22" s="47">
        <v>0.311</v>
      </c>
      <c r="Q22" s="44">
        <f>Q21/Q16</f>
        <v>0.21381692573402417</v>
      </c>
      <c r="R22" s="40">
        <f>R21/R16</f>
        <v>0.11944543192321365</v>
      </c>
      <c r="S22" s="36" t="e">
        <f t="shared" ref="S22:U22" si="4">S21/S16</f>
        <v>#DIV/0!</v>
      </c>
      <c r="T22" s="36" t="e">
        <f t="shared" si="4"/>
        <v>#DIV/0!</v>
      </c>
      <c r="U22" s="36" t="e">
        <f t="shared" si="4"/>
        <v>#DIV/0!</v>
      </c>
      <c r="V22" s="44">
        <f>V21/V16</f>
        <v>0.11944543192321365</v>
      </c>
    </row>
    <row r="23" spans="2:22" x14ac:dyDescent="0.25">
      <c r="B23" s="10" t="s">
        <v>102</v>
      </c>
      <c r="C23" s="10">
        <v>89</v>
      </c>
      <c r="D23" s="10">
        <v>90</v>
      </c>
      <c r="E23" s="10">
        <v>92</v>
      </c>
      <c r="F23" s="46">
        <v>91</v>
      </c>
      <c r="G23" s="42">
        <f>SUM(C23:F23)</f>
        <v>362</v>
      </c>
      <c r="H23" s="10">
        <v>89</v>
      </c>
      <c r="I23" s="10">
        <v>90</v>
      </c>
      <c r="J23" s="10">
        <v>92</v>
      </c>
      <c r="K23" s="46">
        <v>91</v>
      </c>
      <c r="L23" s="42">
        <f>SUM(H23:K23)</f>
        <v>362</v>
      </c>
      <c r="M23" s="10">
        <v>90</v>
      </c>
      <c r="N23" s="10">
        <v>90</v>
      </c>
      <c r="O23" s="10">
        <v>92</v>
      </c>
      <c r="P23" s="46">
        <v>91</v>
      </c>
      <c r="Q23" s="42">
        <f>SUM(M23:P23)</f>
        <v>363</v>
      </c>
      <c r="R23" s="10">
        <v>89</v>
      </c>
      <c r="V23" s="42">
        <f>SUM(R23:U23)</f>
        <v>89</v>
      </c>
    </row>
    <row r="24" spans="2:22" x14ac:dyDescent="0.25">
      <c r="B24" s="37" t="s">
        <v>103</v>
      </c>
      <c r="C24" s="37">
        <v>119</v>
      </c>
      <c r="D24" s="37">
        <v>118</v>
      </c>
      <c r="E24" s="37">
        <v>117</v>
      </c>
      <c r="F24" s="37">
        <v>119</v>
      </c>
      <c r="G24" s="45">
        <v>156</v>
      </c>
      <c r="H24" s="37">
        <v>118</v>
      </c>
      <c r="I24" s="37">
        <v>117</v>
      </c>
      <c r="J24" s="37">
        <v>117</v>
      </c>
      <c r="K24" s="37">
        <v>119</v>
      </c>
      <c r="L24" s="45">
        <v>119</v>
      </c>
      <c r="M24" s="37">
        <v>118</v>
      </c>
      <c r="N24" s="37">
        <v>117</v>
      </c>
      <c r="O24" s="37">
        <v>117</v>
      </c>
      <c r="P24" s="48">
        <v>119</v>
      </c>
      <c r="Q24" s="45">
        <v>119</v>
      </c>
      <c r="R24" s="37">
        <v>131</v>
      </c>
      <c r="S24" s="37"/>
      <c r="T24" s="37"/>
      <c r="U24" s="37"/>
      <c r="V24" s="4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33376-C1F0-5343-A8A6-E5C01798CC5F}">
  <dimension ref="E6:H8"/>
  <sheetViews>
    <sheetView showGridLines="0" workbookViewId="0">
      <selection activeCell="F24" sqref="F24"/>
    </sheetView>
  </sheetViews>
  <sheetFormatPr baseColWidth="10" defaultRowHeight="16" x14ac:dyDescent="0.2"/>
  <cols>
    <col min="5" max="5" width="42.83203125" bestFit="1" customWidth="1"/>
    <col min="6" max="8" width="27.83203125" bestFit="1" customWidth="1"/>
    <col min="9" max="9" width="12" bestFit="1" customWidth="1"/>
  </cols>
  <sheetData>
    <row r="6" spans="5:8" ht="92" x14ac:dyDescent="1">
      <c r="E6" s="30"/>
      <c r="F6" s="30">
        <v>2025</v>
      </c>
      <c r="G6" s="30">
        <v>2026</v>
      </c>
      <c r="H6" s="30">
        <v>2027</v>
      </c>
    </row>
    <row r="7" spans="5:8" ht="92" x14ac:dyDescent="1">
      <c r="E7" s="30" t="s">
        <v>84</v>
      </c>
      <c r="F7" s="29">
        <f>Modell!$B$9/Modell!AB12</f>
        <v>10.939793107533337</v>
      </c>
      <c r="G7" s="29">
        <f>Modell!$B$9/Modell!AC12</f>
        <v>10.333286772488393</v>
      </c>
      <c r="H7" s="29">
        <f>Modell!$B$9/Modell!AD12</f>
        <v>10.035324413591665</v>
      </c>
    </row>
    <row r="8" spans="5:8" ht="92" x14ac:dyDescent="1">
      <c r="E8" s="30" t="s">
        <v>85</v>
      </c>
      <c r="F8" s="29">
        <f>Modell!$B$4/Modell!AB19</f>
        <v>14.631557791446591</v>
      </c>
      <c r="G8" s="29">
        <f>Modell!$B$4/Modell!AC19</f>
        <v>13.799826807384683</v>
      </c>
      <c r="H8" s="29">
        <f>Modell!$B$4/Modell!AD19</f>
        <v>13.439505762030553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Info</vt:lpstr>
      <vt:lpstr>Modell</vt:lpstr>
      <vt:lpstr>Segment</vt:lpstr>
      <vt:lpstr>Nøkkeltall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 hodt</dc:creator>
  <cp:lastModifiedBy>august hodt</cp:lastModifiedBy>
  <dcterms:created xsi:type="dcterms:W3CDTF">2025-01-14T15:01:10Z</dcterms:created>
  <dcterms:modified xsi:type="dcterms:W3CDTF">2025-06-25T17:28:49Z</dcterms:modified>
</cp:coreProperties>
</file>