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91DBB33-1E82-0442-9DF2-1C9780CC21E5}" xr6:coauthVersionLast="47" xr6:coauthVersionMax="47" xr10:uidLastSave="{00000000-0000-0000-0000-000000000000}"/>
  <bookViews>
    <workbookView xWindow="25420" yWindow="500" windowWidth="25780" windowHeight="26740" activeTab="2" xr2:uid="{94B0891E-D6B3-6945-A555-DBC7EB42234E}"/>
  </bookViews>
  <sheets>
    <sheet name="Info" sheetId="1" r:id="rId1"/>
    <sheet name="Flåte " sheetId="6" r:id="rId2"/>
    <sheet name="Modell" sheetId="2" r:id="rId3"/>
    <sheet name="Nøkkeltall" sheetId="3" r:id="rId4"/>
    <sheet name="SOTP" sheetId="4" r:id="rId5"/>
    <sheet name="Nedsideber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2" l="1"/>
  <c r="B21" i="2"/>
  <c r="A16" i="2"/>
  <c r="T17" i="2"/>
  <c r="T28" i="2"/>
  <c r="T94" i="2"/>
  <c r="T92" i="2"/>
  <c r="T88" i="2"/>
  <c r="T80" i="2"/>
  <c r="T76" i="2"/>
  <c r="T64" i="2"/>
  <c r="T49" i="2"/>
  <c r="T43" i="2"/>
  <c r="T19" i="2"/>
  <c r="T6" i="2"/>
  <c r="T20" i="2" s="1"/>
  <c r="AF4" i="2"/>
  <c r="L20" i="2"/>
  <c r="M20" i="2"/>
  <c r="N20" i="2"/>
  <c r="O20" i="2"/>
  <c r="P20" i="2"/>
  <c r="Q20" i="2"/>
  <c r="R20" i="2"/>
  <c r="AH12" i="2"/>
  <c r="AI12" i="2" s="1"/>
  <c r="AJ12" i="2" s="1"/>
  <c r="AG12" i="2"/>
  <c r="AF9" i="2"/>
  <c r="AG9" i="2" s="1"/>
  <c r="AH9" i="2" s="1"/>
  <c r="AI9" i="2" s="1"/>
  <c r="AJ9" i="2" s="1"/>
  <c r="AK9" i="2" s="1"/>
  <c r="AL9" i="2" s="1"/>
  <c r="AM9" i="2" s="1"/>
  <c r="AE9" i="2"/>
  <c r="AE7" i="2"/>
  <c r="AF7" i="2" s="1"/>
  <c r="AG7" i="2" s="1"/>
  <c r="AF5" i="2"/>
  <c r="AE5" i="2"/>
  <c r="AE6" i="2" s="1"/>
  <c r="AE20" i="2" s="1"/>
  <c r="AC20" i="2"/>
  <c r="AB20" i="2"/>
  <c r="AA20" i="2"/>
  <c r="Z20" i="2"/>
  <c r="Y20" i="2"/>
  <c r="Z8" i="2"/>
  <c r="AA8" i="2"/>
  <c r="AB8" i="2"/>
  <c r="AC8" i="2"/>
  <c r="Z6" i="2"/>
  <c r="AA6" i="2"/>
  <c r="AB6" i="2"/>
  <c r="AC6" i="2"/>
  <c r="AD6" i="2"/>
  <c r="AD8" i="2" s="1"/>
  <c r="AF6" i="2"/>
  <c r="AF20" i="2" s="1"/>
  <c r="Y8" i="2"/>
  <c r="Y6" i="2"/>
  <c r="H8" i="2"/>
  <c r="I8" i="2"/>
  <c r="J8" i="2"/>
  <c r="L8" i="2"/>
  <c r="M8" i="2"/>
  <c r="N8" i="2"/>
  <c r="O8" i="2"/>
  <c r="P8" i="2"/>
  <c r="Q8" i="2"/>
  <c r="R8" i="2"/>
  <c r="H6" i="2"/>
  <c r="I6" i="2"/>
  <c r="J6" i="2"/>
  <c r="L6" i="2"/>
  <c r="M6" i="2"/>
  <c r="N6" i="2"/>
  <c r="O6" i="2"/>
  <c r="P6" i="2"/>
  <c r="Q6" i="2"/>
  <c r="R6" i="2"/>
  <c r="S20" i="2"/>
  <c r="S6" i="2"/>
  <c r="S8" i="2" s="1"/>
  <c r="AE4" i="2"/>
  <c r="AG4" i="2" s="1"/>
  <c r="AH4" i="2" s="1"/>
  <c r="AI4" i="2" s="1"/>
  <c r="AJ4" i="2" s="1"/>
  <c r="AK4" i="2" s="1"/>
  <c r="AL4" i="2" s="1"/>
  <c r="AM4" i="2" s="1"/>
  <c r="AM5" i="2" s="1"/>
  <c r="AM6" i="2" s="1"/>
  <c r="AC88" i="2"/>
  <c r="AC80" i="2"/>
  <c r="AC76" i="2"/>
  <c r="AC94" i="2" s="1"/>
  <c r="S28" i="2"/>
  <c r="T65" i="2" l="1"/>
  <c r="AD20" i="2"/>
  <c r="T8" i="2"/>
  <c r="T21" i="2" s="1"/>
  <c r="AF8" i="2"/>
  <c r="AL5" i="2"/>
  <c r="AL6" i="2" s="1"/>
  <c r="AK5" i="2"/>
  <c r="AK6" i="2" s="1"/>
  <c r="AJ5" i="2"/>
  <c r="AJ6" i="2" s="1"/>
  <c r="AI5" i="2"/>
  <c r="AI6" i="2" s="1"/>
  <c r="AI20" i="2" s="1"/>
  <c r="AH5" i="2"/>
  <c r="AH6" i="2" s="1"/>
  <c r="AH20" i="2" s="1"/>
  <c r="AG5" i="2"/>
  <c r="AG6" i="2" s="1"/>
  <c r="AG20" i="2" s="1"/>
  <c r="AG8" i="2"/>
  <c r="AH7" i="2"/>
  <c r="AM20" i="2"/>
  <c r="AK20" i="2"/>
  <c r="AL20" i="2"/>
  <c r="AJ20" i="2"/>
  <c r="AE8" i="2"/>
  <c r="AC92" i="2"/>
  <c r="J10" i="2"/>
  <c r="T10" i="2" l="1"/>
  <c r="AI7" i="2"/>
  <c r="AH8" i="2"/>
  <c r="J21" i="2"/>
  <c r="K21" i="2"/>
  <c r="J22" i="2"/>
  <c r="K22" i="2"/>
  <c r="H19" i="2"/>
  <c r="I19" i="2"/>
  <c r="J19" i="2"/>
  <c r="K19" i="2"/>
  <c r="L19" i="2"/>
  <c r="M19" i="2"/>
  <c r="N19" i="2"/>
  <c r="K17" i="2"/>
  <c r="I21" i="2"/>
  <c r="O88" i="2"/>
  <c r="K88" i="2"/>
  <c r="N88" i="2"/>
  <c r="J88" i="2"/>
  <c r="I88" i="2"/>
  <c r="M88" i="2"/>
  <c r="S88" i="2"/>
  <c r="R88" i="2"/>
  <c r="T22" i="2" l="1"/>
  <c r="T13" i="2"/>
  <c r="T15" i="2" s="1"/>
  <c r="T68" i="2" s="1"/>
  <c r="AJ7" i="2"/>
  <c r="AI8" i="2"/>
  <c r="I10" i="2"/>
  <c r="I22" i="2" s="1"/>
  <c r="S64" i="2"/>
  <c r="S49" i="2"/>
  <c r="S43" i="2"/>
  <c r="S10" i="2"/>
  <c r="S13" i="2" s="1"/>
  <c r="S15" i="2" s="1"/>
  <c r="I13" i="2"/>
  <c r="I15" i="2" s="1"/>
  <c r="I17" i="2" s="1"/>
  <c r="J13" i="2"/>
  <c r="J15" i="2" s="1"/>
  <c r="J17" i="2" s="1"/>
  <c r="K13" i="2"/>
  <c r="H54" i="4"/>
  <c r="H45" i="4"/>
  <c r="H33" i="4"/>
  <c r="H34" i="4"/>
  <c r="H48" i="4" s="1"/>
  <c r="H51" i="4" s="1"/>
  <c r="H35" i="4"/>
  <c r="H36" i="4"/>
  <c r="H37" i="4"/>
  <c r="H38" i="4"/>
  <c r="H39" i="4"/>
  <c r="H40" i="4"/>
  <c r="H41" i="4"/>
  <c r="H42" i="4"/>
  <c r="H43" i="4"/>
  <c r="H32" i="4"/>
  <c r="J8" i="4"/>
  <c r="J9" i="4"/>
  <c r="J10" i="4"/>
  <c r="J12" i="4"/>
  <c r="J13" i="4"/>
  <c r="J14" i="4"/>
  <c r="J15" i="4"/>
  <c r="J16" i="4"/>
  <c r="J17" i="4"/>
  <c r="J18" i="4"/>
  <c r="J7" i="4"/>
  <c r="AK7" i="2" l="1"/>
  <c r="AJ8" i="2"/>
  <c r="S22" i="2"/>
  <c r="J19" i="4"/>
  <c r="J21" i="4" s="1"/>
  <c r="J24" i="4" s="1"/>
  <c r="J27" i="4" s="1"/>
  <c r="AL7" i="2" l="1"/>
  <c r="AK8" i="2"/>
  <c r="R28" i="2"/>
  <c r="R11" i="2"/>
  <c r="P28" i="2"/>
  <c r="Q28" i="2"/>
  <c r="L88" i="2"/>
  <c r="Q78" i="2"/>
  <c r="Q80" i="2" s="1"/>
  <c r="Q70" i="2"/>
  <c r="Q76" i="2" s="1"/>
  <c r="R43" i="2"/>
  <c r="Q9" i="2"/>
  <c r="R9" i="2" s="1"/>
  <c r="Q5" i="2"/>
  <c r="R5" i="2" s="1"/>
  <c r="Q4" i="2"/>
  <c r="R4" i="2" s="1"/>
  <c r="S76" i="2"/>
  <c r="S94" i="2" s="1"/>
  <c r="R80" i="2"/>
  <c r="S80" i="2"/>
  <c r="Q64" i="2"/>
  <c r="R64" i="2"/>
  <c r="Q49" i="2"/>
  <c r="R49" i="2"/>
  <c r="A19" i="2" s="1"/>
  <c r="Q43" i="2"/>
  <c r="AM7" i="2" l="1"/>
  <c r="AM8" i="2" s="1"/>
  <c r="AL8" i="2"/>
  <c r="Q94" i="2"/>
  <c r="R76" i="2"/>
  <c r="R94" i="2" s="1"/>
  <c r="R10" i="2"/>
  <c r="S65" i="2"/>
  <c r="S92" i="2"/>
  <c r="R65" i="2"/>
  <c r="Q65" i="2"/>
  <c r="S68" i="2"/>
  <c r="P86" i="2"/>
  <c r="P79" i="2"/>
  <c r="P80" i="2" s="1"/>
  <c r="P71" i="2"/>
  <c r="P76" i="2" s="1"/>
  <c r="P64" i="2"/>
  <c r="P49" i="2"/>
  <c r="P43" i="2"/>
  <c r="R13" i="2" l="1"/>
  <c r="R15" i="2" s="1"/>
  <c r="R22" i="2"/>
  <c r="R92" i="2"/>
  <c r="Q86" i="2"/>
  <c r="P88" i="2"/>
  <c r="P92" i="2"/>
  <c r="P94" i="2"/>
  <c r="P65" i="2"/>
  <c r="Y86" i="2"/>
  <c r="Y88" i="2" s="1"/>
  <c r="Y74" i="2"/>
  <c r="Y76" i="2" s="1"/>
  <c r="Z86" i="2"/>
  <c r="Z88" i="2" s="1"/>
  <c r="AA86" i="2"/>
  <c r="AA88" i="2" s="1"/>
  <c r="AB86" i="2"/>
  <c r="AB88" i="2" s="1"/>
  <c r="Z79" i="2"/>
  <c r="Z80" i="2" s="1"/>
  <c r="AA79" i="2"/>
  <c r="AA80" i="2" s="1"/>
  <c r="AB79" i="2"/>
  <c r="AB80" i="2" s="1"/>
  <c r="Y80" i="2"/>
  <c r="Z76" i="2"/>
  <c r="Z94" i="2" s="1"/>
  <c r="AA76" i="2"/>
  <c r="AA94" i="2" s="1"/>
  <c r="AB69" i="2"/>
  <c r="AB76" i="2" s="1"/>
  <c r="AB94" i="2" s="1"/>
  <c r="Q88" i="2" l="1"/>
  <c r="Q92" i="2" s="1"/>
  <c r="Y92" i="2"/>
  <c r="Y94" i="2"/>
  <c r="Z92" i="2"/>
  <c r="AA92" i="2"/>
  <c r="AB92" i="2"/>
  <c r="H88" i="2"/>
  <c r="G88" i="2"/>
  <c r="F88" i="2"/>
  <c r="E88" i="2"/>
  <c r="D88" i="2"/>
  <c r="K80" i="2"/>
  <c r="J80" i="2"/>
  <c r="I80" i="2"/>
  <c r="H80" i="2"/>
  <c r="G80" i="2"/>
  <c r="F80" i="2"/>
  <c r="E80" i="2"/>
  <c r="D80" i="2"/>
  <c r="O80" i="2"/>
  <c r="N80" i="2"/>
  <c r="M80" i="2"/>
  <c r="D76" i="2"/>
  <c r="D94" i="2" s="1"/>
  <c r="E76" i="2"/>
  <c r="F76" i="2"/>
  <c r="F94" i="2" s="1"/>
  <c r="G76" i="2"/>
  <c r="G94" i="2" s="1"/>
  <c r="H76" i="2"/>
  <c r="H94" i="2" s="1"/>
  <c r="I76" i="2"/>
  <c r="I94" i="2" s="1"/>
  <c r="J76" i="2"/>
  <c r="K76" i="2"/>
  <c r="K94" i="2" s="1"/>
  <c r="M76" i="2"/>
  <c r="M94" i="2" s="1"/>
  <c r="N76" i="2"/>
  <c r="O76" i="2"/>
  <c r="D68" i="2"/>
  <c r="E68" i="2"/>
  <c r="F68" i="2"/>
  <c r="G68" i="2"/>
  <c r="I68" i="2"/>
  <c r="J68" i="2"/>
  <c r="K68" i="2"/>
  <c r="L80" i="2"/>
  <c r="L76" i="2"/>
  <c r="L94" i="2" s="1"/>
  <c r="O64" i="2"/>
  <c r="O49" i="2"/>
  <c r="O43" i="2"/>
  <c r="AB7" i="2"/>
  <c r="O9" i="2"/>
  <c r="O5" i="2"/>
  <c r="O4" i="2"/>
  <c r="AB4" i="2" l="1"/>
  <c r="O19" i="2"/>
  <c r="H10" i="2"/>
  <c r="H21" i="2"/>
  <c r="D92" i="2"/>
  <c r="N92" i="2"/>
  <c r="J92" i="2"/>
  <c r="E92" i="2"/>
  <c r="O92" i="2"/>
  <c r="E94" i="2"/>
  <c r="K92" i="2"/>
  <c r="L92" i="2"/>
  <c r="I92" i="2"/>
  <c r="N94" i="2"/>
  <c r="O94" i="2"/>
  <c r="M92" i="2"/>
  <c r="F92" i="2"/>
  <c r="H92" i="2"/>
  <c r="J94" i="2"/>
  <c r="G92" i="2"/>
  <c r="O65" i="2"/>
  <c r="H13" i="2" l="1"/>
  <c r="H15" i="2" s="1"/>
  <c r="H22" i="2"/>
  <c r="M64" i="2"/>
  <c r="D64" i="2"/>
  <c r="E64" i="2"/>
  <c r="F64" i="2"/>
  <c r="G64" i="2"/>
  <c r="H64" i="2"/>
  <c r="I64" i="2"/>
  <c r="J64" i="2"/>
  <c r="K64" i="2"/>
  <c r="L64" i="2"/>
  <c r="D49" i="2"/>
  <c r="E49" i="2"/>
  <c r="F49" i="2"/>
  <c r="G49" i="2"/>
  <c r="H49" i="2"/>
  <c r="I49" i="2"/>
  <c r="J49" i="2"/>
  <c r="K49" i="2"/>
  <c r="L49" i="2"/>
  <c r="M49" i="2"/>
  <c r="D43" i="2"/>
  <c r="E43" i="2"/>
  <c r="F43" i="2"/>
  <c r="G43" i="2"/>
  <c r="H43" i="2"/>
  <c r="I43" i="2"/>
  <c r="J43" i="2"/>
  <c r="K43" i="2"/>
  <c r="L43" i="2"/>
  <c r="M43" i="2"/>
  <c r="P19" i="2"/>
  <c r="H17" i="2" l="1"/>
  <c r="H68" i="2"/>
  <c r="I65" i="2"/>
  <c r="G65" i="2"/>
  <c r="H65" i="2"/>
  <c r="F65" i="2"/>
  <c r="E65" i="2"/>
  <c r="L65" i="2"/>
  <c r="D65" i="2"/>
  <c r="M65" i="2"/>
  <c r="K65" i="2"/>
  <c r="J65" i="2"/>
  <c r="S19" i="2"/>
  <c r="S21" i="2"/>
  <c r="AD21" i="2"/>
  <c r="AE21" i="2"/>
  <c r="Y21" i="2"/>
  <c r="Z21" i="2"/>
  <c r="AA21" i="2"/>
  <c r="M21" i="2"/>
  <c r="N21" i="2"/>
  <c r="AF19" i="2"/>
  <c r="Q19" i="2"/>
  <c r="R19" i="2"/>
  <c r="AE19" i="2"/>
  <c r="Z19" i="2"/>
  <c r="AA19" i="2"/>
  <c r="AB14" i="2"/>
  <c r="AB12" i="2"/>
  <c r="AB11" i="2"/>
  <c r="AB9" i="2"/>
  <c r="AB5" i="2"/>
  <c r="AB21" i="2" s="1"/>
  <c r="O21" i="2" l="1"/>
  <c r="AC21" i="2"/>
  <c r="AA10" i="2"/>
  <c r="Z10" i="2"/>
  <c r="AF10" i="2"/>
  <c r="AF22" i="2" s="1"/>
  <c r="L10" i="2"/>
  <c r="L13" i="2" s="1"/>
  <c r="L21" i="2"/>
  <c r="M10" i="2"/>
  <c r="M13" i="2" s="1"/>
  <c r="Q10" i="2"/>
  <c r="Q13" i="2" s="1"/>
  <c r="Q21" i="2"/>
  <c r="N10" i="2"/>
  <c r="N13" i="2" s="1"/>
  <c r="R21" i="2"/>
  <c r="P10" i="2"/>
  <c r="P13" i="2" s="1"/>
  <c r="P21" i="2"/>
  <c r="AB10" i="2"/>
  <c r="AB22" i="2" s="1"/>
  <c r="Y10" i="2"/>
  <c r="AD19" i="2"/>
  <c r="O10" i="2"/>
  <c r="AC19" i="2"/>
  <c r="AE10" i="2"/>
  <c r="AD10" i="2"/>
  <c r="AB19" i="2"/>
  <c r="AG21" i="2"/>
  <c r="N49" i="2"/>
  <c r="N64" i="2"/>
  <c r="N43" i="2"/>
  <c r="O22" i="2" l="1"/>
  <c r="O13" i="2"/>
  <c r="L15" i="2"/>
  <c r="L17" i="2" s="1"/>
  <c r="L22" i="2"/>
  <c r="Z13" i="2"/>
  <c r="Z15" i="2" s="1"/>
  <c r="Z22" i="2"/>
  <c r="AA13" i="2"/>
  <c r="AA15" i="2" s="1"/>
  <c r="AA68" i="2" s="1"/>
  <c r="AA22" i="2"/>
  <c r="Q15" i="2"/>
  <c r="Q22" i="2"/>
  <c r="P15" i="2"/>
  <c r="P68" i="2" s="1"/>
  <c r="P22" i="2"/>
  <c r="AE13" i="2"/>
  <c r="AE22" i="2"/>
  <c r="N15" i="2"/>
  <c r="N17" i="2" s="1"/>
  <c r="N22" i="2"/>
  <c r="Y13" i="2"/>
  <c r="Y15" i="2" s="1"/>
  <c r="Y68" i="2" s="1"/>
  <c r="Y22" i="2"/>
  <c r="M15" i="2"/>
  <c r="M17" i="2" s="1"/>
  <c r="M22" i="2"/>
  <c r="AD13" i="2"/>
  <c r="AD15" i="2" s="1"/>
  <c r="AD22" i="2"/>
  <c r="AC10" i="2"/>
  <c r="R68" i="2"/>
  <c r="AF21" i="2"/>
  <c r="O15" i="2"/>
  <c r="AG10" i="2"/>
  <c r="AG22" i="2" s="1"/>
  <c r="AG19" i="2"/>
  <c r="AF13" i="2"/>
  <c r="AF14" i="2" s="1"/>
  <c r="AB13" i="2"/>
  <c r="AB15" i="2" s="1"/>
  <c r="N65" i="2"/>
  <c r="B6" i="2"/>
  <c r="B9" i="2" s="1"/>
  <c r="AE14" i="2" l="1"/>
  <c r="AE15" i="2" s="1"/>
  <c r="AE17" i="2" s="1"/>
  <c r="G10" i="3" s="1"/>
  <c r="L68" i="2"/>
  <c r="M68" i="2"/>
  <c r="F10" i="3"/>
  <c r="N68" i="2"/>
  <c r="Z68" i="2"/>
  <c r="Q68" i="2"/>
  <c r="AC13" i="2"/>
  <c r="AC15" i="2" s="1"/>
  <c r="AC68" i="2" s="1"/>
  <c r="AC22" i="2"/>
  <c r="H9" i="3"/>
  <c r="H8" i="3"/>
  <c r="O17" i="2"/>
  <c r="O68" i="2"/>
  <c r="AB68" i="2"/>
  <c r="AH10" i="2"/>
  <c r="AH22" i="2" s="1"/>
  <c r="AH21" i="2"/>
  <c r="G8" i="3"/>
  <c r="F8" i="3"/>
  <c r="AF15" i="2"/>
  <c r="AF17" i="2" s="1"/>
  <c r="AG13" i="2"/>
  <c r="AG14" i="2" s="1"/>
  <c r="AH19" i="2"/>
  <c r="F9" i="3"/>
  <c r="G9" i="3"/>
  <c r="H10" i="3" l="1"/>
  <c r="AI10" i="2"/>
  <c r="AI22" i="2" s="1"/>
  <c r="AI21" i="2"/>
  <c r="AG15" i="2"/>
  <c r="AI19" i="2"/>
  <c r="AH13" i="2"/>
  <c r="AH14" i="2" s="1"/>
  <c r="AG17" i="2" l="1"/>
  <c r="AJ10" i="2"/>
  <c r="AJ22" i="2" s="1"/>
  <c r="AJ21" i="2"/>
  <c r="AH15" i="2"/>
  <c r="AH17" i="2" s="1"/>
  <c r="AI13" i="2"/>
  <c r="AI14" i="2" s="1"/>
  <c r="AJ19" i="2"/>
  <c r="AK10" i="2" l="1"/>
  <c r="AK22" i="2" s="1"/>
  <c r="AK21" i="2"/>
  <c r="AI15" i="2"/>
  <c r="AI17" i="2" s="1"/>
  <c r="AJ13" i="2"/>
  <c r="AJ14" i="2" s="1"/>
  <c r="AK19" i="2"/>
  <c r="AL10" i="2" l="1"/>
  <c r="AL22" i="2" s="1"/>
  <c r="AL21" i="2"/>
  <c r="AJ15" i="2"/>
  <c r="AJ17" i="2" s="1"/>
  <c r="AK13" i="2"/>
  <c r="AK14" i="2" s="1"/>
  <c r="AL19" i="2"/>
  <c r="AM10" i="2" l="1"/>
  <c r="AM22" i="2" s="1"/>
  <c r="AM21" i="2"/>
  <c r="AK15" i="2"/>
  <c r="AK17" i="2" s="1"/>
  <c r="AM19" i="2"/>
  <c r="AL13" i="2"/>
  <c r="AL14" i="2" s="1"/>
  <c r="AL15" i="2" l="1"/>
  <c r="AL17" i="2" s="1"/>
  <c r="AM13" i="2"/>
  <c r="AM14" i="2" s="1"/>
  <c r="AM15" i="2" l="1"/>
  <c r="AM17" i="2" l="1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AP20" i="2" s="1"/>
  <c r="AP21" i="2" l="1"/>
  <c r="AP23" i="2" s="1"/>
  <c r="AP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tc={B4149261-00FF-294B-8FA1-C72201CA5F09}</author>
  </authors>
  <commentList>
    <comment ref="J6" authorId="0" shapeId="0" xr:uid="{B4149261-00FF-294B-8FA1-C72201CA5F0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Maintance</t>
      </text>
    </comment>
  </commentList>
</comments>
</file>

<file path=xl/sharedStrings.xml><?xml version="1.0" encoding="utf-8"?>
<sst xmlns="http://schemas.openxmlformats.org/spreadsheetml/2006/main" count="494" uniqueCount="334">
  <si>
    <t>Kapitalstruktur</t>
  </si>
  <si>
    <t>Price</t>
  </si>
  <si>
    <t>S/O</t>
  </si>
  <si>
    <t>MC NOKm</t>
  </si>
  <si>
    <t>Cash NOKm</t>
  </si>
  <si>
    <t>Debt NOKm</t>
  </si>
  <si>
    <t>EV NOKm</t>
  </si>
  <si>
    <t>Flåte</t>
  </si>
  <si>
    <t>Wind Zaratan</t>
  </si>
  <si>
    <t>Wind Scylla</t>
  </si>
  <si>
    <t>Wind Orca</t>
  </si>
  <si>
    <t>Wind Osprey</t>
  </si>
  <si>
    <t>Wind Maker</t>
  </si>
  <si>
    <t>Wind Mover</t>
  </si>
  <si>
    <t>Wind peak</t>
  </si>
  <si>
    <t>Wind Pace</t>
  </si>
  <si>
    <t>Wind Ally</t>
  </si>
  <si>
    <t>Wind Ace</t>
  </si>
  <si>
    <t>Wind Apex</t>
  </si>
  <si>
    <t>Class</t>
  </si>
  <si>
    <t>Wind turbine installation vessels (WTIV)</t>
  </si>
  <si>
    <t>Foundation installation vessels (FIV)</t>
  </si>
  <si>
    <t>Main crain capacity tonnes</t>
  </si>
  <si>
    <t>&gt;2600</t>
  </si>
  <si>
    <t>Z-class</t>
  </si>
  <si>
    <t>S-class</t>
  </si>
  <si>
    <t>O-class</t>
  </si>
  <si>
    <t>M-class</t>
  </si>
  <si>
    <t>P-class</t>
  </si>
  <si>
    <t>A-class</t>
  </si>
  <si>
    <t>Hook height (meters)</t>
  </si>
  <si>
    <t>&gt;200</t>
  </si>
  <si>
    <t>Turbine installation capacity (MW)</t>
  </si>
  <si>
    <t>15-20</t>
  </si>
  <si>
    <t>20+</t>
  </si>
  <si>
    <t>20+ &amp; up to 6 XL foundations</t>
  </si>
  <si>
    <t>12-14mw</t>
  </si>
  <si>
    <t>Q4 2025</t>
  </si>
  <si>
    <t>Q2 2025</t>
  </si>
  <si>
    <t>Oppgraderte kranen i Q1 2024 for å kunne ta 20 MW turbin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</si>
  <si>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</si>
  <si>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</si>
  <si>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</si>
  <si>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</si>
  <si>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</si>
  <si>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</si>
  <si>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</si>
  <si>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</si>
  <si>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</si>
  <si>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</si>
  <si>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</si>
  <si>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</si>
  <si>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Euro/NOK</t>
  </si>
  <si>
    <t>Revenue</t>
  </si>
  <si>
    <t>Cost of sales</t>
  </si>
  <si>
    <t>Other opex</t>
  </si>
  <si>
    <t>Adminstrative expenses</t>
  </si>
  <si>
    <t>EBIT</t>
  </si>
  <si>
    <t>Finance income</t>
  </si>
  <si>
    <t>Finance costs</t>
  </si>
  <si>
    <t>PTP</t>
  </si>
  <si>
    <t>tax</t>
  </si>
  <si>
    <t>Net income</t>
  </si>
  <si>
    <t>Share</t>
  </si>
  <si>
    <t>Revenue y/y</t>
  </si>
  <si>
    <t>Intangible assets</t>
  </si>
  <si>
    <t>PP&amp;E</t>
  </si>
  <si>
    <t>Derivative assets</t>
  </si>
  <si>
    <t>Inventories</t>
  </si>
  <si>
    <t>Trade reveivables</t>
  </si>
  <si>
    <t>Contract assets</t>
  </si>
  <si>
    <t xml:space="preserve">Prepayments </t>
  </si>
  <si>
    <t>Cash</t>
  </si>
  <si>
    <t>Total assets</t>
  </si>
  <si>
    <t xml:space="preserve">Right-of-use assets </t>
  </si>
  <si>
    <t>Leasehold deposits</t>
  </si>
  <si>
    <t>Share capital</t>
  </si>
  <si>
    <t>Treasury shares</t>
  </si>
  <si>
    <t>Reserves</t>
  </si>
  <si>
    <t>Retained earnings</t>
  </si>
  <si>
    <t>Total Equity</t>
  </si>
  <si>
    <t>Provisons</t>
  </si>
  <si>
    <t>Lese liabilities</t>
  </si>
  <si>
    <t>Deferred tax liabilities</t>
  </si>
  <si>
    <t>Deferred charter hire income</t>
  </si>
  <si>
    <t>Debt to credit institutions</t>
  </si>
  <si>
    <t>Derivative liabilties</t>
  </si>
  <si>
    <t>Trade an other payables</t>
  </si>
  <si>
    <t>Current provisions</t>
  </si>
  <si>
    <t>Payabales to related parties</t>
  </si>
  <si>
    <t>Current deferred charter hire income</t>
  </si>
  <si>
    <t>Current lease liabilties</t>
  </si>
  <si>
    <t xml:space="preserve">Current income tax liabilites </t>
  </si>
  <si>
    <t>Current derivative liabilites</t>
  </si>
  <si>
    <t>Total debt</t>
  </si>
  <si>
    <t>Total E/D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</si>
  <si>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</si>
  <si>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</si>
  <si>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</si>
  <si>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</si>
  <si>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</si>
  <si>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</si>
  <si>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</si>
  <si>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</si>
  <si>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</si>
  <si>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</si>
  <si>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</si>
  <si>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</si>
  <si>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</si>
  <si>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</si>
  <si>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EPS (NOK)</t>
  </si>
  <si>
    <t>FY 2021</t>
  </si>
  <si>
    <t>Q125</t>
  </si>
  <si>
    <t>Q225</t>
  </si>
  <si>
    <t>Q325</t>
  </si>
  <si>
    <t>Q425</t>
  </si>
  <si>
    <t>EV/EBIT</t>
  </si>
  <si>
    <t>P/E</t>
  </si>
  <si>
    <t>EBITDA</t>
  </si>
  <si>
    <t>EV/EBITDA</t>
  </si>
  <si>
    <t>EBITDA margin</t>
  </si>
  <si>
    <t>Discount</t>
  </si>
  <si>
    <t>TV</t>
  </si>
  <si>
    <t>NPV Eur</t>
  </si>
  <si>
    <t>NPV NOK</t>
  </si>
  <si>
    <t>NPV/Share</t>
  </si>
  <si>
    <t>Opp- nedside</t>
  </si>
  <si>
    <t>Order backlog (EUR mill)</t>
  </si>
  <si>
    <t>Balanse EUR million</t>
  </si>
  <si>
    <t>Press releases:</t>
  </si>
  <si>
    <t>28.02.25: Signerner kontrakt for Wind Pace i USA, arbeidet starter Q225 og varer frem til Q126, EUR 75 mill</t>
  </si>
  <si>
    <t>07.02.25: Signerner en vessel reservation agreement (VRA) med Ocran Winds for installasjon av turbiner i det pols-baltiske hav. EUR 48-56 mill</t>
  </si>
  <si>
    <t>03.02.25: Signere første kontrakt på nybygget Wind mover som vil starte når fartøyet blir ferdig i Q425</t>
  </si>
  <si>
    <t>31.01.25: Wind Maker blir det sjette nybygget som blir levert til Cadeler</t>
  </si>
  <si>
    <t>24.01.25: Styrelder Sohmen-Pao kjøper 361 135 aksjer til 57,25</t>
  </si>
  <si>
    <t>14.01.25: Styreleder Sohmen-Pau kjøper 943 001 aksjer til 58,85</t>
  </si>
  <si>
    <t>20.12.24: CEO kjøper 18 250 aksjer til 63,59</t>
  </si>
  <si>
    <t>05.12.24: Trøgda flagger 5 prossa</t>
  </si>
  <si>
    <t>05.11.24: Cadeler signerer kontrakt med Scottishpower om å transportere og innstallere 64 * 15MW turbiner samtidig som fundament. EUR 360 - 382 mill. Skal starte i 2027 og skal bruke en av A-classene</t>
  </si>
  <si>
    <t>01.10.24: Kontrakt med Equinor og Polenergia JV for instalsjon av deres 1440 MW windpark i polsk-baltic hav. Skal starte i 27 EUR120 - 144mill</t>
  </si>
  <si>
    <t>30.09.24: Signerer en VRA i Asia-Stillehavsområde. EUR 200mill</t>
  </si>
  <si>
    <t>26.06.24: Kontrakt på installasjon av 72 15MW turbiner, skal bruke M-klasse. EUR 114- 130mill starter i 26</t>
  </si>
  <si>
    <t>EUR million</t>
  </si>
  <si>
    <t>23.05.24: Signerer gigakontrakt verdt inntil EUR 700mill. Kan varierer mellom 400 - 700mill. Kommer til å bruke flere fartøy og oppstart er 27</t>
  </si>
  <si>
    <t>13.05.24: Signerner en VRA med Equinor og Polenergia. EUR 110 -130 vil starte i 27</t>
  </si>
  <si>
    <t xml:space="preserve">08.04.24: Ørsted og Cadeler signerer langtidskontrakt for leasing av en av A-klasse nybyggene. Avtalen vil betyr at Ørsted sikrer seg et fartøy fra Q127 til 2030. </t>
  </si>
  <si>
    <t>27.03.24: Wind Scylla signerner kontrakt verdt EUR 75 - 150mill</t>
  </si>
  <si>
    <t>Pr nå er 15MW turbiner de største i verden.</t>
  </si>
  <si>
    <t>Vessel name</t>
  </si>
  <si>
    <t>Q1</t>
  </si>
  <si>
    <t>Q2</t>
  </si>
  <si>
    <t>Q3</t>
  </si>
  <si>
    <t>Q4</t>
  </si>
  <si>
    <t>Wind Peak</t>
  </si>
  <si>
    <t>Firm contract</t>
  </si>
  <si>
    <t>Assumed options</t>
  </si>
  <si>
    <t>Mobilisation and pre-delivery availibility</t>
  </si>
  <si>
    <t>Under construction</t>
  </si>
  <si>
    <t>Baltic power</t>
  </si>
  <si>
    <t>He Dreiht</t>
  </si>
  <si>
    <t>Sofia</t>
  </si>
  <si>
    <t>Baltyk 2 &amp; 3</t>
  </si>
  <si>
    <t>EA Hub 3</t>
  </si>
  <si>
    <t>EA Hub 2</t>
  </si>
  <si>
    <t>Baltyk</t>
  </si>
  <si>
    <t>Baltica 2</t>
  </si>
  <si>
    <t>Hornsea 3</t>
  </si>
  <si>
    <t>Undiclosed</t>
  </si>
  <si>
    <t>Revolution Wind</t>
  </si>
  <si>
    <t>Changhua</t>
  </si>
  <si>
    <t>APAC</t>
  </si>
  <si>
    <t>Inch cape</t>
  </si>
  <si>
    <t>Reservation agreement</t>
  </si>
  <si>
    <t>Undisclosed</t>
  </si>
  <si>
    <t>Ocean Winds</t>
  </si>
  <si>
    <t>CFFO</t>
  </si>
  <si>
    <t>CFFI</t>
  </si>
  <si>
    <t>Share premium</t>
  </si>
  <si>
    <t>Current income tax reveivables</t>
  </si>
  <si>
    <t>15.07.24: Signerer kontrakt som starter i 29</t>
  </si>
  <si>
    <t>O&amp;M</t>
  </si>
  <si>
    <t>Current derivate assets</t>
  </si>
  <si>
    <t>Q1 2025</t>
  </si>
  <si>
    <t>26.03.25: Tar levering av Wind Pace</t>
  </si>
  <si>
    <t>28.03.25: Styremedlem Andrea Abt kjøper 6 000 aksjer for 300 000kr</t>
  </si>
  <si>
    <t>01.04.25: CEO og CFO kjøper aksjer</t>
  </si>
  <si>
    <t>Cash flow EURm</t>
  </si>
  <si>
    <t>Reported NI</t>
  </si>
  <si>
    <t>Model NI</t>
  </si>
  <si>
    <t>D/A</t>
  </si>
  <si>
    <t>Fair value of derivatives instruments</t>
  </si>
  <si>
    <t>Share-based comp</t>
  </si>
  <si>
    <t>WC</t>
  </si>
  <si>
    <t>Income tax</t>
  </si>
  <si>
    <t>Capex</t>
  </si>
  <si>
    <t>Purchase of intangibles</t>
  </si>
  <si>
    <t>Principal repayment of lease</t>
  </si>
  <si>
    <t>Interest paid</t>
  </si>
  <si>
    <t>Proceeds from issue of share cap</t>
  </si>
  <si>
    <t>Transaction costs on issues of shares</t>
  </si>
  <si>
    <t>Proceeds from borrowing</t>
  </si>
  <si>
    <t>CFFF</t>
  </si>
  <si>
    <t>FX</t>
  </si>
  <si>
    <t>CIC</t>
  </si>
  <si>
    <t>FCF</t>
  </si>
  <si>
    <t>Interest expense/income</t>
  </si>
  <si>
    <t/>
  </si>
  <si>
    <t>22.05.25: Cadeler kjøper sitt 12 jack-up vessel som skal fokusere på O&amp;M segmentet</t>
  </si>
  <si>
    <t>Wind keeper</t>
  </si>
  <si>
    <t>K-class</t>
  </si>
  <si>
    <t>Q3 2025</t>
  </si>
  <si>
    <t>26.05.25: Cadeler kjøper tilbake aksjer for 22,5mill</t>
  </si>
  <si>
    <t>30.05.25: Fullfører tilbakekjøpsprogrammet, de kjøpte 395 200 aksjer til kurs 49,92</t>
  </si>
  <si>
    <t>04.06.25: Styreleder Sohmen-Pao kjøper aksjer for 14,5 millioner, kurs 49,93</t>
  </si>
  <si>
    <t xml:space="preserve">01.07.25: Ørsted kansllerer kontrakten med en av CADL sine A-class skip, grunnet ikke videre med Hornsea 4. </t>
  </si>
  <si>
    <r>
      <t>CADL har krav på kompensasjon og er nå fri til gjøre hva de vil med skipet. CADL oppjusterer også 25 guidance (</t>
    </r>
    <r>
      <rPr>
        <b/>
        <sz val="14"/>
        <color theme="1"/>
        <rFont val="Calibri"/>
        <family val="2"/>
        <scheme val="minor"/>
      </rPr>
      <t>Revenue: 588 - 628</t>
    </r>
    <r>
      <rPr>
        <sz val="14"/>
        <color theme="1"/>
        <rFont val="Calibri"/>
        <family val="2"/>
        <scheme val="minor"/>
      </rPr>
      <t xml:space="preserve"> (485 - 525) og</t>
    </r>
    <r>
      <rPr>
        <b/>
        <sz val="14"/>
        <color theme="1"/>
        <rFont val="Calibri"/>
        <family val="2"/>
        <scheme val="minor"/>
      </rPr>
      <t xml:space="preserve"> EBITDA: 381 - 421</t>
    </r>
    <r>
      <rPr>
        <sz val="14"/>
        <color theme="1"/>
        <rFont val="Calibri"/>
        <family val="2"/>
        <scheme val="minor"/>
      </rPr>
      <t xml:space="preserve"> (278 - 318))</t>
    </r>
  </si>
  <si>
    <t>18.07.25: CADL får levert wind Keeper Samtidig som at de får 3-årskontrakt på fartøyet med Vestas som skal starte tildig 26</t>
  </si>
  <si>
    <t>ROE</t>
  </si>
  <si>
    <t>22.08.25: CADL signerer kontrakt med Synera Renewable energy for 35 Simens gamesa 14MW turbiner til Formosa 4 i taiwan. M-klasse og vil starte i 28 og vare i 150 dager.</t>
  </si>
  <si>
    <t>Current debt to credit institutions</t>
  </si>
  <si>
    <t>Repayment of loan</t>
  </si>
  <si>
    <t>O&amp;M Changfang and Xidao</t>
  </si>
  <si>
    <t>Vestas O&amp;M</t>
  </si>
  <si>
    <t>Ownership</t>
  </si>
  <si>
    <t>Type</t>
  </si>
  <si>
    <t>11.09.25: Styreleder Sohmen-Pao, kjøper aksjer for 200mill</t>
  </si>
  <si>
    <t>18.09.25: CADL signerer kontrakt med ocean winds for installasjon av turbiner på BC-wind offshore i Polen</t>
  </si>
  <si>
    <t>25.09.25: CADL tar leveranse av sin første A-klasse Wind Ally som skal starte på Hornsea 3 for Ørsted</t>
  </si>
  <si>
    <t>Built</t>
  </si>
  <si>
    <t>Equivalent newbuild delivery</t>
  </si>
  <si>
    <t>Total value</t>
  </si>
  <si>
    <t>17.10.25: CEO kjøper 1000 ADR</t>
  </si>
  <si>
    <t>y/y</t>
  </si>
  <si>
    <t>Bokverdi</t>
  </si>
  <si>
    <t>P/B</t>
  </si>
  <si>
    <t>Utilisation</t>
  </si>
  <si>
    <t>01.12.25: CADL styrker balansen sin med en ekstra usikret grønn lånefasilitet. Fasiliteten er på 60 mill Euro med opsjon til å økes til 80 mill Euro</t>
  </si>
  <si>
    <t>01.10.25: Styreleder Sohmen-Pao kjøper aksjer for 67 mill</t>
  </si>
  <si>
    <t>26.05.25: Styreleder Sohmen-Pao kjøper aksjer for 50 mill</t>
  </si>
  <si>
    <t>09.04.25: Styreleder Sohmen-Pao kjøper aksjer for 5,4 mill</t>
  </si>
  <si>
    <t>29.05.25: Styreleder Sohmen-Pao kjøper aksjer for 46,5 mill, kurs  49,02</t>
  </si>
  <si>
    <t>03.04.25: Styreleder Sohmen-Pao kjøper aksjer 11,5 mill</t>
  </si>
  <si>
    <t>01.04.25: Styreleder Sohmen-Pao kjøpe aksjer for 60 mill (Flagger 20%)</t>
  </si>
  <si>
    <t>0.12.25: Styreleder Sohmen-Pao kjøper aksjer for 786,2 mill kurs 44,5 (Flagger 25%, eier 27,36%)</t>
  </si>
  <si>
    <t>02.12.25: Nordea funds flagger 5,02%</t>
  </si>
  <si>
    <t>Q128</t>
  </si>
  <si>
    <t>Q428</t>
  </si>
  <si>
    <t>Q129</t>
  </si>
  <si>
    <t>Equivalent newbuild cost (EURm)</t>
  </si>
  <si>
    <t>NPV of equivalent newbuld capex (EURm)</t>
  </si>
  <si>
    <t>NPV of cashflow advantage (EURm)</t>
  </si>
  <si>
    <t>Asset value</t>
  </si>
  <si>
    <t>Foundation T&amp;I services</t>
  </si>
  <si>
    <t>EV</t>
  </si>
  <si>
    <t>Net debt (Q325)</t>
  </si>
  <si>
    <t>NPV of remaning Capex (Q325)</t>
  </si>
  <si>
    <t>Equity value</t>
  </si>
  <si>
    <t>EUR/NOK</t>
  </si>
  <si>
    <t xml:space="preserve"># shares </t>
  </si>
  <si>
    <t>Equity value/share</t>
  </si>
  <si>
    <t>New building parity</t>
  </si>
  <si>
    <t>SOTP</t>
  </si>
  <si>
    <t>Dayrate (EUR 000)</t>
  </si>
  <si>
    <t>Util.</t>
  </si>
  <si>
    <t>Opex/d (EUR 000)</t>
  </si>
  <si>
    <t>EBITDA (EURm)</t>
  </si>
  <si>
    <t>Multiple</t>
  </si>
  <si>
    <t>EV (EURm)</t>
  </si>
  <si>
    <t>Wind Keeper</t>
  </si>
  <si>
    <t>5x</t>
  </si>
  <si>
    <t>T&amp;I services EBITDA</t>
  </si>
  <si>
    <t>(5,0x EV/EBITDA)</t>
  </si>
  <si>
    <t>SG&amp;A</t>
  </si>
  <si>
    <t>NIBD Q325</t>
  </si>
  <si>
    <t>Remaining capex</t>
  </si>
  <si>
    <t># of shares</t>
  </si>
  <si>
    <t>Equity value/Share</t>
  </si>
  <si>
    <t>28.01.26: CADL signerer preferred supplier agreement (PSA) for fundament installasjon i 2028. Kontrakten skal begynne H128 og skal kreve 2 fartøy ink et A-klasse fartøy</t>
  </si>
  <si>
    <t>09.02.26: Nexra, CADL dedicated service concept, Singerer en kontrakt for O&amp;M campaign in Taiwan. Kontrakten er på 20 mull euro og skal starte mars 26 og vare 3-4 måneder av Wind Maker</t>
  </si>
  <si>
    <t>EBIT margin</t>
  </si>
  <si>
    <t>28.11.25: Cadeler tar levering av sitt 10 fartøy, Wind mover</t>
  </si>
  <si>
    <t>Gearing</t>
  </si>
  <si>
    <t>23.03.26: Nexra vinner enda en O&amp;M kontrakt som skal fullføres ila 2026 med wind maker</t>
  </si>
  <si>
    <t>2026 guidance:</t>
  </si>
  <si>
    <t>420 - 510m</t>
  </si>
  <si>
    <t>Q126</t>
  </si>
  <si>
    <t>Q226</t>
  </si>
  <si>
    <t>Q326</t>
  </si>
  <si>
    <t>Q426</t>
  </si>
  <si>
    <t>Wind T</t>
  </si>
  <si>
    <t>T-class</t>
  </si>
  <si>
    <t>Q2-Q3 2030</t>
  </si>
  <si>
    <t>Q2-Q3 2031</t>
  </si>
  <si>
    <t>Heavy-lift vessel</t>
  </si>
  <si>
    <t>&gt;3300</t>
  </si>
  <si>
    <t>WTG</t>
  </si>
  <si>
    <t>FOU</t>
  </si>
  <si>
    <t>Capable</t>
  </si>
  <si>
    <t>Priority</t>
  </si>
  <si>
    <t>Built/expected deliv</t>
  </si>
  <si>
    <t>07.04.25: CEO kjøper aksjer for 200k</t>
  </si>
  <si>
    <t>North Sea Summit 2026</t>
  </si>
  <si>
    <t>Havvind-mål 2050</t>
  </si>
  <si>
    <t>300 GW</t>
  </si>
  <si>
    <t>Årlig ny kapasitet fra 2031</t>
  </si>
  <si>
    <t>15 GW/år</t>
  </si>
  <si>
    <t>Installert kapasitet i dag (~)</t>
  </si>
  <si>
    <t>~35-40 GW</t>
  </si>
  <si>
    <t>Opptrapping nødvendig</t>
  </si>
  <si>
    <t>~8x</t>
  </si>
  <si>
    <t>Drivere:</t>
  </si>
  <si>
    <t>• Energisikkerhet &amp; geopolitikk</t>
  </si>
  <si>
    <t>• Redusere importavhengighet</t>
  </si>
  <si>
    <t>• Nordsjøen som Europas vind-hub</t>
  </si>
  <si>
    <t>22.05.24: Cadeler bestiller sitt tredje a-klasse nybygg prisen er 400 mill USD</t>
  </si>
  <si>
    <t xml:space="preserve">26.03.26: CADL henter 1 965 million NOK at 56kr grunnet mulig investering i to t-class nybygg og et heavy lift-vessel. All in kostand for heavy-lift fartøyet er 120 - 145 EURm. Begge t-class fartøyene kjøper for rundt 400 mill USD. </t>
  </si>
  <si>
    <t>Til sammenligning ble et fartyø kontrahert for 526 mill USD i februar 26. Capex vil være back-end loaded hvor majoriteten kommer etter 2029 og vil være 65% gjeldfinansiert</t>
  </si>
  <si>
    <t>Sunrise wind</t>
  </si>
  <si>
    <t>EA3</t>
  </si>
  <si>
    <t>Baltik power project</t>
  </si>
  <si>
    <t>USA O&amp;M windyard</t>
  </si>
  <si>
    <t>Upgrades in 2026, O&amp;M in Asia, then back to Europe</t>
  </si>
  <si>
    <t>T&amp;I = Transportation and installation</t>
  </si>
  <si>
    <t>10.11.25: Signerer stor kontrakt for både foundation and turbine trans and install til en verdi a 500 EURm. Fundamenetene skal bli transportert tidlig 2029 (A-class). Turbininstall skal starte tidlig 2030 (O-class) (Ikke avklart enda)</t>
  </si>
  <si>
    <t>Q3 2026</t>
  </si>
  <si>
    <t>Q2 2027</t>
  </si>
  <si>
    <t>Client with a project from yard</t>
  </si>
  <si>
    <t>AR8 kommer i juli 2026</t>
  </si>
  <si>
    <t>Nexra er O&amp;M pool til Cadeler</t>
  </si>
  <si>
    <t>nybygg1</t>
  </si>
  <si>
    <t>nybygg 2</t>
  </si>
  <si>
    <t>Gross profit</t>
  </si>
  <si>
    <t>31.03.26: Styreleder Sohmen-Pao kjøper 715 000 aksjer til kurs 53,52</t>
  </si>
  <si>
    <t>854 - 944m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</si>
</sst>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\ %"/>
    <numFmt numFmtId="167" formatCode="0.0000000000"/>
  </numFmts>
  <fonts count="16" x14ac:knownFonts="1"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DB4AD"/>
        <bgColor indexed="64"/>
      </patternFill>
    </fill>
    <fill>
      <patternFill patternType="solid">
        <fgColor rgb="FF3D6B7E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2" fontId="2" fillId="0" borderId="1" xfId="0" applyNumberFormat="1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3" fontId="2" fillId="0" borderId="0" xfId="0" applyNumberFormat="1" applyFont="1"/>
    <xf numFmtId="0" fontId="4" fillId="0" borderId="0" xfId="0" applyFont="1"/>
    <xf numFmtId="2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17" fontId="2" fillId="0" borderId="6" xfId="0" applyNumberFormat="1" applyFont="1" applyBorder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6" fontId="2" fillId="0" borderId="0" xfId="0" applyNumberFormat="1" applyFont="1"/>
    <xf numFmtId="3" fontId="3" fillId="0" borderId="0" xfId="0" applyNumberFormat="1" applyFont="1"/>
    <xf numFmtId="0" fontId="5" fillId="0" borderId="6" xfId="0" applyFont="1" applyBorder="1"/>
    <xf numFmtId="165" fontId="5" fillId="0" borderId="6" xfId="0" applyNumberFormat="1" applyFont="1" applyBorder="1"/>
    <xf numFmtId="0" fontId="6" fillId="0" borderId="6" xfId="0" applyFont="1" applyBorder="1"/>
    <xf numFmtId="9" fontId="2" fillId="0" borderId="0" xfId="0" applyNumberFormat="1" applyFont="1"/>
    <xf numFmtId="9" fontId="3" fillId="0" borderId="0" xfId="0" applyNumberFormat="1" applyFont="1"/>
    <xf numFmtId="0" fontId="3" fillId="0" borderId="6" xfId="0" applyFont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2" borderId="0" xfId="0" applyFont="1" applyFill="1"/>
    <xf numFmtId="0" fontId="2" fillId="3" borderId="0" xfId="0" applyFont="1" applyFill="1"/>
    <xf numFmtId="0" fontId="9" fillId="4" borderId="0" xfId="0" applyFont="1" applyFill="1"/>
    <xf numFmtId="3" fontId="4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0" fontId="10" fillId="0" borderId="0" xfId="0" applyFont="1"/>
    <xf numFmtId="0" fontId="11" fillId="0" borderId="0" xfId="0" applyFont="1"/>
    <xf numFmtId="10" fontId="2" fillId="0" borderId="0" xfId="0" applyNumberFormat="1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 applyAlignment="1">
      <alignment wrapText="1"/>
    </xf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/>
    <xf numFmtId="164" fontId="2" fillId="0" borderId="0" xfId="0" applyNumberFormat="1" applyFont="1"/>
    <xf numFmtId="164" fontId="2" fillId="0" borderId="5" xfId="0" applyNumberFormat="1" applyFont="1" applyBorder="1"/>
    <xf numFmtId="0" fontId="2" fillId="0" borderId="8" xfId="0" applyFont="1" applyBorder="1"/>
    <xf numFmtId="164" fontId="3" fillId="0" borderId="0" xfId="0" applyNumberFormat="1" applyFont="1"/>
    <xf numFmtId="2" fontId="2" fillId="0" borderId="8" xfId="0" applyNumberFormat="1" applyFont="1" applyBorder="1"/>
    <xf numFmtId="9" fontId="2" fillId="0" borderId="0" xfId="0" applyNumberFormat="1" applyFont="1" applyAlignment="1">
      <alignment horizontal="center"/>
    </xf>
    <xf numFmtId="9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2" fillId="0" borderId="8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7" xfId="0" applyFont="1" applyBorder="1" applyAlignment="1">
      <alignment horizontal="center"/>
    </xf>
    <xf numFmtId="4" fontId="3" fillId="0" borderId="0" xfId="0" applyNumberFormat="1" applyFont="1"/>
    <xf numFmtId="167" fontId="2" fillId="0" borderId="0" xfId="0" applyNumberFormat="1" applyFont="1"/>
    <xf numFmtId="0" fontId="15" fillId="0" borderId="0" xfId="0" applyFont="1"/>
    <xf numFmtId="0" fontId="7" fillId="6" borderId="0" xfId="0" applyFont="1" applyFill="1"/>
    <xf numFmtId="1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13" fillId="0" borderId="0" xfId="0" applyFont="1"/>
    <xf numFmtId="0" fontId="9" fillId="0" borderId="0" xfId="0" applyFont="1"/>
    <xf numFmtId="0" fontId="14" fillId="0" borderId="0" xfId="0" applyFont="1"/>
    <xf numFmtId="0" fontId="0" fillId="0" borderId="6" xfId="0" applyBorder="1"/>
    <xf numFmtId="0" fontId="9" fillId="12" borderId="0" xfId="0" applyFont="1" applyFill="1"/>
    <xf numFmtId="0" fontId="9" fillId="13" borderId="0" xfId="0" applyFont="1" applyFill="1"/>
    <xf numFmtId="0" fontId="2" fillId="12" borderId="6" xfId="0" applyFont="1" applyFill="1" applyBorder="1"/>
    <xf numFmtId="0" fontId="0" fillId="12" borderId="6" xfId="0" applyFill="1" applyBorder="1"/>
    <xf numFmtId="0" fontId="0" fillId="13" borderId="6" xfId="0" applyFill="1" applyBorder="1"/>
    <xf numFmtId="0" fontId="2" fillId="13" borderId="6" xfId="0" applyFont="1" applyFill="1" applyBorder="1"/>
    <xf numFmtId="0" fontId="2" fillId="0" borderId="13" xfId="0" applyFont="1" applyBorder="1"/>
    <xf numFmtId="0" fontId="2" fillId="0" borderId="9" xfId="0" applyFont="1" applyBorder="1"/>
    <xf numFmtId="0" fontId="3" fillId="0" borderId="9" xfId="0" applyFont="1" applyBorder="1"/>
    <xf numFmtId="0" fontId="2" fillId="0" borderId="14" xfId="0" applyFont="1" applyBorder="1"/>
    <xf numFmtId="0" fontId="3" fillId="0" borderId="14" xfId="0" applyFont="1" applyBorder="1"/>
    <xf numFmtId="0" fontId="2" fillId="0" borderId="15" xfId="0" applyFont="1" applyBorder="1"/>
    <xf numFmtId="0" fontId="3" fillId="0" borderId="15" xfId="0" applyFont="1" applyBorder="1"/>
    <xf numFmtId="0" fontId="2" fillId="0" borderId="12" xfId="0" applyFont="1" applyBorder="1"/>
    <xf numFmtId="0" fontId="13" fillId="7" borderId="16" xfId="0" applyFont="1" applyFill="1" applyBorder="1"/>
    <xf numFmtId="0" fontId="7" fillId="7" borderId="5" xfId="0" applyFont="1" applyFill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13" fillId="7" borderId="18" xfId="0" applyFont="1" applyFill="1" applyBorder="1"/>
    <xf numFmtId="0" fontId="13" fillId="7" borderId="13" xfId="0" applyFont="1" applyFill="1" applyBorder="1"/>
    <xf numFmtId="0" fontId="7" fillId="7" borderId="13" xfId="0" applyFont="1" applyFill="1" applyBorder="1"/>
    <xf numFmtId="0" fontId="9" fillId="4" borderId="18" xfId="0" applyFont="1" applyFill="1" applyBorder="1"/>
    <xf numFmtId="0" fontId="7" fillId="4" borderId="13" xfId="0" applyFont="1" applyFill="1" applyBorder="1"/>
    <xf numFmtId="0" fontId="0" fillId="4" borderId="13" xfId="0" applyFill="1" applyBorder="1"/>
    <xf numFmtId="0" fontId="0" fillId="4" borderId="18" xfId="0" applyFill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2" fillId="0" borderId="10" xfId="0" applyFont="1" applyBorder="1"/>
    <xf numFmtId="0" fontId="7" fillId="14" borderId="13" xfId="0" applyFont="1" applyFill="1" applyBorder="1"/>
    <xf numFmtId="0" fontId="7" fillId="8" borderId="13" xfId="0" applyFont="1" applyFill="1" applyBorder="1"/>
    <xf numFmtId="0" fontId="7" fillId="0" borderId="18" xfId="0" applyFont="1" applyBorder="1"/>
    <xf numFmtId="0" fontId="7" fillId="0" borderId="13" xfId="0" applyFont="1" applyBorder="1"/>
    <xf numFmtId="0" fontId="7" fillId="6" borderId="18" xfId="0" applyFont="1" applyFill="1" applyBorder="1"/>
    <xf numFmtId="0" fontId="7" fillId="6" borderId="13" xfId="0" applyFont="1" applyFill="1" applyBorder="1"/>
    <xf numFmtId="0" fontId="7" fillId="8" borderId="18" xfId="0" applyFont="1" applyFill="1" applyBorder="1"/>
    <xf numFmtId="0" fontId="7" fillId="9" borderId="13" xfId="0" applyFont="1" applyFill="1" applyBorder="1"/>
    <xf numFmtId="0" fontId="0" fillId="11" borderId="13" xfId="0" applyFill="1" applyBorder="1"/>
    <xf numFmtId="0" fontId="0" fillId="11" borderId="19" xfId="0" applyFill="1" applyBorder="1"/>
    <xf numFmtId="0" fontId="2" fillId="11" borderId="18" xfId="0" applyFont="1" applyFill="1" applyBorder="1"/>
    <xf numFmtId="0" fontId="2" fillId="11" borderId="13" xfId="0" applyFont="1" applyFill="1" applyBorder="1"/>
    <xf numFmtId="0" fontId="2" fillId="11" borderId="10" xfId="0" applyFont="1" applyFill="1" applyBorder="1"/>
    <xf numFmtId="0" fontId="7" fillId="10" borderId="18" xfId="0" applyFont="1" applyFill="1" applyBorder="1"/>
    <xf numFmtId="0" fontId="7" fillId="10" borderId="13" xfId="0" applyFont="1" applyFill="1" applyBorder="1"/>
    <xf numFmtId="0" fontId="7" fillId="7" borderId="18" xfId="0" applyFont="1" applyFill="1" applyBorder="1"/>
    <xf numFmtId="0" fontId="13" fillId="4" borderId="18" xfId="0" applyFont="1" applyFill="1" applyBorder="1"/>
    <xf numFmtId="0" fontId="14" fillId="7" borderId="18" xfId="0" applyFont="1" applyFill="1" applyBorder="1"/>
    <xf numFmtId="0" fontId="14" fillId="7" borderId="13" xfId="0" applyFont="1" applyFill="1" applyBorder="1"/>
    <xf numFmtId="0" fontId="14" fillId="7" borderId="19" xfId="0" applyFont="1" applyFill="1" applyBorder="1"/>
    <xf numFmtId="0" fontId="13" fillId="8" borderId="19" xfId="0" applyFont="1" applyFill="1" applyBorder="1"/>
    <xf numFmtId="0" fontId="0" fillId="5" borderId="13" xfId="0" applyFill="1" applyBorder="1"/>
    <xf numFmtId="0" fontId="0" fillId="5" borderId="19" xfId="0" applyFill="1" applyBorder="1"/>
    <xf numFmtId="0" fontId="2" fillId="5" borderId="13" xfId="0" applyFont="1" applyFill="1" applyBorder="1"/>
    <xf numFmtId="0" fontId="7" fillId="10" borderId="19" xfId="0" applyFont="1" applyFill="1" applyBorder="1"/>
    <xf numFmtId="0" fontId="2" fillId="5" borderId="10" xfId="0" applyFont="1" applyFill="1" applyBorder="1"/>
    <xf numFmtId="0" fontId="7" fillId="3" borderId="13" xfId="0" applyFont="1" applyFill="1" applyBorder="1"/>
    <xf numFmtId="0" fontId="7" fillId="3" borderId="18" xfId="0" applyFont="1" applyFill="1" applyBorder="1"/>
    <xf numFmtId="0" fontId="13" fillId="4" borderId="13" xfId="0" applyFont="1" applyFill="1" applyBorder="1"/>
    <xf numFmtId="0" fontId="9" fillId="7" borderId="18" xfId="0" applyFont="1" applyFill="1" applyBorder="1"/>
    <xf numFmtId="0" fontId="9" fillId="3" borderId="18" xfId="0" applyFont="1" applyFill="1" applyBorder="1"/>
    <xf numFmtId="0" fontId="13" fillId="3" borderId="18" xfId="0" applyFont="1" applyFill="1" applyBorder="1"/>
    <xf numFmtId="0" fontId="7" fillId="3" borderId="16" xfId="0" applyFont="1" applyFill="1" applyBorder="1"/>
    <xf numFmtId="0" fontId="0" fillId="3" borderId="5" xfId="0" applyFill="1" applyBorder="1"/>
    <xf numFmtId="0" fontId="9" fillId="4" borderId="13" xfId="0" applyFont="1" applyFill="1" applyBorder="1"/>
    <xf numFmtId="0" fontId="2" fillId="0" borderId="1" xfId="0" applyFont="1" applyBorder="1" applyAlignment="1">
      <alignment horizontal="right"/>
    </xf>
    <xf numFmtId="3" fontId="3" fillId="0" borderId="1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0" fontId="2" fillId="0" borderId="1" xfId="0" applyNumberFormat="1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B4AD"/>
      <color rgb="FF3D6B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79829</xdr:colOff>
      <xdr:row>1</xdr:row>
      <xdr:rowOff>48986</xdr:rowOff>
    </xdr:from>
    <xdr:to>
      <xdr:col>5</xdr:col>
      <xdr:colOff>2165177</xdr:colOff>
      <xdr:row>15</xdr:row>
      <xdr:rowOff>145143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2C9D50AD-7F2D-3BC4-E8DE-43E9699F4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29" y="284843"/>
          <a:ext cx="9197348" cy="36521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108858</xdr:colOff>
      <xdr:row>53</xdr:row>
      <xdr:rowOff>54428</xdr:rowOff>
    </xdr:from>
    <xdr:to>
      <xdr:col>5</xdr:col>
      <xdr:colOff>1856875</xdr:colOff>
      <xdr:row>76</xdr:row>
      <xdr:rowOff>108857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68CE8477-D6E9-6C55-585E-5514D5C0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8" y="12264571"/>
          <a:ext cx="9640160" cy="4717143"/>
        </a:xfrm>
        <a:prstGeom prst="rect">
          <a:avLst/>
        </a:prstGeom>
      </xdr:spPr>
    </xdr:pic>
    <xdr:clientData/>
  </xdr:twoCellAnchor>
  <xdr:twoCellAnchor editAs="oneCell">
    <xdr:from>
      <xdr:col>5</xdr:col>
      <xdr:colOff>2412999</xdr:colOff>
      <xdr:row>53</xdr:row>
      <xdr:rowOff>90714</xdr:rowOff>
    </xdr:from>
    <xdr:to>
      <xdr:col>16</xdr:col>
      <xdr:colOff>428336</xdr:colOff>
      <xdr:row>77</xdr:row>
      <xdr:rowOff>90714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2138F56C-F01E-3C5F-982C-BAA5BF83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5142" y="12300857"/>
          <a:ext cx="9989623" cy="4862286"/>
        </a:xfrm>
        <a:prstGeom prst="rect">
          <a:avLst/>
        </a:prstGeom>
      </xdr:spPr>
    </xdr:pic>
    <xdr:clientData/>
  </xdr:twoCellAnchor>
  <xdr:twoCellAnchor editAs="oneCell">
    <xdr:from>
      <xdr:col>16</xdr:col>
      <xdr:colOff>816427</xdr:colOff>
      <xdr:row>54</xdr:row>
      <xdr:rowOff>18143</xdr:rowOff>
    </xdr:from>
    <xdr:to>
      <xdr:col>29</xdr:col>
      <xdr:colOff>96726</xdr:colOff>
      <xdr:row>78</xdr:row>
      <xdr:rowOff>72570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EEF2DC26-A026-F0F3-7BB4-868C358B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82856" y="12427857"/>
          <a:ext cx="10129727" cy="49167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172EB629-DB26-BE43-A3E6-941802B8BA4B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6-03-28T14:11:42.81" personId="{172EB629-DB26-BE43-A3E6-941802B8BA4B}" id="{B4149261-00FF-294B-8FA1-C72201CA5F09}">
    <text>Maintance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E8F02E-57A0-5449-9958-31D983BE2F04}">
  <we:reference id="wa200009404" version="1.0.0.8" store="nb-NO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1435-709C-3B43-BA1B-F2D0BCFE38FD}">
  <dimension ref="A1:AU70"/>
  <sheetViews>
    <sheetView showGridLines="0" zoomScale="90" zoomScaleNormal="90" workbookViewId="0">
      <selection activeCell="G33" sqref="G33"/>
    </sheetView>
  </sheetViews>
  <sheetFormatPr baseColWidth="10" defaultRowHeight="19" x14ac:dyDescent="0.25"/>
  <cols>
    <col min="1" max="1" width="17.83203125" style="2" customWidth="1"/>
    <col min="2" max="2" width="14" style="2" bestFit="1" customWidth="1"/>
    <col min="3" max="3" width="10.83203125" style="2"/>
    <col min="4" max="4" width="28.1640625" style="2" bestFit="1" customWidth="1"/>
    <col min="5" max="5" width="22.33203125" style="2" bestFit="1" customWidth="1"/>
    <col min="6" max="6" width="35.6640625" style="2" bestFit="1" customWidth="1"/>
    <col min="7" max="7" width="21" style="2" bestFit="1" customWidth="1"/>
    <col min="8" max="10" width="10.83203125" style="2"/>
    <col min="11" max="11" width="33.33203125" style="2" customWidth="1"/>
    <col min="12" max="12" width="15" style="2" customWidth="1"/>
    <col min="13" max="13" width="10.83203125" style="2"/>
    <col min="14" max="14" width="14.83203125" style="2" customWidth="1"/>
    <col min="15" max="15" width="10.83203125" style="2"/>
    <col min="16" max="17" width="7.83203125" style="2" customWidth="1"/>
    <col min="18" max="18" width="8.1640625" style="2" customWidth="1"/>
    <col min="19" max="19" width="7.83203125" style="2" customWidth="1"/>
    <col min="20" max="20" width="7.33203125" style="2" customWidth="1"/>
    <col min="21" max="21" width="7.5" style="2" customWidth="1"/>
    <col min="22" max="22" width="7.33203125" style="2" customWidth="1"/>
    <col min="23" max="24" width="7.5" style="2" customWidth="1"/>
    <col min="25" max="25" width="6.83203125" style="2" customWidth="1"/>
    <col min="26" max="26" width="8.5" style="2" customWidth="1"/>
    <col min="27" max="27" width="8.1640625" style="2" customWidth="1"/>
    <col min="28" max="28" width="7.5" style="2" customWidth="1"/>
    <col min="29" max="29" width="8.1640625" style="2" customWidth="1"/>
    <col min="30" max="30" width="7.33203125" style="2" customWidth="1"/>
    <col min="31" max="31" width="8.1640625" style="2" customWidth="1"/>
    <col min="32" max="32" width="8.33203125" style="2" customWidth="1"/>
    <col min="33" max="33" width="7.83203125" style="2" customWidth="1"/>
    <col min="34" max="34" width="8.5" style="2" customWidth="1"/>
    <col min="35" max="35" width="7.33203125" style="2" customWidth="1"/>
    <col min="36" max="36" width="6.83203125" style="2" customWidth="1"/>
    <col min="37" max="37" width="7.33203125" style="2" customWidth="1"/>
    <col min="38" max="38" width="7" style="2" customWidth="1"/>
    <col min="39" max="39" width="8.33203125" style="2" customWidth="1"/>
    <col min="40" max="16384" width="10.83203125" style="2"/>
  </cols>
  <sheetData>
    <row r="1" spans="1:12" x14ac:dyDescent="0.25">
      <c r="A1" s="4" t="s">
        <v>147</v>
      </c>
    </row>
    <row r="3" spans="1:12" ht="21" x14ac:dyDescent="0.25">
      <c r="A3" s="62"/>
    </row>
    <row r="4" spans="1:12" ht="24" x14ac:dyDescent="0.3">
      <c r="C4" s="4"/>
      <c r="D4" s="4"/>
      <c r="E4" s="4"/>
      <c r="F4" s="4"/>
      <c r="G4" s="39" t="s">
        <v>283</v>
      </c>
      <c r="K4" s="4" t="s">
        <v>301</v>
      </c>
    </row>
    <row r="5" spans="1:12" ht="19" customHeight="1" x14ac:dyDescent="0.3">
      <c r="A5" s="145"/>
      <c r="D5" s="29"/>
      <c r="E5" s="29"/>
      <c r="F5" s="29"/>
      <c r="G5" s="40" t="s">
        <v>53</v>
      </c>
      <c r="H5" s="40" t="s">
        <v>333</v>
      </c>
      <c r="K5" s="78" t="s">
        <v>302</v>
      </c>
      <c r="L5" s="79" t="s">
        <v>303</v>
      </c>
    </row>
    <row r="6" spans="1:12" ht="24" x14ac:dyDescent="0.3">
      <c r="A6" s="145"/>
      <c r="D6" s="29"/>
      <c r="E6" s="29"/>
      <c r="F6" s="64"/>
      <c r="G6" s="40" t="s">
        <v>118</v>
      </c>
      <c r="H6" s="40" t="s">
        <v>284</v>
      </c>
      <c r="K6" s="82" t="s">
        <v>304</v>
      </c>
      <c r="L6" s="83" t="s">
        <v>305</v>
      </c>
    </row>
    <row r="7" spans="1:12" x14ac:dyDescent="0.25">
      <c r="A7" s="145"/>
      <c r="D7" s="29"/>
      <c r="E7" s="29"/>
      <c r="F7" s="29"/>
      <c r="G7" s="29"/>
      <c r="K7" s="82" t="s">
        <v>306</v>
      </c>
      <c r="L7" s="83" t="s">
        <v>307</v>
      </c>
    </row>
    <row r="8" spans="1:12" x14ac:dyDescent="0.25">
      <c r="A8" s="145"/>
      <c r="D8" s="29"/>
      <c r="E8" s="29"/>
      <c r="F8" s="29"/>
      <c r="G8" s="29"/>
      <c r="K8" s="80" t="s">
        <v>308</v>
      </c>
      <c r="L8" s="81" t="s">
        <v>309</v>
      </c>
    </row>
    <row r="9" spans="1:12" x14ac:dyDescent="0.25">
      <c r="A9" s="145"/>
      <c r="D9" s="29"/>
      <c r="E9" s="29"/>
      <c r="F9" s="29"/>
      <c r="G9" s="54" t="s">
        <v>322</v>
      </c>
    </row>
    <row r="10" spans="1:12" x14ac:dyDescent="0.25">
      <c r="A10" s="145"/>
      <c r="D10" s="29"/>
      <c r="E10" s="29"/>
      <c r="F10" s="29"/>
      <c r="G10" s="29"/>
      <c r="K10" s="4" t="s">
        <v>310</v>
      </c>
    </row>
    <row r="11" spans="1:12" x14ac:dyDescent="0.25">
      <c r="A11" s="145"/>
      <c r="D11" s="29"/>
      <c r="E11" s="29"/>
      <c r="F11" s="29"/>
      <c r="G11" s="54" t="s">
        <v>327</v>
      </c>
      <c r="K11" s="2" t="s">
        <v>311</v>
      </c>
    </row>
    <row r="12" spans="1:12" x14ac:dyDescent="0.25">
      <c r="A12" s="145"/>
      <c r="D12" s="29"/>
      <c r="E12" s="29"/>
      <c r="F12" s="29"/>
      <c r="G12" s="29"/>
      <c r="K12" s="2" t="s">
        <v>312</v>
      </c>
    </row>
    <row r="13" spans="1:12" ht="19" customHeight="1" x14ac:dyDescent="0.25">
      <c r="A13" s="145"/>
      <c r="D13" s="29"/>
      <c r="E13" s="29"/>
      <c r="F13" s="29"/>
      <c r="G13" s="54" t="s">
        <v>328</v>
      </c>
      <c r="K13" s="2" t="s">
        <v>313</v>
      </c>
    </row>
    <row r="14" spans="1:12" ht="24" customHeight="1" x14ac:dyDescent="0.25">
      <c r="A14" s="145"/>
      <c r="D14" s="29"/>
      <c r="E14" s="29"/>
      <c r="F14" s="29"/>
      <c r="G14" s="29"/>
    </row>
    <row r="15" spans="1:12" x14ac:dyDescent="0.25">
      <c r="A15" s="145"/>
      <c r="D15" s="29"/>
      <c r="E15" s="29"/>
      <c r="F15" s="29"/>
      <c r="G15" s="65"/>
    </row>
    <row r="16" spans="1:12" x14ac:dyDescent="0.25">
      <c r="A16" s="145"/>
      <c r="D16" s="29"/>
      <c r="E16" s="29"/>
      <c r="F16" s="29"/>
      <c r="G16" s="65"/>
    </row>
    <row r="17" spans="1:8" x14ac:dyDescent="0.25">
      <c r="A17" s="145"/>
      <c r="G17" s="65"/>
    </row>
    <row r="18" spans="1:8" x14ac:dyDescent="0.25">
      <c r="A18" s="145"/>
      <c r="G18" s="65"/>
    </row>
    <row r="19" spans="1:8" x14ac:dyDescent="0.25">
      <c r="A19" s="4" t="s">
        <v>129</v>
      </c>
    </row>
    <row r="20" spans="1:8" x14ac:dyDescent="0.25">
      <c r="A20" s="42" t="s">
        <v>332</v>
      </c>
    </row>
    <row r="21" spans="1:8" ht="18" customHeight="1" x14ac:dyDescent="0.3">
      <c r="A21" s="2" t="s">
        <v>315</v>
      </c>
      <c r="H21" s="40"/>
    </row>
    <row r="22" spans="1:8" ht="18" customHeight="1" x14ac:dyDescent="0.3">
      <c r="A22" s="2" t="s">
        <v>316</v>
      </c>
      <c r="H22" s="40"/>
    </row>
    <row r="23" spans="1:8" ht="20" customHeight="1" x14ac:dyDescent="0.25">
      <c r="A23" s="2" t="s">
        <v>282</v>
      </c>
    </row>
    <row r="24" spans="1:8" ht="18" customHeight="1" x14ac:dyDescent="0.25">
      <c r="A24" s="2" t="s">
        <v>278</v>
      </c>
    </row>
    <row r="25" spans="1:8" x14ac:dyDescent="0.25">
      <c r="A25" s="2" t="s">
        <v>277</v>
      </c>
    </row>
    <row r="26" spans="1:8" x14ac:dyDescent="0.25">
      <c r="A26" s="2" t="s">
        <v>244</v>
      </c>
    </row>
    <row r="27" spans="1:8" x14ac:dyDescent="0.25">
      <c r="A27" s="2" t="s">
        <v>243</v>
      </c>
    </row>
    <row r="28" spans="1:8" x14ac:dyDescent="0.25">
      <c r="A28" s="2" t="s">
        <v>236</v>
      </c>
    </row>
    <row r="29" spans="1:8" x14ac:dyDescent="0.25">
      <c r="A29" s="2" t="s">
        <v>280</v>
      </c>
    </row>
    <row r="30" spans="1:8" x14ac:dyDescent="0.25">
      <c r="A30" s="42" t="s">
        <v>323</v>
      </c>
    </row>
    <row r="31" spans="1:8" x14ac:dyDescent="0.25">
      <c r="A31" s="2" t="s">
        <v>231</v>
      </c>
    </row>
    <row r="32" spans="1:8" x14ac:dyDescent="0.25">
      <c r="A32" s="2" t="s">
        <v>237</v>
      </c>
    </row>
    <row r="33" spans="1:47" x14ac:dyDescent="0.25">
      <c r="A33" s="2" t="s">
        <v>227</v>
      </c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6"/>
      <c r="AG33" s="146"/>
      <c r="AH33" s="146"/>
      <c r="AI33" s="146"/>
      <c r="AJ33" s="146"/>
      <c r="AK33" s="146"/>
      <c r="AL33" s="146"/>
      <c r="AM33" s="146"/>
      <c r="AN33" s="144"/>
      <c r="AO33" s="144"/>
      <c r="AP33" s="144"/>
      <c r="AQ33" s="144"/>
      <c r="AR33" s="144"/>
      <c r="AS33" s="144"/>
      <c r="AT33" s="144"/>
      <c r="AU33" s="144"/>
    </row>
    <row r="34" spans="1:47" x14ac:dyDescent="0.25">
      <c r="A34" s="2" t="s">
        <v>226</v>
      </c>
      <c r="N34" s="28"/>
      <c r="O34" s="28"/>
      <c r="P34" s="29"/>
      <c r="Q34" s="29"/>
      <c r="R34" s="29"/>
      <c r="S34" s="29"/>
      <c r="T34" s="29"/>
      <c r="U34" s="29"/>
      <c r="V34" s="29"/>
      <c r="W34" s="29"/>
      <c r="X34" s="65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x14ac:dyDescent="0.25">
      <c r="A35" s="2" t="s">
        <v>225</v>
      </c>
    </row>
    <row r="36" spans="1:47" x14ac:dyDescent="0.25">
      <c r="A36" s="2" t="s">
        <v>218</v>
      </c>
      <c r="N36" s="66"/>
      <c r="O36" s="66"/>
      <c r="P36"/>
      <c r="Q36" s="67"/>
      <c r="R36" s="66"/>
      <c r="S36" s="66"/>
      <c r="T36" s="67"/>
      <c r="U36" s="66"/>
      <c r="V36" s="66"/>
      <c r="W36" s="66"/>
      <c r="X36" s="6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47" x14ac:dyDescent="0.25">
      <c r="A37" s="2" t="s">
        <v>216</v>
      </c>
      <c r="N37" s="66"/>
      <c r="O37" s="66"/>
      <c r="P37" s="66"/>
      <c r="Q37" s="67"/>
      <c r="R37" s="66"/>
      <c r="S37" s="66"/>
      <c r="T37" s="67"/>
      <c r="U37" s="67"/>
      <c r="V37" s="66"/>
      <c r="W37" s="66"/>
      <c r="X37" s="66"/>
      <c r="Y37" s="66"/>
      <c r="Z37" s="66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47" x14ac:dyDescent="0.25">
      <c r="A38" s="2" t="s">
        <v>214</v>
      </c>
      <c r="N38" s="66"/>
      <c r="O38" s="66"/>
      <c r="P38"/>
      <c r="Q38" s="67"/>
      <c r="R38" s="67"/>
      <c r="S38" s="66"/>
      <c r="T38" s="67"/>
      <c r="U38" s="67"/>
      <c r="V38" s="66"/>
      <c r="W38" s="66"/>
      <c r="X38" s="66"/>
      <c r="Y38" s="66"/>
      <c r="Z38" s="66"/>
      <c r="AA38" s="66"/>
      <c r="AB38" s="67"/>
      <c r="AC38" s="66"/>
      <c r="AD38" s="66"/>
      <c r="AE38" s="66"/>
      <c r="AF38" s="67"/>
      <c r="AG38" s="66"/>
      <c r="AH38" s="66"/>
      <c r="AI38" s="66"/>
      <c r="AJ38"/>
      <c r="AK38"/>
      <c r="AL38"/>
      <c r="AM38"/>
    </row>
    <row r="39" spans="1:47" x14ac:dyDescent="0.25">
      <c r="A39" s="2" t="s">
        <v>215</v>
      </c>
      <c r="N39" s="66"/>
      <c r="O39" s="66"/>
      <c r="P39"/>
      <c r="Q39" s="67"/>
      <c r="R39" s="67"/>
      <c r="S39" s="66"/>
      <c r="T39" s="67"/>
      <c r="U39" s="67"/>
      <c r="V39" s="66"/>
      <c r="W39" s="66"/>
      <c r="X39" s="66"/>
      <c r="Y39" s="67"/>
      <c r="Z39" s="66"/>
      <c r="AA39" s="66"/>
      <c r="AB39" s="66"/>
      <c r="AC39" s="66"/>
      <c r="AD39" s="67"/>
      <c r="AE39" s="66"/>
      <c r="AF39" s="66"/>
      <c r="AG39" s="66"/>
      <c r="AH39"/>
      <c r="AI39"/>
      <c r="AJ39"/>
      <c r="AK39"/>
      <c r="AL39"/>
      <c r="AM39"/>
    </row>
    <row r="40" spans="1:47" x14ac:dyDescent="0.25">
      <c r="A40" s="2" t="s">
        <v>213</v>
      </c>
      <c r="N40" s="66"/>
      <c r="O40" s="66"/>
      <c r="P40"/>
      <c r="Q40"/>
      <c r="R40"/>
      <c r="S40"/>
      <c r="T40"/>
      <c r="U40"/>
      <c r="V40" s="66"/>
      <c r="W40" s="66"/>
      <c r="X40" s="67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/>
      <c r="AL40"/>
      <c r="AM40"/>
    </row>
    <row r="41" spans="1:47" x14ac:dyDescent="0.25">
      <c r="A41" s="2" t="s">
        <v>212</v>
      </c>
      <c r="N41" s="66"/>
      <c r="O41" s="66"/>
      <c r="P41" s="66"/>
      <c r="Q41" s="66"/>
      <c r="R41" s="66"/>
      <c r="S41" s="66"/>
      <c r="T41" s="66"/>
      <c r="U41" s="67"/>
      <c r="V41" s="66"/>
      <c r="W41" s="66"/>
      <c r="X41" s="67"/>
      <c r="Y41" s="66"/>
      <c r="Z41" s="66"/>
      <c r="AA41" s="66"/>
      <c r="AB41" s="66"/>
      <c r="AC41" s="67"/>
      <c r="AD41" s="66"/>
      <c r="AE41" s="66"/>
      <c r="AF41" s="66"/>
      <c r="AG41" s="67"/>
      <c r="AH41"/>
      <c r="AI41"/>
      <c r="AJ41"/>
      <c r="AK41"/>
      <c r="AL41"/>
      <c r="AM41"/>
    </row>
    <row r="42" spans="1:47" x14ac:dyDescent="0.25">
      <c r="A42" s="2" t="s">
        <v>240</v>
      </c>
      <c r="N42" s="66"/>
      <c r="O42" s="66"/>
      <c r="P42" s="66"/>
      <c r="Q42" s="66"/>
      <c r="R42" s="66"/>
      <c r="S42" s="66"/>
      <c r="T42" s="66"/>
      <c r="U42" s="66"/>
      <c r="V42" s="66"/>
      <c r="W42" s="67"/>
      <c r="X42" s="66"/>
      <c r="Y42" s="66"/>
      <c r="Z42" s="66"/>
      <c r="AA42" s="67"/>
      <c r="AB42" s="66"/>
      <c r="AC42" s="66"/>
      <c r="AD42" s="66"/>
      <c r="AE42" s="66"/>
      <c r="AF42"/>
      <c r="AG42"/>
      <c r="AH42"/>
      <c r="AI42"/>
      <c r="AJ42"/>
      <c r="AK42"/>
      <c r="AL42"/>
      <c r="AM42"/>
    </row>
    <row r="43" spans="1:47" x14ac:dyDescent="0.25">
      <c r="A43" s="2" t="s">
        <v>211</v>
      </c>
      <c r="N43" s="66"/>
      <c r="O43" s="66"/>
      <c r="P43" s="66"/>
      <c r="Q43" s="66"/>
      <c r="R43" s="66"/>
      <c r="S43" s="66"/>
      <c r="T43" s="67"/>
      <c r="U43" s="66"/>
      <c r="V43" s="66"/>
      <c r="W43" s="66"/>
      <c r="X43" s="66"/>
      <c r="Y43" s="66"/>
      <c r="Z43" s="66"/>
      <c r="AA43" s="67"/>
      <c r="AB43" s="66"/>
      <c r="AC43" s="66"/>
      <c r="AD43" s="66"/>
      <c r="AE43" s="66"/>
      <c r="AF43" s="67"/>
      <c r="AG43" s="66"/>
      <c r="AH43" s="66"/>
      <c r="AI43" s="66"/>
      <c r="AJ43"/>
      <c r="AK43"/>
      <c r="AL43"/>
      <c r="AM43"/>
    </row>
    <row r="44" spans="1:47" x14ac:dyDescent="0.25">
      <c r="A44" s="2" t="s">
        <v>238</v>
      </c>
      <c r="N44" s="66"/>
      <c r="O44" s="66"/>
      <c r="P44" s="66"/>
      <c r="Q44" s="66"/>
      <c r="R44" s="66"/>
      <c r="S44" s="66"/>
      <c r="T44" s="66"/>
      <c r="U44" s="67"/>
      <c r="V44" s="67"/>
      <c r="W44" s="66"/>
      <c r="X44" s="66"/>
      <c r="Y44" s="67"/>
      <c r="Z44" s="66"/>
      <c r="AA44" s="66"/>
      <c r="AB44" s="67"/>
      <c r="AC44" s="66"/>
      <c r="AD44" s="67"/>
      <c r="AE44" s="66"/>
      <c r="AF44" s="66"/>
      <c r="AG44"/>
      <c r="AH44"/>
      <c r="AI44"/>
      <c r="AJ44"/>
      <c r="AK44"/>
      <c r="AL44"/>
      <c r="AM44"/>
    </row>
    <row r="45" spans="1:47" x14ac:dyDescent="0.25">
      <c r="A45" s="2" t="s">
        <v>207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7"/>
      <c r="Y45" s="66"/>
      <c r="Z45" s="66"/>
      <c r="AA45" s="66"/>
      <c r="AB45" s="67"/>
      <c r="AC45" s="66"/>
      <c r="AD45" s="66"/>
      <c r="AE45" s="66"/>
      <c r="AF45" s="66"/>
      <c r="AG45" s="66"/>
      <c r="AH45" s="66"/>
      <c r="AI45" s="66"/>
      <c r="AJ45" s="69"/>
      <c r="AK45" s="69"/>
      <c r="AL45" s="69"/>
      <c r="AM45" s="69"/>
    </row>
    <row r="46" spans="1:47" x14ac:dyDescent="0.25">
      <c r="A46" s="2" t="s">
        <v>239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66"/>
      <c r="AD46" s="66"/>
      <c r="AE46" s="66"/>
      <c r="AF46" s="67"/>
      <c r="AG46" s="66"/>
      <c r="AH46" s="66"/>
      <c r="AI46" s="66"/>
      <c r="AJ46" s="66"/>
      <c r="AK46" s="66"/>
      <c r="AL46" s="66"/>
      <c r="AM46" s="67"/>
    </row>
    <row r="47" spans="1:47" x14ac:dyDescent="0.25">
      <c r="A47" s="2" t="s">
        <v>300</v>
      </c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/>
      <c r="AG47"/>
      <c r="AH47"/>
      <c r="AI47"/>
      <c r="AJ47"/>
      <c r="AK47"/>
      <c r="AL47"/>
      <c r="AM47"/>
    </row>
    <row r="48" spans="1:47" x14ac:dyDescent="0.25">
      <c r="A48" s="2" t="s">
        <v>241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/>
      <c r="AM48"/>
    </row>
    <row r="49" spans="1:39" x14ac:dyDescent="0.25">
      <c r="A49" s="2" t="s">
        <v>242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</row>
    <row r="50" spans="1:39" x14ac:dyDescent="0.25">
      <c r="A50" s="2" t="s">
        <v>185</v>
      </c>
    </row>
    <row r="51" spans="1:39" x14ac:dyDescent="0.25">
      <c r="A51" s="2" t="s">
        <v>184</v>
      </c>
      <c r="N51" s="68"/>
    </row>
    <row r="52" spans="1:39" x14ac:dyDescent="0.25">
      <c r="A52" s="2" t="s">
        <v>183</v>
      </c>
    </row>
    <row r="53" spans="1:39" x14ac:dyDescent="0.25">
      <c r="A53" s="2" t="s">
        <v>130</v>
      </c>
    </row>
    <row r="54" spans="1:39" x14ac:dyDescent="0.25">
      <c r="A54" s="2" t="s">
        <v>131</v>
      </c>
    </row>
    <row r="55" spans="1:39" x14ac:dyDescent="0.25">
      <c r="A55" s="2" t="s">
        <v>132</v>
      </c>
    </row>
    <row r="56" spans="1:39" x14ac:dyDescent="0.25">
      <c r="A56" s="2" t="s">
        <v>133</v>
      </c>
    </row>
    <row r="57" spans="1:39" x14ac:dyDescent="0.25">
      <c r="A57" s="2" t="s">
        <v>134</v>
      </c>
    </row>
    <row r="58" spans="1:39" x14ac:dyDescent="0.25">
      <c r="A58" s="2" t="s">
        <v>135</v>
      </c>
    </row>
    <row r="59" spans="1:39" x14ac:dyDescent="0.25">
      <c r="A59" s="2" t="s">
        <v>136</v>
      </c>
    </row>
    <row r="60" spans="1:39" x14ac:dyDescent="0.25">
      <c r="A60" s="2" t="s">
        <v>137</v>
      </c>
    </row>
    <row r="61" spans="1:39" x14ac:dyDescent="0.25">
      <c r="A61" s="2" t="s">
        <v>138</v>
      </c>
    </row>
    <row r="62" spans="1:39" x14ac:dyDescent="0.25">
      <c r="A62" s="2" t="s">
        <v>139</v>
      </c>
    </row>
    <row r="63" spans="1:39" x14ac:dyDescent="0.25">
      <c r="A63" s="2" t="s">
        <v>140</v>
      </c>
    </row>
    <row r="64" spans="1:39" x14ac:dyDescent="0.25">
      <c r="A64" s="2" t="s">
        <v>179</v>
      </c>
    </row>
    <row r="65" spans="1:1" x14ac:dyDescent="0.25">
      <c r="A65" s="2" t="s">
        <v>141</v>
      </c>
    </row>
    <row r="66" spans="1:1" x14ac:dyDescent="0.25">
      <c r="A66" s="2" t="s">
        <v>143</v>
      </c>
    </row>
    <row r="67" spans="1:1" x14ac:dyDescent="0.25">
      <c r="A67" s="2" t="s">
        <v>314</v>
      </c>
    </row>
    <row r="68" spans="1:1" x14ac:dyDescent="0.25">
      <c r="A68" s="2" t="s">
        <v>144</v>
      </c>
    </row>
    <row r="69" spans="1:1" x14ac:dyDescent="0.25">
      <c r="A69" s="2" t="s">
        <v>145</v>
      </c>
    </row>
    <row r="70" spans="1:1" x14ac:dyDescent="0.25">
      <c r="A70" s="2" t="s">
        <v>146</v>
      </c>
    </row>
  </sheetData>
  <mergeCells count="10">
    <mergeCell ref="AN33:AQ33"/>
    <mergeCell ref="AR33:AU33"/>
    <mergeCell ref="A5:A13"/>
    <mergeCell ref="AB33:AE33"/>
    <mergeCell ref="AF33:AI33"/>
    <mergeCell ref="AJ33:AM33"/>
    <mergeCell ref="P33:S33"/>
    <mergeCell ref="T33:W33"/>
    <mergeCell ref="X33:AA33"/>
    <mergeCell ref="A14:A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AD-EF8D-1F47-AEA9-A63E0F8F3B5B}">
  <dimension ref="A5:AJ74"/>
  <sheetViews>
    <sheetView showGridLines="0" topLeftCell="F3" zoomScale="70" zoomScaleNormal="70" workbookViewId="0">
      <selection activeCell="G42" sqref="G41:G42"/>
    </sheetView>
  </sheetViews>
  <sheetFormatPr baseColWidth="10" defaultRowHeight="16" x14ac:dyDescent="0.2"/>
  <cols>
    <col min="1" max="1" width="24.1640625" customWidth="1"/>
    <col min="2" max="2" width="18.1640625" customWidth="1"/>
    <col min="4" max="4" width="27.1640625" customWidth="1"/>
    <col min="5" max="5" width="23.1640625" customWidth="1"/>
    <col min="6" max="6" width="34.5" customWidth="1"/>
    <col min="7" max="7" width="24" customWidth="1"/>
    <col min="16" max="16" width="10.83203125" customWidth="1"/>
  </cols>
  <sheetData>
    <row r="5" spans="1:11" ht="21" x14ac:dyDescent="0.25">
      <c r="A5" s="62" t="s">
        <v>7</v>
      </c>
      <c r="B5" s="2"/>
      <c r="C5" s="2"/>
      <c r="D5" s="2"/>
      <c r="E5" s="2"/>
      <c r="F5" s="2"/>
      <c r="G5" s="2"/>
      <c r="H5" s="2"/>
    </row>
    <row r="6" spans="1:11" ht="19" x14ac:dyDescent="0.25">
      <c r="A6" s="2"/>
      <c r="B6" s="2"/>
      <c r="C6" s="4" t="s">
        <v>19</v>
      </c>
      <c r="D6" s="4" t="s">
        <v>22</v>
      </c>
      <c r="E6" s="4" t="s">
        <v>30</v>
      </c>
      <c r="F6" s="4" t="s">
        <v>32</v>
      </c>
      <c r="G6" s="4" t="s">
        <v>299</v>
      </c>
      <c r="H6" s="4" t="s">
        <v>295</v>
      </c>
      <c r="I6" s="4" t="s">
        <v>296</v>
      </c>
      <c r="J6" s="4" t="s">
        <v>180</v>
      </c>
    </row>
    <row r="7" spans="1:11" ht="19" x14ac:dyDescent="0.25">
      <c r="A7" s="147" t="s">
        <v>20</v>
      </c>
      <c r="B7" s="15" t="s">
        <v>8</v>
      </c>
      <c r="C7" s="15" t="s">
        <v>24</v>
      </c>
      <c r="D7" s="16">
        <v>800</v>
      </c>
      <c r="E7" s="16">
        <v>92</v>
      </c>
      <c r="F7" s="16">
        <v>9.5</v>
      </c>
      <c r="G7" s="16">
        <v>2012</v>
      </c>
      <c r="H7" s="15"/>
      <c r="I7" s="70"/>
      <c r="J7" s="75"/>
    </row>
    <row r="8" spans="1:11" ht="19" x14ac:dyDescent="0.25">
      <c r="A8" s="148"/>
      <c r="B8" s="15" t="s">
        <v>9</v>
      </c>
      <c r="C8" s="15" t="s">
        <v>25</v>
      </c>
      <c r="D8" s="16">
        <v>1540</v>
      </c>
      <c r="E8" s="16">
        <v>105</v>
      </c>
      <c r="F8" s="17" t="s">
        <v>36</v>
      </c>
      <c r="G8" s="16">
        <v>2015</v>
      </c>
      <c r="H8" s="73"/>
      <c r="I8" s="70"/>
      <c r="J8" s="75"/>
    </row>
    <row r="9" spans="1:11" ht="19" x14ac:dyDescent="0.25">
      <c r="A9" s="148"/>
      <c r="B9" s="15" t="s">
        <v>10</v>
      </c>
      <c r="C9" s="15" t="s">
        <v>26</v>
      </c>
      <c r="D9" s="16">
        <v>1600</v>
      </c>
      <c r="E9" s="16">
        <v>160</v>
      </c>
      <c r="F9" s="16" t="s">
        <v>33</v>
      </c>
      <c r="G9" s="16">
        <v>2012</v>
      </c>
      <c r="H9" s="75"/>
      <c r="I9" s="70"/>
      <c r="J9" s="74"/>
      <c r="K9" s="2" t="s">
        <v>39</v>
      </c>
    </row>
    <row r="10" spans="1:11" ht="19" x14ac:dyDescent="0.25">
      <c r="A10" s="148"/>
      <c r="B10" s="15" t="s">
        <v>11</v>
      </c>
      <c r="C10" s="15" t="s">
        <v>26</v>
      </c>
      <c r="D10" s="16">
        <v>1600</v>
      </c>
      <c r="E10" s="16">
        <v>160</v>
      </c>
      <c r="F10" s="16" t="s">
        <v>33</v>
      </c>
      <c r="G10" s="16">
        <v>2013</v>
      </c>
      <c r="H10" s="75"/>
      <c r="I10" s="70"/>
      <c r="J10" s="74"/>
      <c r="K10" s="2" t="s">
        <v>39</v>
      </c>
    </row>
    <row r="11" spans="1:11" ht="19" x14ac:dyDescent="0.25">
      <c r="A11" s="148"/>
      <c r="B11" s="15" t="s">
        <v>208</v>
      </c>
      <c r="C11" s="15" t="s">
        <v>209</v>
      </c>
      <c r="D11" s="16">
        <v>2200</v>
      </c>
      <c r="E11" s="16"/>
      <c r="F11" s="16">
        <v>15</v>
      </c>
      <c r="G11" s="16" t="s">
        <v>210</v>
      </c>
      <c r="H11" s="73"/>
      <c r="I11" s="70"/>
      <c r="J11" s="75"/>
    </row>
    <row r="12" spans="1:11" ht="19" x14ac:dyDescent="0.25">
      <c r="A12" s="148"/>
      <c r="B12" s="15" t="s">
        <v>12</v>
      </c>
      <c r="C12" s="15" t="s">
        <v>27</v>
      </c>
      <c r="D12" s="16">
        <v>2600</v>
      </c>
      <c r="E12" s="16">
        <v>174</v>
      </c>
      <c r="F12" s="16" t="s">
        <v>34</v>
      </c>
      <c r="G12" s="16" t="s">
        <v>182</v>
      </c>
      <c r="H12" s="76"/>
      <c r="I12" s="74"/>
      <c r="J12" s="74"/>
    </row>
    <row r="13" spans="1:11" ht="19" x14ac:dyDescent="0.25">
      <c r="A13" s="148"/>
      <c r="B13" s="15" t="s">
        <v>13</v>
      </c>
      <c r="C13" s="15" t="s">
        <v>27</v>
      </c>
      <c r="D13" s="16">
        <v>2600</v>
      </c>
      <c r="E13" s="16">
        <v>174</v>
      </c>
      <c r="F13" s="16" t="s">
        <v>34</v>
      </c>
      <c r="G13" s="16" t="s">
        <v>37</v>
      </c>
      <c r="H13" s="76"/>
      <c r="I13" s="74"/>
      <c r="J13" s="74"/>
    </row>
    <row r="14" spans="1:11" ht="19" x14ac:dyDescent="0.25">
      <c r="A14" s="148"/>
      <c r="B14" s="15" t="s">
        <v>14</v>
      </c>
      <c r="C14" s="15" t="s">
        <v>28</v>
      </c>
      <c r="D14" s="16" t="s">
        <v>23</v>
      </c>
      <c r="E14" s="16" t="s">
        <v>31</v>
      </c>
      <c r="F14" s="16" t="s">
        <v>34</v>
      </c>
      <c r="G14" s="16">
        <v>2024</v>
      </c>
      <c r="H14" s="76"/>
      <c r="I14" s="74"/>
      <c r="J14" s="74"/>
    </row>
    <row r="15" spans="1:11" ht="19" x14ac:dyDescent="0.25">
      <c r="A15" s="149"/>
      <c r="B15" s="15" t="s">
        <v>15</v>
      </c>
      <c r="C15" s="15" t="s">
        <v>28</v>
      </c>
      <c r="D15" s="16" t="s">
        <v>23</v>
      </c>
      <c r="E15" s="16" t="s">
        <v>31</v>
      </c>
      <c r="F15" s="16" t="s">
        <v>34</v>
      </c>
      <c r="G15" s="16" t="s">
        <v>38</v>
      </c>
      <c r="H15" s="76"/>
      <c r="I15" s="74"/>
      <c r="J15" s="74"/>
    </row>
    <row r="16" spans="1:11" ht="19" x14ac:dyDescent="0.25">
      <c r="A16" s="150" t="s">
        <v>21</v>
      </c>
      <c r="B16" s="15" t="s">
        <v>16</v>
      </c>
      <c r="C16" s="15" t="s">
        <v>29</v>
      </c>
      <c r="D16" s="16" t="s">
        <v>294</v>
      </c>
      <c r="E16" s="16" t="s">
        <v>31</v>
      </c>
      <c r="F16" s="16" t="s">
        <v>35</v>
      </c>
      <c r="G16" s="16" t="s">
        <v>210</v>
      </c>
      <c r="H16" s="73"/>
      <c r="I16" s="75"/>
      <c r="J16" s="74"/>
    </row>
    <row r="17" spans="1:36" ht="19" x14ac:dyDescent="0.25">
      <c r="A17" s="151"/>
      <c r="B17" s="15" t="s">
        <v>17</v>
      </c>
      <c r="C17" s="15" t="s">
        <v>29</v>
      </c>
      <c r="D17" s="16" t="s">
        <v>294</v>
      </c>
      <c r="E17" s="16" t="s">
        <v>31</v>
      </c>
      <c r="F17" s="16" t="s">
        <v>35</v>
      </c>
      <c r="G17" s="27" t="s">
        <v>324</v>
      </c>
      <c r="H17" s="73"/>
      <c r="I17" s="75"/>
      <c r="J17" s="74"/>
    </row>
    <row r="18" spans="1:36" ht="19" x14ac:dyDescent="0.25">
      <c r="A18" s="151"/>
      <c r="B18" s="15" t="s">
        <v>18</v>
      </c>
      <c r="C18" s="15" t="s">
        <v>29</v>
      </c>
      <c r="D18" s="16" t="s">
        <v>294</v>
      </c>
      <c r="E18" s="16" t="s">
        <v>31</v>
      </c>
      <c r="F18" s="16" t="s">
        <v>35</v>
      </c>
      <c r="G18" s="27" t="s">
        <v>325</v>
      </c>
      <c r="H18" s="73"/>
      <c r="I18" s="75"/>
      <c r="J18" s="74"/>
    </row>
    <row r="19" spans="1:36" ht="19" x14ac:dyDescent="0.25">
      <c r="A19" s="151"/>
      <c r="B19" s="15" t="s">
        <v>289</v>
      </c>
      <c r="C19" s="15" t="s">
        <v>290</v>
      </c>
      <c r="D19" s="15"/>
      <c r="E19" s="15"/>
      <c r="F19" s="15"/>
      <c r="G19" s="27" t="s">
        <v>291</v>
      </c>
      <c r="H19" s="15"/>
      <c r="I19" s="70"/>
      <c r="J19" s="70"/>
    </row>
    <row r="20" spans="1:36" ht="19" x14ac:dyDescent="0.25">
      <c r="A20" s="152"/>
      <c r="B20" s="15" t="s">
        <v>289</v>
      </c>
      <c r="C20" s="15" t="s">
        <v>290</v>
      </c>
      <c r="D20" s="15"/>
      <c r="E20" s="15"/>
      <c r="F20" s="15"/>
      <c r="G20" s="27" t="s">
        <v>292</v>
      </c>
      <c r="H20" s="15"/>
      <c r="I20" s="70"/>
      <c r="J20" s="70"/>
    </row>
    <row r="21" spans="1:36" ht="19" x14ac:dyDescent="0.25">
      <c r="A21" s="15" t="s">
        <v>293</v>
      </c>
      <c r="B21" s="15"/>
      <c r="C21" s="15"/>
      <c r="D21" s="15"/>
      <c r="E21" s="15"/>
      <c r="F21" s="15"/>
      <c r="G21" s="15"/>
      <c r="H21" s="15"/>
      <c r="I21" s="70"/>
      <c r="J21" s="70"/>
    </row>
    <row r="23" spans="1:36" ht="19" x14ac:dyDescent="0.25">
      <c r="H23" s="71" t="s">
        <v>297</v>
      </c>
    </row>
    <row r="24" spans="1:36" ht="19" x14ac:dyDescent="0.25">
      <c r="H24" s="72" t="s">
        <v>298</v>
      </c>
    </row>
    <row r="27" spans="1:36" ht="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2"/>
    </row>
    <row r="30" spans="1:36" ht="19" x14ac:dyDescent="0.25">
      <c r="A30" s="2"/>
      <c r="B30" s="2"/>
      <c r="C30" s="153">
        <v>2025</v>
      </c>
      <c r="D30" s="144"/>
      <c r="E30" s="144"/>
      <c r="F30" s="154"/>
      <c r="G30" s="153">
        <v>2026</v>
      </c>
      <c r="H30" s="144"/>
      <c r="I30" s="144"/>
      <c r="J30" s="154"/>
      <c r="K30" s="153">
        <v>2027</v>
      </c>
      <c r="L30" s="144"/>
      <c r="M30" s="144"/>
      <c r="N30" s="154"/>
      <c r="O30" s="155">
        <v>2028</v>
      </c>
      <c r="P30" s="146"/>
      <c r="Q30" s="146"/>
      <c r="R30" s="156"/>
      <c r="S30" s="155">
        <v>2029</v>
      </c>
      <c r="T30" s="146"/>
      <c r="U30" s="146"/>
      <c r="V30" s="156"/>
      <c r="W30" s="153">
        <v>2030</v>
      </c>
      <c r="X30" s="144"/>
      <c r="Y30" s="144"/>
      <c r="Z30" s="144"/>
      <c r="AA30" s="144">
        <v>2031</v>
      </c>
      <c r="AB30" s="144"/>
      <c r="AC30" s="144"/>
      <c r="AD30" s="144"/>
      <c r="AE30" s="144">
        <v>2032</v>
      </c>
      <c r="AF30" s="144"/>
      <c r="AG30" s="144"/>
      <c r="AH30" s="144"/>
    </row>
    <row r="31" spans="1:36" ht="19" x14ac:dyDescent="0.25">
      <c r="A31" s="28" t="s">
        <v>148</v>
      </c>
      <c r="B31" s="28" t="s">
        <v>19</v>
      </c>
      <c r="C31" s="31" t="s">
        <v>149</v>
      </c>
      <c r="D31" s="29" t="s">
        <v>150</v>
      </c>
      <c r="E31" s="29" t="s">
        <v>151</v>
      </c>
      <c r="F31" s="30" t="s">
        <v>152</v>
      </c>
      <c r="G31" s="59" t="s">
        <v>149</v>
      </c>
      <c r="H31" s="29" t="s">
        <v>150</v>
      </c>
      <c r="I31" s="29" t="s">
        <v>151</v>
      </c>
      <c r="J31" s="30" t="s">
        <v>152</v>
      </c>
      <c r="K31" s="31" t="s">
        <v>149</v>
      </c>
      <c r="L31" s="29" t="s">
        <v>150</v>
      </c>
      <c r="M31" s="29" t="s">
        <v>151</v>
      </c>
      <c r="N31" s="30" t="s">
        <v>152</v>
      </c>
      <c r="O31" s="31" t="s">
        <v>149</v>
      </c>
      <c r="P31" s="29" t="s">
        <v>150</v>
      </c>
      <c r="Q31" s="29" t="s">
        <v>151</v>
      </c>
      <c r="R31" s="30" t="s">
        <v>152</v>
      </c>
      <c r="S31" s="31" t="s">
        <v>149</v>
      </c>
      <c r="T31" s="29" t="s">
        <v>150</v>
      </c>
      <c r="U31" s="29" t="s">
        <v>151</v>
      </c>
      <c r="V31" s="30" t="s">
        <v>152</v>
      </c>
      <c r="W31" s="31" t="s">
        <v>149</v>
      </c>
      <c r="X31" s="29" t="s">
        <v>150</v>
      </c>
      <c r="Y31" s="29" t="s">
        <v>151</v>
      </c>
      <c r="Z31" s="30" t="s">
        <v>152</v>
      </c>
      <c r="AA31" s="31" t="s">
        <v>149</v>
      </c>
      <c r="AB31" s="29" t="s">
        <v>150</v>
      </c>
      <c r="AC31" s="29" t="s">
        <v>151</v>
      </c>
      <c r="AD31" s="30" t="s">
        <v>152</v>
      </c>
      <c r="AE31" s="31" t="s">
        <v>149</v>
      </c>
      <c r="AF31" s="29" t="s">
        <v>150</v>
      </c>
      <c r="AG31" s="29" t="s">
        <v>151</v>
      </c>
      <c r="AH31" s="30" t="s">
        <v>152</v>
      </c>
    </row>
    <row r="32" spans="1:36" ht="19" x14ac:dyDescent="0.25">
      <c r="A32" s="2"/>
      <c r="B32" s="2"/>
      <c r="C32" s="32"/>
      <c r="D32" s="2"/>
      <c r="E32" s="2"/>
      <c r="F32" s="3"/>
      <c r="G32" s="32"/>
      <c r="H32" s="2"/>
      <c r="I32" s="2"/>
      <c r="J32" s="3"/>
      <c r="K32" s="32"/>
      <c r="L32" s="2"/>
      <c r="M32" s="2"/>
      <c r="N32" s="3"/>
      <c r="O32" s="32"/>
      <c r="P32" s="2"/>
      <c r="Q32" s="2"/>
      <c r="R32" s="3"/>
      <c r="S32" s="32"/>
      <c r="T32" s="2"/>
      <c r="U32" s="2"/>
      <c r="V32" s="3"/>
      <c r="W32" s="2"/>
      <c r="X32" s="2"/>
      <c r="Y32" s="2"/>
      <c r="Z32" s="3"/>
      <c r="AA32" s="2"/>
      <c r="AB32" s="2"/>
      <c r="AC32" s="2"/>
      <c r="AD32" s="3"/>
      <c r="AE32" s="2"/>
      <c r="AF32" s="2"/>
      <c r="AG32" s="2"/>
      <c r="AH32" s="3"/>
    </row>
    <row r="33" spans="1:36" ht="19" x14ac:dyDescent="0.25">
      <c r="A33" s="63" t="s">
        <v>8</v>
      </c>
      <c r="B33" s="63" t="s">
        <v>24</v>
      </c>
      <c r="C33" s="85" t="s">
        <v>221</v>
      </c>
      <c r="D33" s="86"/>
      <c r="E33" s="86"/>
      <c r="F33" s="86"/>
      <c r="G33" s="133" t="s">
        <v>321</v>
      </c>
      <c r="H33" s="134"/>
      <c r="I33" s="134"/>
      <c r="J33" s="134"/>
      <c r="K33" s="88"/>
      <c r="L33" s="87"/>
      <c r="M33" s="87"/>
      <c r="N33" s="87"/>
      <c r="O33" s="88"/>
      <c r="P33" s="87"/>
      <c r="Q33" s="87"/>
      <c r="R33" s="87"/>
      <c r="S33" s="88"/>
      <c r="T33" s="87"/>
      <c r="U33" s="87"/>
      <c r="V33" s="89"/>
      <c r="W33" s="14"/>
      <c r="X33" s="14"/>
      <c r="Y33" s="14"/>
      <c r="Z33" s="84"/>
      <c r="AA33" s="14"/>
      <c r="AB33" s="14"/>
      <c r="AC33" s="14"/>
      <c r="AD33" s="84"/>
      <c r="AE33" s="14"/>
      <c r="AF33" s="14"/>
      <c r="AG33" s="14"/>
      <c r="AH33" s="84"/>
    </row>
    <row r="34" spans="1:36" ht="19" x14ac:dyDescent="0.25">
      <c r="A34" s="63" t="s">
        <v>9</v>
      </c>
      <c r="B34" s="63" t="s">
        <v>25</v>
      </c>
      <c r="C34" s="90"/>
      <c r="D34" s="91" t="s">
        <v>168</v>
      </c>
      <c r="E34" s="92"/>
      <c r="F34" s="92"/>
      <c r="G34" s="93" t="s">
        <v>317</v>
      </c>
      <c r="H34" s="94"/>
      <c r="I34" s="94"/>
      <c r="J34" s="95"/>
      <c r="K34" s="96"/>
      <c r="L34" s="95"/>
      <c r="M34" s="95"/>
      <c r="N34" s="97"/>
      <c r="O34" s="98"/>
      <c r="P34" s="97"/>
      <c r="Q34" s="97"/>
      <c r="R34" s="97"/>
      <c r="S34" s="98"/>
      <c r="T34" s="97"/>
      <c r="U34" s="97"/>
      <c r="V34" s="99"/>
      <c r="W34" s="77"/>
      <c r="X34" s="77"/>
      <c r="Y34" s="77"/>
      <c r="Z34" s="100"/>
      <c r="AA34" s="77"/>
      <c r="AB34" s="77"/>
      <c r="AC34" s="77"/>
      <c r="AD34" s="100"/>
      <c r="AE34" s="77"/>
      <c r="AF34" s="77"/>
      <c r="AG34" s="77"/>
      <c r="AH34" s="100"/>
    </row>
    <row r="35" spans="1:36" ht="19" x14ac:dyDescent="0.25">
      <c r="A35" s="63" t="s">
        <v>10</v>
      </c>
      <c r="B35" s="63" t="s">
        <v>26</v>
      </c>
      <c r="C35" s="90" t="s">
        <v>180</v>
      </c>
      <c r="D35" s="91" t="s">
        <v>159</v>
      </c>
      <c r="E35" s="92"/>
      <c r="F35" s="101"/>
      <c r="G35" s="93" t="s">
        <v>166</v>
      </c>
      <c r="H35" s="94"/>
      <c r="I35" s="94"/>
      <c r="J35" s="94"/>
      <c r="K35" s="90" t="s">
        <v>161</v>
      </c>
      <c r="L35" s="92"/>
      <c r="M35" s="92"/>
      <c r="N35" s="102"/>
      <c r="O35" s="90" t="s">
        <v>174</v>
      </c>
      <c r="P35" s="92"/>
      <c r="Q35" s="92"/>
      <c r="R35" s="92"/>
      <c r="S35" s="98"/>
      <c r="T35" s="97"/>
      <c r="U35" s="97"/>
      <c r="V35" s="99"/>
      <c r="W35" s="77"/>
      <c r="X35" s="77"/>
      <c r="Y35" s="77"/>
      <c r="Z35" s="100"/>
      <c r="AA35" s="77"/>
      <c r="AB35" s="77"/>
      <c r="AC35" s="77"/>
      <c r="AD35" s="100"/>
      <c r="AE35" s="77"/>
      <c r="AF35" s="77"/>
      <c r="AG35" s="77"/>
      <c r="AH35" s="100"/>
    </row>
    <row r="36" spans="1:36" ht="19" x14ac:dyDescent="0.25">
      <c r="A36" s="63" t="s">
        <v>11</v>
      </c>
      <c r="B36" s="63" t="s">
        <v>26</v>
      </c>
      <c r="C36" s="90" t="s">
        <v>180</v>
      </c>
      <c r="D36" s="91" t="s">
        <v>158</v>
      </c>
      <c r="E36" s="92"/>
      <c r="F36" s="127"/>
      <c r="G36" s="93" t="s">
        <v>318</v>
      </c>
      <c r="H36" s="129"/>
      <c r="I36" s="94"/>
      <c r="J36" s="94"/>
      <c r="K36" s="105"/>
      <c r="L36" s="106"/>
      <c r="M36" s="91" t="s">
        <v>163</v>
      </c>
      <c r="N36" s="92"/>
      <c r="O36" s="107"/>
      <c r="P36" s="102"/>
      <c r="Q36" s="97"/>
      <c r="R36" s="97"/>
      <c r="S36" s="98"/>
      <c r="T36" s="97"/>
      <c r="U36" s="97"/>
      <c r="V36" s="99"/>
      <c r="W36" s="77"/>
      <c r="X36" s="77"/>
      <c r="Y36" s="77"/>
      <c r="Z36" s="100"/>
      <c r="AA36" s="77"/>
      <c r="AB36" s="77"/>
      <c r="AC36" s="77"/>
      <c r="AD36" s="100"/>
      <c r="AE36" s="77"/>
      <c r="AF36" s="77"/>
      <c r="AG36" s="77"/>
      <c r="AH36" s="100"/>
    </row>
    <row r="37" spans="1:36" ht="19" x14ac:dyDescent="0.25">
      <c r="A37" s="63" t="s">
        <v>268</v>
      </c>
      <c r="B37" s="63" t="s">
        <v>209</v>
      </c>
      <c r="C37" s="98"/>
      <c r="D37" s="97"/>
      <c r="E37" s="108"/>
      <c r="F37" s="108"/>
      <c r="G37" s="90" t="s">
        <v>222</v>
      </c>
      <c r="H37" s="92"/>
      <c r="I37" s="92"/>
      <c r="J37" s="92"/>
      <c r="K37" s="90" t="s">
        <v>222</v>
      </c>
      <c r="L37" s="92"/>
      <c r="M37" s="92"/>
      <c r="N37" s="92"/>
      <c r="O37" s="90" t="s">
        <v>222</v>
      </c>
      <c r="P37" s="92"/>
      <c r="Q37" s="92"/>
      <c r="R37" s="92"/>
      <c r="S37" s="90" t="s">
        <v>222</v>
      </c>
      <c r="T37" s="109"/>
      <c r="U37" s="109"/>
      <c r="V37" s="110"/>
      <c r="W37" s="111" t="s">
        <v>222</v>
      </c>
      <c r="X37" s="112"/>
      <c r="Y37" s="112"/>
      <c r="Z37" s="113"/>
      <c r="AA37" s="111" t="s">
        <v>222</v>
      </c>
      <c r="AB37" s="112"/>
      <c r="AC37" s="112"/>
      <c r="AD37" s="100"/>
      <c r="AE37" s="77"/>
      <c r="AF37" s="77"/>
      <c r="AG37" s="77"/>
      <c r="AH37" s="100"/>
    </row>
    <row r="38" spans="1:36" ht="19" x14ac:dyDescent="0.25">
      <c r="A38" s="63" t="s">
        <v>12</v>
      </c>
      <c r="B38" s="63" t="s">
        <v>27</v>
      </c>
      <c r="C38" s="114"/>
      <c r="D38" s="91" t="s">
        <v>169</v>
      </c>
      <c r="E38" s="92"/>
      <c r="F38" s="102"/>
      <c r="G38" s="90" t="s">
        <v>180</v>
      </c>
      <c r="H38" s="92"/>
      <c r="I38" s="94"/>
      <c r="J38" s="94"/>
      <c r="K38" s="105"/>
      <c r="L38" s="91" t="s">
        <v>170</v>
      </c>
      <c r="M38" s="92"/>
      <c r="N38" s="102"/>
      <c r="O38" s="105"/>
      <c r="P38" s="91" t="s">
        <v>172</v>
      </c>
      <c r="Q38" s="97"/>
      <c r="R38" s="97"/>
      <c r="S38" s="98"/>
      <c r="T38" s="97"/>
      <c r="U38" s="97"/>
      <c r="V38" s="99"/>
      <c r="W38" s="77"/>
      <c r="X38" s="77"/>
      <c r="Y38" s="77"/>
      <c r="Z38" s="100"/>
      <c r="AA38" s="77"/>
      <c r="AB38" s="77"/>
      <c r="AC38" s="77"/>
      <c r="AD38" s="100"/>
      <c r="AE38" s="77"/>
      <c r="AF38" s="77"/>
      <c r="AG38" s="77"/>
      <c r="AH38" s="100"/>
    </row>
    <row r="39" spans="1:36" ht="19" x14ac:dyDescent="0.25">
      <c r="A39" s="63" t="s">
        <v>13</v>
      </c>
      <c r="B39" s="63" t="s">
        <v>27</v>
      </c>
      <c r="C39" s="114" t="s">
        <v>157</v>
      </c>
      <c r="D39" s="115"/>
      <c r="E39" s="115"/>
      <c r="F39" s="91" t="s">
        <v>173</v>
      </c>
      <c r="G39" s="130" t="s">
        <v>319</v>
      </c>
      <c r="H39" s="92"/>
      <c r="I39" s="92"/>
      <c r="J39" s="91" t="s">
        <v>171</v>
      </c>
      <c r="K39" s="116"/>
      <c r="L39" s="92"/>
      <c r="M39" s="106"/>
      <c r="N39" s="106"/>
      <c r="O39" s="98"/>
      <c r="P39" s="97"/>
      <c r="Q39" s="97"/>
      <c r="R39" s="97"/>
      <c r="S39" s="98"/>
      <c r="T39" s="97"/>
      <c r="U39" s="97"/>
      <c r="V39" s="99"/>
      <c r="W39" s="77"/>
      <c r="X39" s="77"/>
      <c r="Y39" s="77"/>
      <c r="Z39" s="100"/>
      <c r="AA39" s="77"/>
      <c r="AB39" s="77"/>
      <c r="AC39" s="77"/>
      <c r="AD39" s="100"/>
      <c r="AE39" s="77"/>
      <c r="AF39" s="77"/>
      <c r="AG39" s="77"/>
      <c r="AH39" s="100"/>
    </row>
    <row r="40" spans="1:36" ht="19" x14ac:dyDescent="0.25">
      <c r="A40" s="63" t="s">
        <v>153</v>
      </c>
      <c r="B40" s="63" t="s">
        <v>28</v>
      </c>
      <c r="C40" s="90" t="s">
        <v>160</v>
      </c>
      <c r="D40" s="92"/>
      <c r="E40" s="92"/>
      <c r="F40" s="92"/>
      <c r="G40" s="116"/>
      <c r="H40" s="92"/>
      <c r="I40" s="102"/>
      <c r="J40" s="91" t="s">
        <v>166</v>
      </c>
      <c r="K40" s="116"/>
      <c r="L40" s="92"/>
      <c r="M40" s="92"/>
      <c r="N40" s="102"/>
      <c r="O40" s="90" t="s">
        <v>173</v>
      </c>
      <c r="P40" s="92"/>
      <c r="Q40" s="92"/>
      <c r="R40" s="102"/>
      <c r="S40" s="98"/>
      <c r="T40" s="97"/>
      <c r="U40" s="97"/>
      <c r="V40" s="99"/>
      <c r="W40" s="77"/>
      <c r="X40" s="77"/>
      <c r="Y40" s="77"/>
      <c r="Z40" s="100"/>
      <c r="AA40" s="77"/>
      <c r="AB40" s="77"/>
      <c r="AC40" s="77"/>
      <c r="AD40" s="100"/>
      <c r="AE40" s="77"/>
      <c r="AF40" s="77"/>
      <c r="AG40" s="77"/>
      <c r="AH40" s="100"/>
    </row>
    <row r="41" spans="1:36" ht="19" x14ac:dyDescent="0.25">
      <c r="A41" s="63" t="s">
        <v>15</v>
      </c>
      <c r="B41" s="63" t="s">
        <v>28</v>
      </c>
      <c r="C41" s="114"/>
      <c r="D41" s="91" t="s">
        <v>320</v>
      </c>
      <c r="E41" s="91"/>
      <c r="F41" s="92"/>
      <c r="G41" s="131"/>
      <c r="H41" s="91" t="s">
        <v>162</v>
      </c>
      <c r="I41" s="92"/>
      <c r="J41" s="102"/>
      <c r="K41" s="90" t="s">
        <v>164</v>
      </c>
      <c r="L41" s="102"/>
      <c r="M41" s="91" t="s">
        <v>165</v>
      </c>
      <c r="N41" s="92"/>
      <c r="O41" s="105"/>
      <c r="P41" s="97"/>
      <c r="Q41" s="97"/>
      <c r="R41" s="97"/>
      <c r="S41" s="98"/>
      <c r="T41" s="97"/>
      <c r="U41" s="97"/>
      <c r="V41" s="99"/>
      <c r="W41" s="77"/>
      <c r="X41" s="77"/>
      <c r="Y41" s="77"/>
      <c r="Z41" s="100"/>
      <c r="AA41" s="77"/>
      <c r="AB41" s="77"/>
      <c r="AC41" s="77"/>
      <c r="AD41" s="100"/>
      <c r="AE41" s="77"/>
      <c r="AF41" s="77"/>
      <c r="AG41" s="77"/>
      <c r="AH41" s="100"/>
    </row>
    <row r="42" spans="1:36" ht="19" x14ac:dyDescent="0.25">
      <c r="A42" s="63" t="s">
        <v>16</v>
      </c>
      <c r="B42" s="63" t="s">
        <v>29</v>
      </c>
      <c r="C42" s="114" t="s">
        <v>157</v>
      </c>
      <c r="D42" s="115"/>
      <c r="E42" s="115"/>
      <c r="F42" s="127"/>
      <c r="G42" s="132"/>
      <c r="H42" s="90" t="s">
        <v>166</v>
      </c>
      <c r="I42" s="92"/>
      <c r="J42" s="92"/>
      <c r="K42" s="117"/>
      <c r="L42" s="94"/>
      <c r="M42" s="94"/>
      <c r="N42" s="94"/>
      <c r="O42" s="103"/>
      <c r="P42" s="104"/>
      <c r="Q42" s="104"/>
      <c r="R42" s="104"/>
      <c r="S42" s="118"/>
      <c r="T42" s="119"/>
      <c r="U42" s="119"/>
      <c r="V42" s="120"/>
      <c r="W42" s="77"/>
      <c r="X42" s="77"/>
      <c r="Y42" s="77"/>
      <c r="Z42" s="100"/>
      <c r="AA42" s="77"/>
      <c r="AB42" s="77"/>
      <c r="AC42" s="77"/>
      <c r="AD42" s="100"/>
      <c r="AE42" s="77"/>
      <c r="AF42" s="77"/>
      <c r="AG42" s="77"/>
      <c r="AH42" s="100"/>
    </row>
    <row r="43" spans="1:36" ht="19" x14ac:dyDescent="0.25">
      <c r="A43" s="63" t="s">
        <v>17</v>
      </c>
      <c r="B43" s="63" t="s">
        <v>29</v>
      </c>
      <c r="C43" s="114" t="s">
        <v>157</v>
      </c>
      <c r="D43" s="115"/>
      <c r="E43" s="115"/>
      <c r="F43" s="115"/>
      <c r="G43" s="114"/>
      <c r="H43" s="115"/>
      <c r="I43" s="108"/>
      <c r="J43" s="108"/>
      <c r="K43" s="90" t="s">
        <v>163</v>
      </c>
      <c r="L43" s="92"/>
      <c r="M43" s="102"/>
      <c r="N43" s="102"/>
      <c r="O43" s="90" t="s">
        <v>167</v>
      </c>
      <c r="P43" s="92"/>
      <c r="Q43" s="102"/>
      <c r="R43" s="102"/>
      <c r="S43" s="107"/>
      <c r="T43" s="102"/>
      <c r="U43" s="102"/>
      <c r="V43" s="121"/>
      <c r="W43" s="112"/>
      <c r="X43" s="112"/>
      <c r="Y43" s="112"/>
      <c r="Z43" s="113"/>
      <c r="AA43" s="77"/>
      <c r="AB43" s="77"/>
      <c r="AC43" s="77"/>
      <c r="AD43" s="100"/>
      <c r="AE43" s="77"/>
      <c r="AF43" s="77"/>
      <c r="AG43" s="77"/>
      <c r="AH43" s="100"/>
    </row>
    <row r="44" spans="1:36" ht="19" x14ac:dyDescent="0.25">
      <c r="A44" s="63" t="s">
        <v>18</v>
      </c>
      <c r="B44" s="63" t="s">
        <v>29</v>
      </c>
      <c r="C44" s="114" t="s">
        <v>157</v>
      </c>
      <c r="D44" s="115"/>
      <c r="E44" s="115"/>
      <c r="F44" s="115"/>
      <c r="G44" s="114"/>
      <c r="H44" s="115"/>
      <c r="I44" s="115"/>
      <c r="J44" s="115"/>
      <c r="K44" s="128"/>
      <c r="L44" s="135" t="s">
        <v>326</v>
      </c>
      <c r="M44" s="94"/>
      <c r="N44" s="94"/>
      <c r="O44" s="98"/>
      <c r="P44" s="97"/>
      <c r="Q44" s="97"/>
      <c r="R44" s="97"/>
      <c r="S44" s="98"/>
      <c r="T44" s="97"/>
      <c r="U44" s="97"/>
      <c r="V44" s="99"/>
      <c r="W44" s="77"/>
      <c r="X44" s="77"/>
      <c r="Y44" s="77"/>
      <c r="Z44" s="100"/>
      <c r="AA44" s="77"/>
      <c r="AB44" s="77"/>
      <c r="AC44" s="77"/>
      <c r="AD44" s="100"/>
      <c r="AE44" s="77"/>
      <c r="AF44" s="77"/>
      <c r="AG44" s="77"/>
      <c r="AH44" s="100"/>
    </row>
    <row r="45" spans="1:36" ht="19" x14ac:dyDescent="0.25">
      <c r="A45" s="63" t="s">
        <v>289</v>
      </c>
      <c r="B45" s="63" t="s">
        <v>290</v>
      </c>
      <c r="C45" s="114" t="s">
        <v>157</v>
      </c>
      <c r="D45" s="115"/>
      <c r="E45" s="115"/>
      <c r="F45" s="115"/>
      <c r="G45" s="114"/>
      <c r="H45" s="115"/>
      <c r="I45" s="115"/>
      <c r="J45" s="115"/>
      <c r="K45" s="114"/>
      <c r="L45" s="115"/>
      <c r="M45" s="115"/>
      <c r="N45" s="115"/>
      <c r="O45" s="114"/>
      <c r="P45" s="115"/>
      <c r="Q45" s="115"/>
      <c r="R45" s="115"/>
      <c r="S45" s="114"/>
      <c r="T45" s="115"/>
      <c r="U45" s="122"/>
      <c r="V45" s="123"/>
      <c r="W45" s="124"/>
      <c r="X45" s="124"/>
      <c r="Y45" s="77"/>
      <c r="Z45" s="100"/>
      <c r="AA45" s="77"/>
      <c r="AB45" s="77"/>
      <c r="AC45" s="77"/>
      <c r="AD45" s="100"/>
      <c r="AE45" s="77"/>
      <c r="AF45" s="77"/>
      <c r="AG45" s="77"/>
      <c r="AH45" s="100"/>
    </row>
    <row r="46" spans="1:36" ht="19" x14ac:dyDescent="0.25">
      <c r="A46" s="63" t="s">
        <v>289</v>
      </c>
      <c r="B46" s="63" t="s">
        <v>290</v>
      </c>
      <c r="C46" s="114" t="s">
        <v>157</v>
      </c>
      <c r="D46" s="115"/>
      <c r="E46" s="115"/>
      <c r="F46" s="115"/>
      <c r="G46" s="114"/>
      <c r="H46" s="115"/>
      <c r="I46" s="115"/>
      <c r="J46" s="115"/>
      <c r="K46" s="114"/>
      <c r="L46" s="115"/>
      <c r="M46" s="115"/>
      <c r="N46" s="115"/>
      <c r="O46" s="114"/>
      <c r="P46" s="115"/>
      <c r="Q46" s="115"/>
      <c r="R46" s="115"/>
      <c r="S46" s="114"/>
      <c r="T46" s="115"/>
      <c r="U46" s="115"/>
      <c r="V46" s="125"/>
      <c r="W46" s="124"/>
      <c r="X46" s="124"/>
      <c r="Y46" s="124"/>
      <c r="Z46" s="126"/>
      <c r="AA46" s="124"/>
      <c r="AB46" s="124"/>
      <c r="AC46" s="124"/>
      <c r="AD46" s="100"/>
      <c r="AE46" s="77"/>
      <c r="AF46" s="77"/>
      <c r="AG46" s="77"/>
      <c r="AH46" s="100"/>
    </row>
    <row r="47" spans="1:36" ht="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J47" s="2"/>
    </row>
    <row r="48" spans="1:36" ht="19" x14ac:dyDescent="0.25">
      <c r="A48" s="35" t="s">
        <v>154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J48" s="2"/>
    </row>
    <row r="49" spans="1:36" ht="19" x14ac:dyDescent="0.25">
      <c r="A49" s="33" t="s">
        <v>155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J49" s="2"/>
    </row>
    <row r="50" spans="1:36" ht="19" x14ac:dyDescent="0.25">
      <c r="A50" s="34" t="s">
        <v>156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J50" s="2"/>
    </row>
    <row r="51" spans="1:36" ht="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73" spans="1:1" ht="19" x14ac:dyDescent="0.25">
      <c r="A73" s="2"/>
    </row>
    <row r="74" spans="1:1" ht="19" x14ac:dyDescent="0.25">
      <c r="A74" s="2"/>
    </row>
  </sheetData>
  <mergeCells count="10">
    <mergeCell ref="A7:A15"/>
    <mergeCell ref="A16:A20"/>
    <mergeCell ref="W30:Z30"/>
    <mergeCell ref="AA30:AD30"/>
    <mergeCell ref="AE30:AH30"/>
    <mergeCell ref="C30:F30"/>
    <mergeCell ref="G30:J30"/>
    <mergeCell ref="K30:N30"/>
    <mergeCell ref="O30:R30"/>
    <mergeCell ref="S30:V3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B2C7-14A3-8048-87F7-966AE076B37C}">
  <dimension ref="A1:EG219"/>
  <sheetViews>
    <sheetView showGridLines="0" tabSelected="1" workbookViewId="0">
      <pane xSplit="3" ySplit="3" topLeftCell="R4" activePane="bottomRight" state="frozen"/>
      <selection pane="topRight" activeCell="D1" sqref="D1"/>
      <selection pane="bottomLeft" activeCell="A4" sqref="A4"/>
      <selection pane="bottomRight" activeCell="V11" sqref="V11"/>
    </sheetView>
  </sheetViews>
  <sheetFormatPr baseColWidth="10" defaultRowHeight="19" x14ac:dyDescent="0.25"/>
  <cols>
    <col min="1" max="1" width="17" style="2" bestFit="1" customWidth="1"/>
    <col min="2" max="2" width="10.83203125" style="3"/>
    <col min="3" max="3" width="37" style="2" bestFit="1" customWidth="1"/>
    <col min="4" max="24" width="10.83203125" style="2"/>
    <col min="25" max="25" width="12.83203125" style="2" bestFit="1" customWidth="1"/>
    <col min="26" max="27" width="10.83203125" style="2"/>
    <col min="28" max="28" width="11.5" style="2" bestFit="1" customWidth="1"/>
    <col min="29" max="29" width="10.83203125" style="2"/>
    <col min="30" max="30" width="10.83203125" style="3"/>
    <col min="31" max="40" width="10.83203125" style="2"/>
    <col min="41" max="41" width="14.33203125" style="2" bestFit="1" customWidth="1"/>
    <col min="42" max="44" width="10.83203125" style="2"/>
    <col min="45" max="45" width="14.33203125" style="2" bestFit="1" customWidth="1"/>
    <col min="46" max="16384" width="10.83203125" style="2"/>
  </cols>
  <sheetData>
    <row r="1" spans="1:137" x14ac:dyDescent="0.25">
      <c r="AI1" s="2" t="s">
        <v>329</v>
      </c>
      <c r="AJ1" s="2" t="s">
        <v>330</v>
      </c>
    </row>
    <row r="3" spans="1:137" x14ac:dyDescent="0.25">
      <c r="A3" s="1" t="s">
        <v>0</v>
      </c>
      <c r="C3" s="2" t="s">
        <v>142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  <c r="J3" s="12" t="s">
        <v>46</v>
      </c>
      <c r="K3" s="12" t="s">
        <v>47</v>
      </c>
      <c r="L3" s="12" t="s">
        <v>48</v>
      </c>
      <c r="M3" s="12" t="s">
        <v>49</v>
      </c>
      <c r="N3" s="12" t="s">
        <v>50</v>
      </c>
      <c r="O3" s="12" t="s">
        <v>51</v>
      </c>
      <c r="P3" s="12" t="s">
        <v>112</v>
      </c>
      <c r="Q3" s="12" t="s">
        <v>113</v>
      </c>
      <c r="R3" s="12" t="s">
        <v>114</v>
      </c>
      <c r="S3" s="12" t="s">
        <v>115</v>
      </c>
      <c r="T3" s="12" t="s">
        <v>285</v>
      </c>
      <c r="U3" s="12" t="s">
        <v>286</v>
      </c>
      <c r="V3" s="12" t="s">
        <v>287</v>
      </c>
      <c r="W3" s="12" t="s">
        <v>288</v>
      </c>
      <c r="X3" s="12"/>
      <c r="Y3" s="12" t="s">
        <v>111</v>
      </c>
      <c r="Z3" s="12" t="s">
        <v>96</v>
      </c>
      <c r="AA3" s="12" t="s">
        <v>97</v>
      </c>
      <c r="AB3" s="12" t="s">
        <v>98</v>
      </c>
      <c r="AC3" s="12" t="s">
        <v>99</v>
      </c>
      <c r="AD3" s="136" t="s">
        <v>100</v>
      </c>
      <c r="AE3" s="12" t="s">
        <v>101</v>
      </c>
      <c r="AF3" s="12" t="s">
        <v>102</v>
      </c>
      <c r="AG3" s="12" t="s">
        <v>103</v>
      </c>
      <c r="AH3" s="12" t="s">
        <v>104</v>
      </c>
      <c r="AI3" s="12" t="s">
        <v>105</v>
      </c>
      <c r="AJ3" s="12" t="s">
        <v>106</v>
      </c>
      <c r="AK3" s="12" t="s">
        <v>107</v>
      </c>
      <c r="AL3" s="12" t="s">
        <v>108</v>
      </c>
      <c r="AM3" s="12" t="s">
        <v>109</v>
      </c>
    </row>
    <row r="4" spans="1:137" s="4" customFormat="1" x14ac:dyDescent="0.25">
      <c r="A4" s="2" t="s">
        <v>1</v>
      </c>
      <c r="B4" s="5">
        <v>63</v>
      </c>
      <c r="C4" s="4" t="s">
        <v>53</v>
      </c>
      <c r="D4" s="21"/>
      <c r="E4" s="21"/>
      <c r="F4" s="21"/>
      <c r="G4" s="21"/>
      <c r="H4" s="21">
        <v>18.899999999999999</v>
      </c>
      <c r="I4" s="21">
        <v>48.872999999999998</v>
      </c>
      <c r="J4" s="21">
        <v>23.414999999999999</v>
      </c>
      <c r="K4" s="21"/>
      <c r="L4" s="21">
        <v>19</v>
      </c>
      <c r="M4" s="21">
        <v>63</v>
      </c>
      <c r="N4" s="21">
        <v>81</v>
      </c>
      <c r="O4" s="21">
        <f>248.738-163</f>
        <v>85.738</v>
      </c>
      <c r="P4" s="21">
        <v>65.474000000000004</v>
      </c>
      <c r="Q4" s="21">
        <f>298.535-P4</f>
        <v>233.06100000000004</v>
      </c>
      <c r="R4" s="21">
        <f>452.782-Q4-P4</f>
        <v>154.24699999999996</v>
      </c>
      <c r="S4" s="21">
        <v>167.572</v>
      </c>
      <c r="T4" s="21">
        <v>124.727</v>
      </c>
      <c r="U4" s="21"/>
      <c r="V4" s="21"/>
      <c r="W4" s="21"/>
      <c r="X4" s="21"/>
      <c r="Y4" s="19">
        <v>60.938000000000002</v>
      </c>
      <c r="Z4" s="19">
        <v>106.42400000000001</v>
      </c>
      <c r="AA4" s="19">
        <v>108.622</v>
      </c>
      <c r="AB4" s="19">
        <f>SUM(L4:O4)</f>
        <v>248.738</v>
      </c>
      <c r="AC4" s="21">
        <v>620</v>
      </c>
      <c r="AD4" s="137">
        <v>910</v>
      </c>
      <c r="AE4" s="21">
        <f>AD4*1.3</f>
        <v>1183</v>
      </c>
      <c r="AF4" s="21">
        <f>AE4*1.05</f>
        <v>1242.1500000000001</v>
      </c>
      <c r="AG4" s="21">
        <f>AF4*1.05</f>
        <v>1304.2575000000002</v>
      </c>
      <c r="AH4" s="21">
        <f>AG4*1.05</f>
        <v>1369.4703750000003</v>
      </c>
      <c r="AI4" s="21">
        <f>AH4*1.075</f>
        <v>1472.1806531250004</v>
      </c>
      <c r="AJ4" s="21">
        <f>AI4*1.075</f>
        <v>1582.5942021093754</v>
      </c>
      <c r="AK4" s="21">
        <f>AJ4*1.05</f>
        <v>1661.7239122148442</v>
      </c>
      <c r="AL4" s="21">
        <f t="shared" ref="AL4:AM4" si="0">AK4*1.05</f>
        <v>1744.8101078255866</v>
      </c>
      <c r="AM4" s="21">
        <f t="shared" si="0"/>
        <v>1832.0506132168659</v>
      </c>
    </row>
    <row r="5" spans="1:137" x14ac:dyDescent="0.25">
      <c r="A5" s="2" t="s">
        <v>2</v>
      </c>
      <c r="B5" s="5">
        <v>386.05334099999999</v>
      </c>
      <c r="C5" s="2" t="s">
        <v>54</v>
      </c>
      <c r="D5" s="8"/>
      <c r="E5" s="8"/>
      <c r="F5" s="8"/>
      <c r="G5" s="8"/>
      <c r="H5" s="8">
        <v>-12.15</v>
      </c>
      <c r="I5" s="8">
        <v>-13.071999999999999</v>
      </c>
      <c r="J5" s="8">
        <v>-15.821999999999999</v>
      </c>
      <c r="K5" s="8"/>
      <c r="L5" s="8">
        <v>-26.978999999999999</v>
      </c>
      <c r="M5" s="8">
        <v>-30</v>
      </c>
      <c r="N5" s="8">
        <v>-33.299999999999997</v>
      </c>
      <c r="O5" s="8">
        <f>90-124.228</f>
        <v>-34.227999999999994</v>
      </c>
      <c r="P5" s="8">
        <v>-44.558</v>
      </c>
      <c r="Q5" s="8">
        <f>-100.234-P5</f>
        <v>-55.675999999999995</v>
      </c>
      <c r="R5" s="8">
        <f>-158.826-Q5-P5</f>
        <v>-58.592000000000006</v>
      </c>
      <c r="S5" s="8">
        <v>-77.929000000000002</v>
      </c>
      <c r="T5" s="8">
        <v>-97.963999999999999</v>
      </c>
      <c r="U5" s="8"/>
      <c r="V5" s="8"/>
      <c r="W5" s="8"/>
      <c r="X5" s="21"/>
      <c r="Y5" s="18">
        <v>-38.878999999999998</v>
      </c>
      <c r="Z5" s="18">
        <v>-49.536999999999999</v>
      </c>
      <c r="AA5" s="18">
        <v>-59.857999999999997</v>
      </c>
      <c r="AB5" s="18">
        <f>SUM(L5:O5)</f>
        <v>-124.50699999999999</v>
      </c>
      <c r="AC5" s="8">
        <v>-237</v>
      </c>
      <c r="AD5" s="138">
        <v>-450</v>
      </c>
      <c r="AE5" s="8">
        <f>AE4*-0.45</f>
        <v>-532.35</v>
      </c>
      <c r="AF5" s="8">
        <f t="shared" ref="AF5:AM5" si="1">AF4*-0.45</f>
        <v>-558.96750000000009</v>
      </c>
      <c r="AG5" s="8">
        <f t="shared" si="1"/>
        <v>-586.91587500000014</v>
      </c>
      <c r="AH5" s="8">
        <f t="shared" si="1"/>
        <v>-616.26166875000013</v>
      </c>
      <c r="AI5" s="8">
        <f t="shared" si="1"/>
        <v>-662.48129390625024</v>
      </c>
      <c r="AJ5" s="8">
        <f t="shared" si="1"/>
        <v>-712.16739094921888</v>
      </c>
      <c r="AK5" s="8">
        <f t="shared" si="1"/>
        <v>-747.77576049667994</v>
      </c>
      <c r="AL5" s="8">
        <f t="shared" si="1"/>
        <v>-785.16454852151401</v>
      </c>
      <c r="AM5" s="8">
        <f t="shared" si="1"/>
        <v>-824.42277594758968</v>
      </c>
    </row>
    <row r="6" spans="1:137" x14ac:dyDescent="0.25">
      <c r="A6" s="2" t="s">
        <v>3</v>
      </c>
      <c r="B6" s="6">
        <f>B4*B5</f>
        <v>24321.360483</v>
      </c>
      <c r="C6" s="2" t="s">
        <v>331</v>
      </c>
      <c r="D6" s="8"/>
      <c r="E6" s="8"/>
      <c r="F6" s="8"/>
      <c r="G6" s="8"/>
      <c r="H6" s="8">
        <f t="shared" ref="H6:R6" si="2">SUM(H4:H5)</f>
        <v>6.7499999999999982</v>
      </c>
      <c r="I6" s="8">
        <f t="shared" si="2"/>
        <v>35.801000000000002</v>
      </c>
      <c r="J6" s="8">
        <f t="shared" si="2"/>
        <v>7.593</v>
      </c>
      <c r="K6" s="8"/>
      <c r="L6" s="8">
        <f t="shared" si="2"/>
        <v>-7.9789999999999992</v>
      </c>
      <c r="M6" s="8">
        <f t="shared" si="2"/>
        <v>33</v>
      </c>
      <c r="N6" s="8">
        <f t="shared" si="2"/>
        <v>47.7</v>
      </c>
      <c r="O6" s="8">
        <f t="shared" si="2"/>
        <v>51.510000000000005</v>
      </c>
      <c r="P6" s="8">
        <f t="shared" si="2"/>
        <v>20.916000000000004</v>
      </c>
      <c r="Q6" s="8">
        <f t="shared" si="2"/>
        <v>177.38500000000005</v>
      </c>
      <c r="R6" s="8">
        <f t="shared" si="2"/>
        <v>95.654999999999944</v>
      </c>
      <c r="S6" s="8">
        <f>SUM(S4:S5)</f>
        <v>89.643000000000001</v>
      </c>
      <c r="T6" s="8">
        <f>SUM(T4:T5)</f>
        <v>26.763000000000005</v>
      </c>
      <c r="U6" s="8"/>
      <c r="V6" s="8"/>
      <c r="W6" s="8"/>
      <c r="X6" s="21"/>
      <c r="Y6" s="18">
        <f>SUM(Y4:Y5)</f>
        <v>22.059000000000005</v>
      </c>
      <c r="Z6" s="18">
        <f t="shared" ref="Z6:AM6" si="3">SUM(Z4:Z5)</f>
        <v>56.887000000000008</v>
      </c>
      <c r="AA6" s="18">
        <f t="shared" si="3"/>
        <v>48.764000000000003</v>
      </c>
      <c r="AB6" s="18">
        <f t="shared" si="3"/>
        <v>124.23100000000001</v>
      </c>
      <c r="AC6" s="18">
        <f t="shared" si="3"/>
        <v>383</v>
      </c>
      <c r="AD6" s="139">
        <f t="shared" si="3"/>
        <v>460</v>
      </c>
      <c r="AE6" s="18">
        <f t="shared" si="3"/>
        <v>650.65</v>
      </c>
      <c r="AF6" s="18">
        <f t="shared" si="3"/>
        <v>683.1825</v>
      </c>
      <c r="AG6" s="18">
        <f t="shared" si="3"/>
        <v>717.34162500000002</v>
      </c>
      <c r="AH6" s="18">
        <f t="shared" si="3"/>
        <v>753.2087062500002</v>
      </c>
      <c r="AI6" s="18">
        <f t="shared" si="3"/>
        <v>809.69935921875015</v>
      </c>
      <c r="AJ6" s="18">
        <f t="shared" si="3"/>
        <v>870.42681116015649</v>
      </c>
      <c r="AK6" s="18">
        <f t="shared" si="3"/>
        <v>913.94815171816424</v>
      </c>
      <c r="AL6" s="18">
        <f t="shared" si="3"/>
        <v>959.64555930407255</v>
      </c>
      <c r="AM6" s="18">
        <f t="shared" si="3"/>
        <v>1007.6278372692763</v>
      </c>
    </row>
    <row r="7" spans="1:137" x14ac:dyDescent="0.25">
      <c r="A7" s="2" t="s">
        <v>4</v>
      </c>
      <c r="B7" s="6">
        <v>2389.9859999999999</v>
      </c>
      <c r="C7" s="2" t="s">
        <v>55</v>
      </c>
      <c r="D7" s="8"/>
      <c r="E7" s="8"/>
      <c r="F7" s="8"/>
      <c r="G7" s="8"/>
      <c r="H7" s="8">
        <v>0.62</v>
      </c>
      <c r="I7" s="8">
        <v>-0.62</v>
      </c>
      <c r="J7" s="8">
        <v>0</v>
      </c>
      <c r="K7" s="8"/>
      <c r="L7" s="8">
        <v>0.62</v>
      </c>
      <c r="M7" s="8">
        <v>0.127</v>
      </c>
      <c r="N7" s="8">
        <v>0.65</v>
      </c>
      <c r="O7" s="8">
        <v>0</v>
      </c>
      <c r="P7" s="8">
        <v>0</v>
      </c>
      <c r="Q7" s="8">
        <v>0</v>
      </c>
      <c r="R7" s="8">
        <v>4.5</v>
      </c>
      <c r="S7" s="8">
        <v>4.2699999999999996</v>
      </c>
      <c r="T7" s="8">
        <v>0</v>
      </c>
      <c r="U7" s="8"/>
      <c r="V7" s="8"/>
      <c r="W7" s="8"/>
      <c r="X7" s="21"/>
      <c r="Y7" s="18">
        <v>0</v>
      </c>
      <c r="Z7" s="18">
        <v>0</v>
      </c>
      <c r="AA7" s="18">
        <v>0.13700000000000001</v>
      </c>
      <c r="AB7" s="18">
        <f>SUM(L7:O7)</f>
        <v>1.397</v>
      </c>
      <c r="AC7" s="8">
        <v>9</v>
      </c>
      <c r="AD7" s="138">
        <v>-50</v>
      </c>
      <c r="AE7" s="8">
        <f>AD7*1.03</f>
        <v>-51.5</v>
      </c>
      <c r="AF7" s="8">
        <f t="shared" ref="AF7:AM7" si="4">AE7*1.03</f>
        <v>-53.045000000000002</v>
      </c>
      <c r="AG7" s="8">
        <f t="shared" si="4"/>
        <v>-54.63635</v>
      </c>
      <c r="AH7" s="8">
        <f t="shared" si="4"/>
        <v>-56.275440500000002</v>
      </c>
      <c r="AI7" s="8">
        <f t="shared" si="4"/>
        <v>-57.963703715000001</v>
      </c>
      <c r="AJ7" s="8">
        <f t="shared" si="4"/>
        <v>-59.702614826450002</v>
      </c>
      <c r="AK7" s="8">
        <f t="shared" si="4"/>
        <v>-61.493693271243501</v>
      </c>
      <c r="AL7" s="8">
        <f t="shared" si="4"/>
        <v>-63.338504069380811</v>
      </c>
      <c r="AM7" s="8">
        <f t="shared" si="4"/>
        <v>-65.238659191462233</v>
      </c>
    </row>
    <row r="8" spans="1:137" x14ac:dyDescent="0.25">
      <c r="A8" s="2" t="s">
        <v>5</v>
      </c>
      <c r="B8" s="6">
        <v>17080.491600000001</v>
      </c>
      <c r="C8" s="4" t="s">
        <v>118</v>
      </c>
      <c r="D8" s="21"/>
      <c r="E8" s="21"/>
      <c r="F8" s="21"/>
      <c r="G8" s="21"/>
      <c r="H8" s="21">
        <f t="shared" ref="H8:R8" si="5">SUM(H6:H7)</f>
        <v>7.3699999999999983</v>
      </c>
      <c r="I8" s="21">
        <f t="shared" si="5"/>
        <v>35.181000000000004</v>
      </c>
      <c r="J8" s="21">
        <f t="shared" si="5"/>
        <v>7.593</v>
      </c>
      <c r="K8" s="21"/>
      <c r="L8" s="21">
        <f t="shared" si="5"/>
        <v>-7.3589999999999991</v>
      </c>
      <c r="M8" s="21">
        <f t="shared" si="5"/>
        <v>33.127000000000002</v>
      </c>
      <c r="N8" s="21">
        <f t="shared" si="5"/>
        <v>48.35</v>
      </c>
      <c r="O8" s="21">
        <f t="shared" si="5"/>
        <v>51.510000000000005</v>
      </c>
      <c r="P8" s="21">
        <f t="shared" si="5"/>
        <v>20.916000000000004</v>
      </c>
      <c r="Q8" s="21">
        <f t="shared" si="5"/>
        <v>177.38500000000005</v>
      </c>
      <c r="R8" s="21">
        <f t="shared" si="5"/>
        <v>100.15499999999994</v>
      </c>
      <c r="S8" s="21">
        <f>SUM(S6:S7)</f>
        <v>93.912999999999997</v>
      </c>
      <c r="T8" s="21">
        <f>SUM(T6:T7)</f>
        <v>26.763000000000005</v>
      </c>
      <c r="U8" s="21"/>
      <c r="V8" s="21"/>
      <c r="W8" s="21"/>
      <c r="X8" s="21"/>
      <c r="Y8" s="19">
        <f>SUM(Y6:Y7)</f>
        <v>22.059000000000005</v>
      </c>
      <c r="Z8" s="19">
        <f t="shared" ref="Z8:AM8" si="6">SUM(Z6:Z7)</f>
        <v>56.887000000000008</v>
      </c>
      <c r="AA8" s="19">
        <f t="shared" si="6"/>
        <v>48.901000000000003</v>
      </c>
      <c r="AB8" s="19">
        <f t="shared" si="6"/>
        <v>125.62800000000001</v>
      </c>
      <c r="AC8" s="19">
        <f t="shared" si="6"/>
        <v>392</v>
      </c>
      <c r="AD8" s="140">
        <f t="shared" si="6"/>
        <v>410</v>
      </c>
      <c r="AE8" s="19">
        <f t="shared" si="6"/>
        <v>599.15</v>
      </c>
      <c r="AF8" s="19">
        <f t="shared" si="6"/>
        <v>630.13750000000005</v>
      </c>
      <c r="AG8" s="19">
        <f t="shared" si="6"/>
        <v>662.70527500000003</v>
      </c>
      <c r="AH8" s="19">
        <f t="shared" si="6"/>
        <v>696.93326575000015</v>
      </c>
      <c r="AI8" s="19">
        <f t="shared" si="6"/>
        <v>751.73565550375019</v>
      </c>
      <c r="AJ8" s="19">
        <f t="shared" si="6"/>
        <v>810.72419633370646</v>
      </c>
      <c r="AK8" s="19">
        <f t="shared" si="6"/>
        <v>852.45445844692074</v>
      </c>
      <c r="AL8" s="19">
        <f t="shared" si="6"/>
        <v>896.30705523469169</v>
      </c>
      <c r="AM8" s="19">
        <f t="shared" si="6"/>
        <v>942.38917807781399</v>
      </c>
    </row>
    <row r="9" spans="1:137" x14ac:dyDescent="0.25">
      <c r="A9" s="1" t="s">
        <v>6</v>
      </c>
      <c r="B9" s="7">
        <f>B6-B7+B8</f>
        <v>39011.866083000001</v>
      </c>
      <c r="C9" s="2" t="s">
        <v>56</v>
      </c>
      <c r="D9" s="8"/>
      <c r="E9" s="8"/>
      <c r="F9" s="8"/>
      <c r="G9" s="8"/>
      <c r="H9" s="8">
        <v>-4.5999999999999996</v>
      </c>
      <c r="I9" s="8">
        <v>-8.5120000000000005</v>
      </c>
      <c r="J9" s="8">
        <v>-6.931</v>
      </c>
      <c r="K9" s="8"/>
      <c r="L9" s="8">
        <v>-12.797000000000001</v>
      </c>
      <c r="M9" s="8">
        <v>-13.5</v>
      </c>
      <c r="N9" s="8">
        <v>-15</v>
      </c>
      <c r="O9" s="8">
        <f>-14</f>
        <v>-14</v>
      </c>
      <c r="P9" s="8">
        <v>-16.222000000000001</v>
      </c>
      <c r="Q9" s="8">
        <f>2.8-33.2-P9</f>
        <v>-14.178000000000001</v>
      </c>
      <c r="R9" s="8">
        <f>-50.828-Q9-P9</f>
        <v>-20.428000000000004</v>
      </c>
      <c r="S9" s="8">
        <v>-23.797999999999998</v>
      </c>
      <c r="T9" s="8">
        <v>-19</v>
      </c>
      <c r="U9" s="8"/>
      <c r="V9" s="8"/>
      <c r="W9" s="8"/>
      <c r="X9" s="21"/>
      <c r="Y9" s="18">
        <v>-10.925000000000001</v>
      </c>
      <c r="Z9" s="18">
        <v>-15.696</v>
      </c>
      <c r="AA9" s="18">
        <v>-34.457999999999998</v>
      </c>
      <c r="AB9" s="18">
        <f>SUM(L9:O9)</f>
        <v>-55.296999999999997</v>
      </c>
      <c r="AC9" s="8">
        <v>-75</v>
      </c>
      <c r="AD9" s="138">
        <v>-100</v>
      </c>
      <c r="AE9" s="8">
        <f>AD9*1.05</f>
        <v>-105</v>
      </c>
      <c r="AF9" s="8">
        <f t="shared" ref="AF9:AM9" si="7">AE9*1.05</f>
        <v>-110.25</v>
      </c>
      <c r="AG9" s="8">
        <f t="shared" si="7"/>
        <v>-115.7625</v>
      </c>
      <c r="AH9" s="8">
        <f t="shared" si="7"/>
        <v>-121.55062500000001</v>
      </c>
      <c r="AI9" s="8">
        <f t="shared" si="7"/>
        <v>-127.62815625000002</v>
      </c>
      <c r="AJ9" s="8">
        <f t="shared" si="7"/>
        <v>-134.00956406250003</v>
      </c>
      <c r="AK9" s="8">
        <f t="shared" si="7"/>
        <v>-140.71004226562505</v>
      </c>
      <c r="AL9" s="8">
        <f t="shared" si="7"/>
        <v>-147.74554437890632</v>
      </c>
      <c r="AM9" s="8">
        <f t="shared" si="7"/>
        <v>-155.13282159785163</v>
      </c>
    </row>
    <row r="10" spans="1:137" x14ac:dyDescent="0.25">
      <c r="C10" s="4" t="s">
        <v>57</v>
      </c>
      <c r="D10" s="21"/>
      <c r="E10" s="21"/>
      <c r="F10" s="21"/>
      <c r="G10" s="21"/>
      <c r="H10" s="21">
        <f t="shared" ref="H10" si="8">SUM(H8:H9)</f>
        <v>2.7699999999999987</v>
      </c>
      <c r="I10" s="21">
        <f>SUM(I8:I9)</f>
        <v>26.669000000000004</v>
      </c>
      <c r="J10" s="21">
        <f>SUM(J8:J9)</f>
        <v>0.66199999999999992</v>
      </c>
      <c r="K10" s="21"/>
      <c r="L10" s="21">
        <f t="shared" ref="L10:N10" si="9">SUM(L8:L9)</f>
        <v>-20.155999999999999</v>
      </c>
      <c r="M10" s="21">
        <f t="shared" si="9"/>
        <v>19.627000000000002</v>
      </c>
      <c r="N10" s="21">
        <f t="shared" si="9"/>
        <v>33.35</v>
      </c>
      <c r="O10" s="21">
        <f>SUM(O8:O9)</f>
        <v>37.510000000000005</v>
      </c>
      <c r="P10" s="21">
        <f t="shared" ref="P10:R10" si="10">SUM(P8:P9)</f>
        <v>4.6940000000000026</v>
      </c>
      <c r="Q10" s="21">
        <f t="shared" si="10"/>
        <v>163.20700000000005</v>
      </c>
      <c r="R10" s="21">
        <f t="shared" si="10"/>
        <v>79.726999999999947</v>
      </c>
      <c r="S10" s="21">
        <f>SUM(S8:S9)</f>
        <v>70.114999999999995</v>
      </c>
      <c r="T10" s="21">
        <f>SUM(T8:T9)</f>
        <v>7.7630000000000052</v>
      </c>
      <c r="U10" s="21"/>
      <c r="V10" s="21"/>
      <c r="W10" s="21"/>
      <c r="X10" s="21"/>
      <c r="Y10" s="19">
        <f t="shared" ref="Y10:AA10" si="11">SUM(Y8:Y9)</f>
        <v>11.134000000000004</v>
      </c>
      <c r="Z10" s="19">
        <f t="shared" si="11"/>
        <v>41.19100000000001</v>
      </c>
      <c r="AA10" s="19">
        <f t="shared" si="11"/>
        <v>14.443000000000005</v>
      </c>
      <c r="AB10" s="19">
        <f>SUM(AB8:AB9)</f>
        <v>70.331000000000017</v>
      </c>
      <c r="AC10" s="19">
        <f t="shared" ref="AC10:AM10" si="12">SUM(AC8:AC9)</f>
        <v>317</v>
      </c>
      <c r="AD10" s="140">
        <f t="shared" si="12"/>
        <v>310</v>
      </c>
      <c r="AE10" s="19">
        <f t="shared" si="12"/>
        <v>494.15</v>
      </c>
      <c r="AF10" s="19">
        <f t="shared" si="12"/>
        <v>519.88750000000005</v>
      </c>
      <c r="AG10" s="19">
        <f t="shared" si="12"/>
        <v>546.94277499999998</v>
      </c>
      <c r="AH10" s="19">
        <f t="shared" si="12"/>
        <v>575.38264075000018</v>
      </c>
      <c r="AI10" s="19">
        <f t="shared" si="12"/>
        <v>624.10749925375012</v>
      </c>
      <c r="AJ10" s="19">
        <f t="shared" si="12"/>
        <v>676.71463227120648</v>
      </c>
      <c r="AK10" s="19">
        <f t="shared" si="12"/>
        <v>711.74441618129572</v>
      </c>
      <c r="AL10" s="19">
        <f t="shared" si="12"/>
        <v>748.5615108557854</v>
      </c>
      <c r="AM10" s="19">
        <f t="shared" si="12"/>
        <v>787.25635647996239</v>
      </c>
    </row>
    <row r="11" spans="1:137" x14ac:dyDescent="0.25">
      <c r="C11" s="2" t="s">
        <v>58</v>
      </c>
      <c r="D11" s="8"/>
      <c r="E11" s="8"/>
      <c r="F11" s="8"/>
      <c r="G11" s="8"/>
      <c r="H11" s="8">
        <v>1.4999999999999999E-2</v>
      </c>
      <c r="I11" s="8">
        <v>0.42599999999999999</v>
      </c>
      <c r="J11" s="8">
        <v>0.28499999999999998</v>
      </c>
      <c r="K11" s="8"/>
      <c r="L11" s="8">
        <v>0.40600000000000003</v>
      </c>
      <c r="M11" s="8">
        <v>4.5</v>
      </c>
      <c r="N11" s="8">
        <v>-1.5</v>
      </c>
      <c r="O11" s="8">
        <v>3.2</v>
      </c>
      <c r="P11" s="8">
        <v>0.27</v>
      </c>
      <c r="Q11" s="8">
        <v>5</v>
      </c>
      <c r="R11" s="8">
        <f>4.4-Q11</f>
        <v>-0.59999999999999964</v>
      </c>
      <c r="S11" s="8">
        <v>2.8279999999999998</v>
      </c>
      <c r="T11" s="8">
        <v>9.5</v>
      </c>
      <c r="U11" s="8"/>
      <c r="V11" s="8"/>
      <c r="W11" s="8"/>
      <c r="X11" s="21"/>
      <c r="Y11" s="18">
        <v>1.7949999999999999</v>
      </c>
      <c r="Z11" s="18">
        <v>4.0309999999999997</v>
      </c>
      <c r="AA11" s="18">
        <v>1.5409999999999999</v>
      </c>
      <c r="AB11" s="18">
        <f>SUM(L11:O11)</f>
        <v>6.6059999999999999</v>
      </c>
      <c r="AC11" s="8">
        <v>7</v>
      </c>
      <c r="AD11" s="138">
        <v>10</v>
      </c>
      <c r="AE11" s="8">
        <v>10</v>
      </c>
      <c r="AF11" s="8">
        <v>10</v>
      </c>
      <c r="AG11" s="8">
        <v>10</v>
      </c>
      <c r="AH11" s="8">
        <v>10</v>
      </c>
      <c r="AI11" s="8">
        <v>10</v>
      </c>
      <c r="AJ11" s="8">
        <v>10</v>
      </c>
      <c r="AK11" s="8">
        <v>10</v>
      </c>
      <c r="AL11" s="8">
        <v>10</v>
      </c>
      <c r="AM11" s="8">
        <v>10</v>
      </c>
    </row>
    <row r="12" spans="1:137" x14ac:dyDescent="0.25">
      <c r="A12" s="2" t="s">
        <v>52</v>
      </c>
      <c r="B12" s="3">
        <v>10.8</v>
      </c>
      <c r="C12" s="2" t="s">
        <v>59</v>
      </c>
      <c r="D12" s="8"/>
      <c r="E12" s="8"/>
      <c r="F12" s="8"/>
      <c r="G12" s="8"/>
      <c r="H12" s="8">
        <v>-0.127</v>
      </c>
      <c r="I12" s="8">
        <v>-0.16400000000000001</v>
      </c>
      <c r="J12" s="8">
        <v>-0.33700000000000002</v>
      </c>
      <c r="K12" s="8"/>
      <c r="L12" s="8">
        <v>-1.087</v>
      </c>
      <c r="M12" s="8">
        <v>-1.1000000000000001</v>
      </c>
      <c r="N12" s="8">
        <v>-3.4</v>
      </c>
      <c r="O12" s="8">
        <v>-1</v>
      </c>
      <c r="P12" s="8">
        <v>-2</v>
      </c>
      <c r="Q12" s="8">
        <v>0</v>
      </c>
      <c r="R12" s="8">
        <v>-12</v>
      </c>
      <c r="S12" s="8">
        <v>-23.376999999999999</v>
      </c>
      <c r="T12" s="8">
        <v>-24.172000000000001</v>
      </c>
      <c r="U12" s="8"/>
      <c r="V12" s="8"/>
      <c r="W12" s="8"/>
      <c r="X12" s="21"/>
      <c r="Y12" s="18">
        <v>-5.4909999999999997</v>
      </c>
      <c r="Z12" s="18">
        <v>-9.6809999999999992</v>
      </c>
      <c r="AA12" s="18">
        <v>-4.4859999999999998</v>
      </c>
      <c r="AB12" s="18">
        <f>SUM(L12:O12)</f>
        <v>-6.5869999999999997</v>
      </c>
      <c r="AC12" s="8">
        <v>-37</v>
      </c>
      <c r="AD12" s="138">
        <v>-50</v>
      </c>
      <c r="AE12" s="8">
        <v>-50</v>
      </c>
      <c r="AF12" s="8">
        <v>-50</v>
      </c>
      <c r="AG12" s="8">
        <f>AF12*1.05</f>
        <v>-52.5</v>
      </c>
      <c r="AH12" s="8">
        <f t="shared" ref="AH12:AJ12" si="13">AG12*1.05</f>
        <v>-55.125</v>
      </c>
      <c r="AI12" s="8">
        <f t="shared" si="13"/>
        <v>-57.881250000000001</v>
      </c>
      <c r="AJ12" s="8">
        <f t="shared" si="13"/>
        <v>-60.775312500000005</v>
      </c>
      <c r="AK12" s="8">
        <v>-61</v>
      </c>
      <c r="AL12" s="8">
        <v>-61</v>
      </c>
      <c r="AM12" s="8">
        <v>-61</v>
      </c>
    </row>
    <row r="13" spans="1:137" x14ac:dyDescent="0.25">
      <c r="C13" s="2" t="s">
        <v>60</v>
      </c>
      <c r="D13" s="8"/>
      <c r="E13" s="8"/>
      <c r="F13" s="8"/>
      <c r="G13" s="8"/>
      <c r="H13" s="8">
        <f>SUM(H10:H12)</f>
        <v>2.6579999999999986</v>
      </c>
      <c r="I13" s="8">
        <f t="shared" ref="I13:Q13" si="14">SUM(I10:I12)</f>
        <v>26.931000000000001</v>
      </c>
      <c r="J13" s="8">
        <f t="shared" si="14"/>
        <v>0.60999999999999988</v>
      </c>
      <c r="K13" s="8">
        <f t="shared" si="14"/>
        <v>0</v>
      </c>
      <c r="L13" s="8">
        <f t="shared" si="14"/>
        <v>-20.837</v>
      </c>
      <c r="M13" s="8">
        <f t="shared" si="14"/>
        <v>23.027000000000001</v>
      </c>
      <c r="N13" s="8">
        <f t="shared" si="14"/>
        <v>28.450000000000003</v>
      </c>
      <c r="O13" s="8">
        <f t="shared" si="14"/>
        <v>39.710000000000008</v>
      </c>
      <c r="P13" s="8">
        <f t="shared" si="14"/>
        <v>2.9640000000000022</v>
      </c>
      <c r="Q13" s="8">
        <f t="shared" si="14"/>
        <v>168.20700000000005</v>
      </c>
      <c r="R13" s="8">
        <f t="shared" ref="R13" si="15">SUM(R10:R12)</f>
        <v>67.126999999999953</v>
      </c>
      <c r="S13" s="8">
        <f>SUM(S10:S12)</f>
        <v>49.566000000000003</v>
      </c>
      <c r="T13" s="8">
        <f>SUM(T10:T12)</f>
        <v>-6.9089999999999954</v>
      </c>
      <c r="U13" s="8"/>
      <c r="V13" s="8"/>
      <c r="W13" s="8"/>
      <c r="X13" s="21"/>
      <c r="Y13" s="18">
        <f t="shared" ref="Y13:Z13" si="16">SUM(Y10:Y12)</f>
        <v>7.4380000000000042</v>
      </c>
      <c r="Z13" s="18">
        <f t="shared" si="16"/>
        <v>35.541000000000011</v>
      </c>
      <c r="AA13" s="18">
        <f t="shared" ref="AA13" si="17">SUM(AA10:AA12)</f>
        <v>11.498000000000005</v>
      </c>
      <c r="AB13" s="18">
        <f t="shared" ref="AB13" si="18">SUM(AB10:AB12)</f>
        <v>70.350000000000009</v>
      </c>
      <c r="AC13" s="18">
        <f t="shared" ref="AC13" si="19">SUM(AC10:AC12)</f>
        <v>287</v>
      </c>
      <c r="AD13" s="139">
        <f t="shared" ref="AD13" si="20">SUM(AD10:AD12)</f>
        <v>270</v>
      </c>
      <c r="AE13" s="18">
        <f t="shared" ref="AE13" si="21">SUM(AE10:AE12)</f>
        <v>454.15</v>
      </c>
      <c r="AF13" s="18">
        <f t="shared" ref="AF13" si="22">SUM(AF10:AF12)</f>
        <v>479.88750000000005</v>
      </c>
      <c r="AG13" s="18">
        <f t="shared" ref="AG13" si="23">SUM(AG10:AG12)</f>
        <v>504.44277499999998</v>
      </c>
      <c r="AH13" s="18">
        <f t="shared" ref="AH13" si="24">SUM(AH10:AH12)</f>
        <v>530.25764075000018</v>
      </c>
      <c r="AI13" s="18">
        <f t="shared" ref="AI13" si="25">SUM(AI10:AI12)</f>
        <v>576.2262492537501</v>
      </c>
      <c r="AJ13" s="18">
        <f t="shared" ref="AJ13" si="26">SUM(AJ10:AJ12)</f>
        <v>625.93931977120644</v>
      </c>
      <c r="AK13" s="18">
        <f t="shared" ref="AK13" si="27">SUM(AK10:AK12)</f>
        <v>660.74441618129572</v>
      </c>
      <c r="AL13" s="18">
        <f t="shared" ref="AL13" si="28">SUM(AL10:AL12)</f>
        <v>697.5615108557854</v>
      </c>
      <c r="AM13" s="18">
        <f t="shared" ref="AM13" si="29">SUM(AM10:AM12)</f>
        <v>736.25635647996239</v>
      </c>
    </row>
    <row r="14" spans="1:137" x14ac:dyDescent="0.25">
      <c r="C14" s="2" t="s">
        <v>61</v>
      </c>
      <c r="D14" s="8"/>
      <c r="E14" s="8"/>
      <c r="F14" s="8"/>
      <c r="G14" s="8"/>
      <c r="H14" s="8">
        <v>-1.9E-2</v>
      </c>
      <c r="I14" s="8">
        <v>1.9E-2</v>
      </c>
      <c r="J14" s="8">
        <v>0</v>
      </c>
      <c r="K14" s="8"/>
      <c r="L14" s="8">
        <v>-1.9E-2</v>
      </c>
      <c r="M14" s="8">
        <v>-1.1000000000000001</v>
      </c>
      <c r="N14" s="8">
        <v>-0.5</v>
      </c>
      <c r="O14" s="8">
        <v>-1</v>
      </c>
      <c r="P14" s="8">
        <v>-1.2</v>
      </c>
      <c r="Q14" s="8">
        <v>-2</v>
      </c>
      <c r="R14" s="8">
        <v>-2.5</v>
      </c>
      <c r="S14" s="8">
        <v>-1.98</v>
      </c>
      <c r="T14" s="8">
        <v>0</v>
      </c>
      <c r="U14" s="8"/>
      <c r="V14" s="8"/>
      <c r="W14" s="8"/>
      <c r="X14" s="21"/>
      <c r="Y14" s="18">
        <v>1.2999999999999999E-2</v>
      </c>
      <c r="Z14" s="18">
        <v>0</v>
      </c>
      <c r="AA14" s="18">
        <v>0</v>
      </c>
      <c r="AB14" s="18">
        <f>SUM(L14:O14)</f>
        <v>-2.6189999999999998</v>
      </c>
      <c r="AC14" s="8">
        <v>-8</v>
      </c>
      <c r="AD14" s="138">
        <v>-6</v>
      </c>
      <c r="AE14" s="8">
        <f>AE13*-0.22</f>
        <v>-99.912999999999997</v>
      </c>
      <c r="AF14" s="8">
        <f t="shared" ref="AF14:AM14" si="30">AF13*-0.22</f>
        <v>-105.57525000000001</v>
      </c>
      <c r="AG14" s="8">
        <f t="shared" si="30"/>
        <v>-110.97741049999999</v>
      </c>
      <c r="AH14" s="8">
        <f t="shared" si="30"/>
        <v>-116.65668096500004</v>
      </c>
      <c r="AI14" s="8">
        <f t="shared" si="30"/>
        <v>-126.76977483582502</v>
      </c>
      <c r="AJ14" s="8">
        <f t="shared" si="30"/>
        <v>-137.70665034966541</v>
      </c>
      <c r="AK14" s="8">
        <f t="shared" si="30"/>
        <v>-145.36377155988507</v>
      </c>
      <c r="AL14" s="8">
        <f t="shared" si="30"/>
        <v>-153.4635323882728</v>
      </c>
      <c r="AM14" s="8">
        <f t="shared" si="30"/>
        <v>-161.97639842559173</v>
      </c>
    </row>
    <row r="15" spans="1:137" x14ac:dyDescent="0.25">
      <c r="A15" s="2" t="s">
        <v>233</v>
      </c>
      <c r="C15" s="4" t="s">
        <v>62</v>
      </c>
      <c r="D15" s="21"/>
      <c r="E15" s="21"/>
      <c r="F15" s="21"/>
      <c r="G15" s="21"/>
      <c r="H15" s="21">
        <f>SUM(H13:H14)</f>
        <v>2.6389999999999985</v>
      </c>
      <c r="I15" s="21">
        <f>SUM(I13:I14)</f>
        <v>26.95</v>
      </c>
      <c r="J15" s="21">
        <f>SUM(J13:J14)</f>
        <v>0.60999999999999988</v>
      </c>
      <c r="K15" s="21"/>
      <c r="L15" s="21">
        <f>SUM(L13:L14)</f>
        <v>-20.855999999999998</v>
      </c>
      <c r="M15" s="21">
        <f t="shared" ref="M15:O15" si="31">SUM(M13:M14)</f>
        <v>21.927</v>
      </c>
      <c r="N15" s="21">
        <f t="shared" si="31"/>
        <v>27.950000000000003</v>
      </c>
      <c r="O15" s="21">
        <f t="shared" si="31"/>
        <v>38.710000000000008</v>
      </c>
      <c r="P15" s="21">
        <f t="shared" ref="P15" si="32">SUM(P13:P14)</f>
        <v>1.7640000000000022</v>
      </c>
      <c r="Q15" s="21">
        <f t="shared" ref="Q15:R15" si="33">SUM(Q13:Q14)</f>
        <v>166.20700000000005</v>
      </c>
      <c r="R15" s="21">
        <f t="shared" si="33"/>
        <v>64.626999999999953</v>
      </c>
      <c r="S15" s="21">
        <f>SUM(S13:S14)</f>
        <v>47.586000000000006</v>
      </c>
      <c r="T15" s="21">
        <f>SUM(T13:T14)</f>
        <v>-6.9089999999999954</v>
      </c>
      <c r="U15" s="21"/>
      <c r="V15" s="21"/>
      <c r="W15" s="21"/>
      <c r="X15" s="21"/>
      <c r="Y15" s="19">
        <f t="shared" ref="Y15:Z15" si="34">SUM(Y13:Y14)</f>
        <v>7.4510000000000041</v>
      </c>
      <c r="Z15" s="19">
        <f t="shared" si="34"/>
        <v>35.541000000000011</v>
      </c>
      <c r="AA15" s="19">
        <f t="shared" ref="AA15" si="35">SUM(AA13:AA14)</f>
        <v>11.498000000000005</v>
      </c>
      <c r="AB15" s="19">
        <f t="shared" ref="AB15" si="36">SUM(AB13:AB14)</f>
        <v>67.731000000000009</v>
      </c>
      <c r="AC15" s="19">
        <f t="shared" ref="AC15" si="37">SUM(AC13:AC14)</f>
        <v>279</v>
      </c>
      <c r="AD15" s="140">
        <f t="shared" ref="AD15" si="38">SUM(AD13:AD14)</f>
        <v>264</v>
      </c>
      <c r="AE15" s="19">
        <f t="shared" ref="AE15" si="39">SUM(AE13:AE14)</f>
        <v>354.23699999999997</v>
      </c>
      <c r="AF15" s="19">
        <f t="shared" ref="AF15" si="40">SUM(AF13:AF14)</f>
        <v>374.31225000000006</v>
      </c>
      <c r="AG15" s="19">
        <f t="shared" ref="AG15" si="41">SUM(AG13:AG14)</f>
        <v>393.46536449999996</v>
      </c>
      <c r="AH15" s="19">
        <f t="shared" ref="AH15" si="42">SUM(AH13:AH14)</f>
        <v>413.60095978500016</v>
      </c>
      <c r="AI15" s="19">
        <f t="shared" ref="AI15" si="43">SUM(AI13:AI14)</f>
        <v>449.45647441792505</v>
      </c>
      <c r="AJ15" s="19">
        <f t="shared" ref="AJ15" si="44">SUM(AJ13:AJ14)</f>
        <v>488.232669421541</v>
      </c>
      <c r="AK15" s="19">
        <f t="shared" ref="AK15" si="45">SUM(AK13:AK14)</f>
        <v>515.38064462141062</v>
      </c>
      <c r="AL15" s="19">
        <f t="shared" ref="AL15" si="46">SUM(AL13:AL14)</f>
        <v>544.09797846751258</v>
      </c>
      <c r="AM15" s="19">
        <f t="shared" ref="AM15" si="47">SUM(AM13:AM14)</f>
        <v>574.2799580543707</v>
      </c>
      <c r="AN15" s="21">
        <f>AM15*(1+$AP$19)</f>
        <v>568.53715847382693</v>
      </c>
      <c r="AO15" s="21">
        <f t="shared" ref="AO15:CZ15" si="48">AN15*(1+$AP$19)</f>
        <v>562.85178688908866</v>
      </c>
      <c r="AP15" s="21">
        <f t="shared" si="48"/>
        <v>557.22326902019779</v>
      </c>
      <c r="AQ15" s="21">
        <f t="shared" si="48"/>
        <v>551.6510363299958</v>
      </c>
      <c r="AR15" s="21">
        <f t="shared" si="48"/>
        <v>546.13452596669583</v>
      </c>
      <c r="AS15" s="21">
        <f t="shared" si="48"/>
        <v>540.67318070702891</v>
      </c>
      <c r="AT15" s="21">
        <f t="shared" si="48"/>
        <v>535.26644889995862</v>
      </c>
      <c r="AU15" s="21">
        <f t="shared" si="48"/>
        <v>529.91378441095901</v>
      </c>
      <c r="AV15" s="21">
        <f t="shared" si="48"/>
        <v>524.61464656684939</v>
      </c>
      <c r="AW15" s="21">
        <f t="shared" si="48"/>
        <v>519.36850010118087</v>
      </c>
      <c r="AX15" s="21">
        <f t="shared" si="48"/>
        <v>514.1748151001691</v>
      </c>
      <c r="AY15" s="21">
        <f t="shared" si="48"/>
        <v>509.03306694916739</v>
      </c>
      <c r="AZ15" s="21">
        <f t="shared" si="48"/>
        <v>503.94273627967573</v>
      </c>
      <c r="BA15" s="21">
        <f t="shared" si="48"/>
        <v>498.90330891687898</v>
      </c>
      <c r="BB15" s="21">
        <f t="shared" si="48"/>
        <v>493.91427582771018</v>
      </c>
      <c r="BC15" s="21">
        <f t="shared" si="48"/>
        <v>488.97513306943307</v>
      </c>
      <c r="BD15" s="21">
        <f t="shared" si="48"/>
        <v>484.08538173873876</v>
      </c>
      <c r="BE15" s="21">
        <f t="shared" si="48"/>
        <v>479.24452792135139</v>
      </c>
      <c r="BF15" s="21">
        <f t="shared" si="48"/>
        <v>474.4520826421379</v>
      </c>
      <c r="BG15" s="21">
        <f t="shared" si="48"/>
        <v>469.70756181571653</v>
      </c>
      <c r="BH15" s="21">
        <f t="shared" si="48"/>
        <v>465.01048619755937</v>
      </c>
      <c r="BI15" s="21">
        <f t="shared" si="48"/>
        <v>460.36038133558378</v>
      </c>
      <c r="BJ15" s="21">
        <f t="shared" si="48"/>
        <v>455.75677752222794</v>
      </c>
      <c r="BK15" s="21">
        <f t="shared" si="48"/>
        <v>451.19920974700563</v>
      </c>
      <c r="BL15" s="21">
        <f t="shared" si="48"/>
        <v>446.68721764953557</v>
      </c>
      <c r="BM15" s="21">
        <f t="shared" si="48"/>
        <v>442.2203454730402</v>
      </c>
      <c r="BN15" s="21">
        <f t="shared" si="48"/>
        <v>437.79814201830982</v>
      </c>
      <c r="BO15" s="21">
        <f t="shared" si="48"/>
        <v>433.4201605981267</v>
      </c>
      <c r="BP15" s="21">
        <f t="shared" si="48"/>
        <v>429.08595899214544</v>
      </c>
      <c r="BQ15" s="21">
        <f t="shared" si="48"/>
        <v>424.79509940222397</v>
      </c>
      <c r="BR15" s="21">
        <f t="shared" si="48"/>
        <v>420.54714840820174</v>
      </c>
      <c r="BS15" s="21">
        <f t="shared" si="48"/>
        <v>416.34167692411972</v>
      </c>
      <c r="BT15" s="21">
        <f t="shared" si="48"/>
        <v>412.1782601548785</v>
      </c>
      <c r="BU15" s="21">
        <f t="shared" si="48"/>
        <v>408.05647755332973</v>
      </c>
      <c r="BV15" s="21">
        <f t="shared" si="48"/>
        <v>403.97591277779645</v>
      </c>
      <c r="BW15" s="21">
        <f t="shared" si="48"/>
        <v>399.93615365001847</v>
      </c>
      <c r="BX15" s="21">
        <f t="shared" si="48"/>
        <v>395.93679211351827</v>
      </c>
      <c r="BY15" s="21">
        <f t="shared" si="48"/>
        <v>391.97742419238307</v>
      </c>
      <c r="BZ15" s="21">
        <f t="shared" si="48"/>
        <v>388.05764995045922</v>
      </c>
      <c r="CA15" s="21">
        <f t="shared" si="48"/>
        <v>384.17707345095465</v>
      </c>
      <c r="CB15" s="21">
        <f t="shared" si="48"/>
        <v>380.33530271644509</v>
      </c>
      <c r="CC15" s="21">
        <f t="shared" si="48"/>
        <v>376.53194968928062</v>
      </c>
      <c r="CD15" s="21">
        <f t="shared" si="48"/>
        <v>372.76663019238782</v>
      </c>
      <c r="CE15" s="21">
        <f t="shared" si="48"/>
        <v>369.03896389046395</v>
      </c>
      <c r="CF15" s="21">
        <f t="shared" si="48"/>
        <v>365.34857425155928</v>
      </c>
      <c r="CG15" s="21">
        <f t="shared" si="48"/>
        <v>361.69508850904367</v>
      </c>
      <c r="CH15" s="21">
        <f t="shared" si="48"/>
        <v>358.07813762395324</v>
      </c>
      <c r="CI15" s="21">
        <f t="shared" si="48"/>
        <v>354.4973562477137</v>
      </c>
      <c r="CJ15" s="21">
        <f t="shared" si="48"/>
        <v>350.95238268523656</v>
      </c>
      <c r="CK15" s="21">
        <f t="shared" si="48"/>
        <v>347.44285885838417</v>
      </c>
      <c r="CL15" s="21">
        <f t="shared" si="48"/>
        <v>343.96843026980031</v>
      </c>
      <c r="CM15" s="21">
        <f t="shared" si="48"/>
        <v>340.52874596710228</v>
      </c>
      <c r="CN15" s="21">
        <f t="shared" si="48"/>
        <v>337.12345850743128</v>
      </c>
      <c r="CO15" s="21">
        <f t="shared" si="48"/>
        <v>333.75222392235696</v>
      </c>
      <c r="CP15" s="21">
        <f t="shared" si="48"/>
        <v>330.41470168313339</v>
      </c>
      <c r="CQ15" s="21">
        <f t="shared" si="48"/>
        <v>327.11055466630205</v>
      </c>
      <c r="CR15" s="21">
        <f t="shared" si="48"/>
        <v>323.83944911963903</v>
      </c>
      <c r="CS15" s="21">
        <f t="shared" si="48"/>
        <v>320.60105462844263</v>
      </c>
      <c r="CT15" s="21">
        <f t="shared" si="48"/>
        <v>317.39504408215822</v>
      </c>
      <c r="CU15" s="21">
        <f t="shared" si="48"/>
        <v>314.22109364133667</v>
      </c>
      <c r="CV15" s="21">
        <f t="shared" si="48"/>
        <v>311.07888270492327</v>
      </c>
      <c r="CW15" s="21">
        <f t="shared" si="48"/>
        <v>307.96809387787403</v>
      </c>
      <c r="CX15" s="21">
        <f t="shared" si="48"/>
        <v>304.8884129390953</v>
      </c>
      <c r="CY15" s="21">
        <f t="shared" si="48"/>
        <v>301.83952880970435</v>
      </c>
      <c r="CZ15" s="21">
        <f t="shared" si="48"/>
        <v>298.82113352160729</v>
      </c>
      <c r="DA15" s="21">
        <f t="shared" ref="DA15:EG15" si="49">CZ15*(1+$AP$19)</f>
        <v>295.83292218639122</v>
      </c>
      <c r="DB15" s="21">
        <f t="shared" si="49"/>
        <v>292.87459296452732</v>
      </c>
      <c r="DC15" s="21">
        <f t="shared" si="49"/>
        <v>289.94584703488204</v>
      </c>
      <c r="DD15" s="21">
        <f t="shared" si="49"/>
        <v>287.04638856453323</v>
      </c>
      <c r="DE15" s="21">
        <f t="shared" si="49"/>
        <v>284.1759246788879</v>
      </c>
      <c r="DF15" s="21">
        <f t="shared" si="49"/>
        <v>281.33416543209904</v>
      </c>
      <c r="DG15" s="21">
        <f t="shared" si="49"/>
        <v>278.52082377777805</v>
      </c>
      <c r="DH15" s="21">
        <f t="shared" si="49"/>
        <v>275.73561554000025</v>
      </c>
      <c r="DI15" s="21">
        <f t="shared" si="49"/>
        <v>272.97825938460022</v>
      </c>
      <c r="DJ15" s="21">
        <f t="shared" si="49"/>
        <v>270.24847679075424</v>
      </c>
      <c r="DK15" s="21">
        <f t="shared" si="49"/>
        <v>267.54599202284669</v>
      </c>
      <c r="DL15" s="21">
        <f t="shared" si="49"/>
        <v>264.8705321026182</v>
      </c>
      <c r="DM15" s="21">
        <f t="shared" si="49"/>
        <v>262.22182678159203</v>
      </c>
      <c r="DN15" s="21">
        <f t="shared" si="49"/>
        <v>259.5996085137761</v>
      </c>
      <c r="DO15" s="21">
        <f t="shared" si="49"/>
        <v>257.00361242863835</v>
      </c>
      <c r="DP15" s="21">
        <f t="shared" si="49"/>
        <v>254.43357630435196</v>
      </c>
      <c r="DQ15" s="21">
        <f t="shared" si="49"/>
        <v>251.88924054130842</v>
      </c>
      <c r="DR15" s="21">
        <f t="shared" si="49"/>
        <v>249.37034813589534</v>
      </c>
      <c r="DS15" s="21">
        <f t="shared" si="49"/>
        <v>246.87664465453639</v>
      </c>
      <c r="DT15" s="21">
        <f t="shared" si="49"/>
        <v>244.40787820799102</v>
      </c>
      <c r="DU15" s="21">
        <f t="shared" si="49"/>
        <v>241.96379942591111</v>
      </c>
      <c r="DV15" s="21">
        <f t="shared" si="49"/>
        <v>239.54416143165199</v>
      </c>
      <c r="DW15" s="21">
        <f t="shared" si="49"/>
        <v>237.14871981733546</v>
      </c>
      <c r="DX15" s="21">
        <f t="shared" si="49"/>
        <v>234.77723261916211</v>
      </c>
      <c r="DY15" s="21">
        <f t="shared" si="49"/>
        <v>232.42946029297048</v>
      </c>
      <c r="DZ15" s="21">
        <f t="shared" si="49"/>
        <v>230.10516569004076</v>
      </c>
      <c r="EA15" s="21">
        <f t="shared" si="49"/>
        <v>227.80411403314037</v>
      </c>
      <c r="EB15" s="21">
        <f t="shared" si="49"/>
        <v>225.52607289280897</v>
      </c>
      <c r="EC15" s="21">
        <f t="shared" si="49"/>
        <v>223.27081216388089</v>
      </c>
      <c r="ED15" s="21">
        <f t="shared" si="49"/>
        <v>221.03810404224208</v>
      </c>
      <c r="EE15" s="21">
        <f t="shared" si="49"/>
        <v>218.82772300181966</v>
      </c>
      <c r="EF15" s="21">
        <f t="shared" si="49"/>
        <v>216.63944577180146</v>
      </c>
      <c r="EG15" s="21">
        <f t="shared" si="49"/>
        <v>214.47305131408345</v>
      </c>
    </row>
    <row r="16" spans="1:137" x14ac:dyDescent="0.25">
      <c r="A16" s="11">
        <f>(T49*B12)/B5</f>
        <v>47.04968860766833</v>
      </c>
      <c r="C16" s="2" t="s">
        <v>63</v>
      </c>
      <c r="H16" s="11">
        <v>342</v>
      </c>
      <c r="I16" s="11">
        <v>342</v>
      </c>
      <c r="J16" s="11">
        <v>342</v>
      </c>
      <c r="K16" s="11">
        <v>342</v>
      </c>
      <c r="L16" s="11">
        <v>342</v>
      </c>
      <c r="M16" s="11">
        <v>342</v>
      </c>
      <c r="N16" s="11">
        <v>350.957583</v>
      </c>
      <c r="O16" s="11">
        <v>350.957583</v>
      </c>
      <c r="P16" s="11">
        <v>350.957583</v>
      </c>
      <c r="Q16" s="11">
        <v>350.957583</v>
      </c>
      <c r="R16" s="11">
        <v>350.957583</v>
      </c>
      <c r="S16" s="11">
        <v>350.957583</v>
      </c>
      <c r="T16" s="11">
        <v>350.957583</v>
      </c>
      <c r="U16" s="11"/>
      <c r="V16" s="11"/>
      <c r="W16" s="11"/>
      <c r="X16" s="21"/>
      <c r="Y16" s="11">
        <v>128</v>
      </c>
      <c r="Z16" s="11">
        <v>155</v>
      </c>
      <c r="AA16" s="11">
        <v>203.957583</v>
      </c>
      <c r="AB16" s="11">
        <v>350.957583</v>
      </c>
      <c r="AC16" s="11">
        <v>350.957583</v>
      </c>
      <c r="AD16" s="13">
        <v>386.05334099999999</v>
      </c>
      <c r="AE16" s="11">
        <v>386.05334099999999</v>
      </c>
      <c r="AF16" s="11">
        <v>386.05334099999999</v>
      </c>
      <c r="AG16" s="11">
        <v>386.05334099999999</v>
      </c>
      <c r="AH16" s="11">
        <v>386.05334099999999</v>
      </c>
      <c r="AI16" s="11">
        <v>386.05334099999999</v>
      </c>
      <c r="AJ16" s="11">
        <v>386.05334099999999</v>
      </c>
      <c r="AK16" s="11">
        <v>386.05334099999999</v>
      </c>
      <c r="AL16" s="11">
        <v>386.05334099999999</v>
      </c>
      <c r="AM16" s="11">
        <v>386.05334099999999</v>
      </c>
    </row>
    <row r="17" spans="1:42" x14ac:dyDescent="0.25">
      <c r="C17" s="2" t="s">
        <v>110</v>
      </c>
      <c r="H17" s="10">
        <f t="shared" ref="H17:K17" si="50">(H15/H16)*$B$12</f>
        <v>8.3336842105263112E-2</v>
      </c>
      <c r="I17" s="10">
        <f t="shared" si="50"/>
        <v>0.85105263157894739</v>
      </c>
      <c r="J17" s="10">
        <f t="shared" si="50"/>
        <v>1.926315789473684E-2</v>
      </c>
      <c r="K17" s="10">
        <f t="shared" si="50"/>
        <v>0</v>
      </c>
      <c r="L17" s="10">
        <f t="shared" ref="L17:N17" si="51">(L15/L16)*$B$12</f>
        <v>-0.65861052631578954</v>
      </c>
      <c r="M17" s="10">
        <f>(M15/M16)*$B$12</f>
        <v>0.69243157894736851</v>
      </c>
      <c r="N17" s="10">
        <f t="shared" si="51"/>
        <v>0.86010394025308767</v>
      </c>
      <c r="O17" s="10">
        <f>(O15/O16)*$B$12</f>
        <v>1.1912208775383553</v>
      </c>
      <c r="P17" s="10">
        <v>0.06</v>
      </c>
      <c r="Q17" s="10">
        <v>5.31</v>
      </c>
      <c r="R17" s="10">
        <v>2.06</v>
      </c>
      <c r="S17" s="10">
        <v>2</v>
      </c>
      <c r="T17" s="10">
        <f>(T15*10.8)/T16</f>
        <v>-0.21261030852266827</v>
      </c>
      <c r="U17" s="10"/>
      <c r="V17" s="10"/>
      <c r="W17" s="10"/>
      <c r="X17" s="60"/>
      <c r="Y17" s="10">
        <v>0.65</v>
      </c>
      <c r="Z17" s="10">
        <v>2.57</v>
      </c>
      <c r="AA17" s="10">
        <v>0.63</v>
      </c>
      <c r="AB17" s="10">
        <v>2.16</v>
      </c>
      <c r="AC17" s="10">
        <v>8.9600000000000009</v>
      </c>
      <c r="AD17" s="5">
        <f>(AD15/AD16)*$B$12</f>
        <v>7.3855079005779158</v>
      </c>
      <c r="AE17" s="10">
        <f t="shared" ref="AD17:AM17" si="52">(AE15/AE16)*$B$12</f>
        <v>9.9099248567311324</v>
      </c>
      <c r="AF17" s="10">
        <f t="shared" si="52"/>
        <v>10.471538180523092</v>
      </c>
      <c r="AG17" s="10">
        <f t="shared" si="52"/>
        <v>11.007354386812574</v>
      </c>
      <c r="AH17" s="10">
        <f t="shared" si="52"/>
        <v>11.570655894616394</v>
      </c>
      <c r="AI17" s="10">
        <f t="shared" si="52"/>
        <v>12.573728571134399</v>
      </c>
      <c r="AJ17" s="10">
        <f t="shared" si="52"/>
        <v>13.658508474746352</v>
      </c>
      <c r="AK17" s="10">
        <f t="shared" si="52"/>
        <v>14.417984176728664</v>
      </c>
      <c r="AL17" s="10">
        <f t="shared" si="52"/>
        <v>15.221363328258663</v>
      </c>
      <c r="AM17" s="10">
        <f t="shared" si="52"/>
        <v>16.065716543007987</v>
      </c>
    </row>
    <row r="18" spans="1:42" x14ac:dyDescent="0.25">
      <c r="A18" s="2" t="s">
        <v>234</v>
      </c>
      <c r="AO18" s="2" t="s">
        <v>121</v>
      </c>
      <c r="AP18" s="25">
        <v>0.1</v>
      </c>
    </row>
    <row r="19" spans="1:42" x14ac:dyDescent="0.25">
      <c r="A19" s="10">
        <f>B4/A16</f>
        <v>1.3390099247061122</v>
      </c>
      <c r="C19" s="4" t="s">
        <v>64</v>
      </c>
      <c r="D19" s="4"/>
      <c r="E19" s="4"/>
      <c r="F19" s="4"/>
      <c r="G19" s="4"/>
      <c r="H19" s="37" t="e">
        <f t="shared" ref="H19:T19" si="53">(H4-D4)/D4</f>
        <v>#DIV/0!</v>
      </c>
      <c r="I19" s="37" t="e">
        <f t="shared" si="53"/>
        <v>#DIV/0!</v>
      </c>
      <c r="J19" s="37" t="e">
        <f t="shared" si="53"/>
        <v>#DIV/0!</v>
      </c>
      <c r="K19" s="37" t="e">
        <f t="shared" si="53"/>
        <v>#DIV/0!</v>
      </c>
      <c r="L19" s="37">
        <f t="shared" si="53"/>
        <v>5.2910052910053662E-3</v>
      </c>
      <c r="M19" s="37">
        <f t="shared" si="53"/>
        <v>0.28905530661101225</v>
      </c>
      <c r="N19" s="37">
        <f t="shared" si="53"/>
        <v>2.4593209481101859</v>
      </c>
      <c r="O19" s="37" t="e">
        <f t="shared" si="53"/>
        <v>#DIV/0!</v>
      </c>
      <c r="P19" s="37">
        <f t="shared" si="53"/>
        <v>2.4460000000000002</v>
      </c>
      <c r="Q19" s="37">
        <f t="shared" si="53"/>
        <v>2.6993809523809529</v>
      </c>
      <c r="R19" s="37">
        <f t="shared" si="53"/>
        <v>0.90428395061728339</v>
      </c>
      <c r="S19" s="37">
        <f t="shared" si="53"/>
        <v>0.95446593109239786</v>
      </c>
      <c r="T19" s="37">
        <f t="shared" si="53"/>
        <v>0.90498518495891489</v>
      </c>
      <c r="U19" s="37"/>
      <c r="V19" s="37"/>
      <c r="W19" s="37"/>
      <c r="X19" s="37"/>
      <c r="Y19" s="4"/>
      <c r="Z19" s="38">
        <f t="shared" ref="Z19:AM19" si="54">(Z4-Y4)/Y4</f>
        <v>0.74643079851652505</v>
      </c>
      <c r="AA19" s="38">
        <f t="shared" si="54"/>
        <v>2.0653236112155089E-2</v>
      </c>
      <c r="AB19" s="38">
        <f t="shared" si="54"/>
        <v>1.2899412642006223</v>
      </c>
      <c r="AC19" s="38">
        <f t="shared" si="54"/>
        <v>1.4925825567464561</v>
      </c>
      <c r="AD19" s="141">
        <f t="shared" si="54"/>
        <v>0.46774193548387094</v>
      </c>
      <c r="AE19" s="38">
        <f t="shared" si="54"/>
        <v>0.3</v>
      </c>
      <c r="AF19" s="38">
        <f t="shared" si="54"/>
        <v>5.0000000000000079E-2</v>
      </c>
      <c r="AG19" s="38">
        <f t="shared" si="54"/>
        <v>5.0000000000000058E-2</v>
      </c>
      <c r="AH19" s="38">
        <f t="shared" si="54"/>
        <v>5.0000000000000121E-2</v>
      </c>
      <c r="AI19" s="38">
        <f t="shared" si="54"/>
        <v>7.5000000000000025E-2</v>
      </c>
      <c r="AJ19" s="38">
        <f t="shared" si="54"/>
        <v>7.4999999999999969E-2</v>
      </c>
      <c r="AK19" s="38">
        <f t="shared" si="54"/>
        <v>5.0000000000000024E-2</v>
      </c>
      <c r="AL19" s="38">
        <f t="shared" si="54"/>
        <v>5.00000000000001E-2</v>
      </c>
      <c r="AM19" s="38">
        <f t="shared" si="54"/>
        <v>5.0000000000000031E-2</v>
      </c>
      <c r="AO19" s="2" t="s">
        <v>122</v>
      </c>
      <c r="AP19" s="25">
        <v>-0.01</v>
      </c>
    </row>
    <row r="20" spans="1:42" x14ac:dyDescent="0.25">
      <c r="C20" s="2" t="s">
        <v>331</v>
      </c>
      <c r="H20" s="41"/>
      <c r="I20" s="41"/>
      <c r="J20" s="41"/>
      <c r="K20" s="41"/>
      <c r="L20" s="41">
        <f t="shared" ref="L20:R20" si="55">L6/L4</f>
        <v>-0.41994736842105257</v>
      </c>
      <c r="M20" s="41">
        <f t="shared" si="55"/>
        <v>0.52380952380952384</v>
      </c>
      <c r="N20" s="41">
        <f t="shared" si="55"/>
        <v>0.58888888888888891</v>
      </c>
      <c r="O20" s="41">
        <f t="shared" si="55"/>
        <v>0.60078378315332759</v>
      </c>
      <c r="P20" s="41">
        <f t="shared" si="55"/>
        <v>0.31945505085988335</v>
      </c>
      <c r="Q20" s="41">
        <f t="shared" si="55"/>
        <v>0.76110975238242362</v>
      </c>
      <c r="R20" s="41">
        <f t="shared" si="55"/>
        <v>0.62014172074659457</v>
      </c>
      <c r="S20" s="41">
        <f>S6/S4</f>
        <v>0.53495213997565227</v>
      </c>
      <c r="T20" s="41">
        <f>T6/T4</f>
        <v>0.21457262661653054</v>
      </c>
      <c r="U20" s="41"/>
      <c r="V20" s="41"/>
      <c r="W20" s="41"/>
      <c r="X20" s="41"/>
      <c r="Y20" s="41">
        <f>Y6/Y4</f>
        <v>0.36199087597229979</v>
      </c>
      <c r="Z20" s="41">
        <f t="shared" ref="Z20:AM20" si="56">Z6/Z4</f>
        <v>0.53453168458242506</v>
      </c>
      <c r="AA20" s="41">
        <f t="shared" si="56"/>
        <v>0.44893299699876638</v>
      </c>
      <c r="AB20" s="41">
        <f t="shared" si="56"/>
        <v>0.49944519936640164</v>
      </c>
      <c r="AC20" s="41">
        <f t="shared" si="56"/>
        <v>0.61774193548387102</v>
      </c>
      <c r="AD20" s="142">
        <f t="shared" si="56"/>
        <v>0.50549450549450547</v>
      </c>
      <c r="AE20" s="41">
        <f t="shared" si="56"/>
        <v>0.54999999999999993</v>
      </c>
      <c r="AF20" s="41">
        <f t="shared" si="56"/>
        <v>0.54999999999999993</v>
      </c>
      <c r="AG20" s="41">
        <f t="shared" si="56"/>
        <v>0.54999999999999993</v>
      </c>
      <c r="AH20" s="41">
        <f t="shared" si="56"/>
        <v>0.55000000000000004</v>
      </c>
      <c r="AI20" s="41">
        <f t="shared" si="56"/>
        <v>0.54999999999999993</v>
      </c>
      <c r="AJ20" s="41">
        <f t="shared" si="56"/>
        <v>0.55000000000000004</v>
      </c>
      <c r="AK20" s="41">
        <f t="shared" si="56"/>
        <v>0.54999999999999993</v>
      </c>
      <c r="AL20" s="41">
        <f t="shared" si="56"/>
        <v>0.54999999999999993</v>
      </c>
      <c r="AM20" s="41">
        <f t="shared" si="56"/>
        <v>0.55000000000000004</v>
      </c>
      <c r="AO20" s="2" t="s">
        <v>123</v>
      </c>
      <c r="AP20" s="47">
        <f>NPV(AP18,AD15:EG15)</f>
        <v>4528.9990266182549</v>
      </c>
    </row>
    <row r="21" spans="1:42" x14ac:dyDescent="0.25">
      <c r="A21" s="2" t="s">
        <v>281</v>
      </c>
      <c r="B21" s="13">
        <f>(T54+T62-T42)/AD10</f>
        <v>4.3878451612903229</v>
      </c>
      <c r="C21" s="2" t="s">
        <v>120</v>
      </c>
      <c r="H21" s="20">
        <f t="shared" ref="H21:S21" si="57">H8/H4</f>
        <v>0.38994708994708988</v>
      </c>
      <c r="I21" s="20">
        <f t="shared" si="57"/>
        <v>0.71984531336320678</v>
      </c>
      <c r="J21" s="20">
        <f t="shared" si="57"/>
        <v>0.32427930813581041</v>
      </c>
      <c r="K21" s="20" t="e">
        <f t="shared" si="57"/>
        <v>#DIV/0!</v>
      </c>
      <c r="L21" s="20">
        <f t="shared" si="57"/>
        <v>-0.38731578947368417</v>
      </c>
      <c r="M21" s="20">
        <f t="shared" si="57"/>
        <v>0.52582539682539686</v>
      </c>
      <c r="N21" s="20">
        <f t="shared" si="57"/>
        <v>0.59691358024691354</v>
      </c>
      <c r="O21" s="20">
        <f t="shared" si="57"/>
        <v>0.60078378315332759</v>
      </c>
      <c r="P21" s="20">
        <f t="shared" si="57"/>
        <v>0.31945505085988335</v>
      </c>
      <c r="Q21" s="20">
        <f t="shared" si="57"/>
        <v>0.76110975238242362</v>
      </c>
      <c r="R21" s="20">
        <f t="shared" si="57"/>
        <v>0.64931570792300641</v>
      </c>
      <c r="S21" s="20">
        <f t="shared" si="57"/>
        <v>0.56043372401117131</v>
      </c>
      <c r="T21" s="20">
        <f t="shared" ref="T21" si="58">T8/T4</f>
        <v>0.21457262661653054</v>
      </c>
      <c r="U21" s="20"/>
      <c r="V21" s="20"/>
      <c r="W21" s="20"/>
      <c r="X21" s="20"/>
      <c r="Y21" s="20">
        <f t="shared" ref="Y21:AM21" si="59">Y8/Y4</f>
        <v>0.36199087597229979</v>
      </c>
      <c r="Z21" s="20">
        <f t="shared" si="59"/>
        <v>0.53453168458242506</v>
      </c>
      <c r="AA21" s="20">
        <f t="shared" si="59"/>
        <v>0.45019425162490107</v>
      </c>
      <c r="AB21" s="20">
        <f t="shared" si="59"/>
        <v>0.50506155070797387</v>
      </c>
      <c r="AC21" s="20">
        <f t="shared" si="59"/>
        <v>0.63225806451612898</v>
      </c>
      <c r="AD21" s="143">
        <f t="shared" si="59"/>
        <v>0.45054945054945056</v>
      </c>
      <c r="AE21" s="20">
        <f t="shared" si="59"/>
        <v>0.50646661031276419</v>
      </c>
      <c r="AF21" s="20">
        <f t="shared" si="59"/>
        <v>0.50729581773537813</v>
      </c>
      <c r="AG21" s="20">
        <f t="shared" si="59"/>
        <v>0.50810923073089476</v>
      </c>
      <c r="AH21" s="20">
        <f t="shared" si="59"/>
        <v>0.50890715014554444</v>
      </c>
      <c r="AI21" s="20">
        <f t="shared" si="59"/>
        <v>0.51062731595340538</v>
      </c>
      <c r="AJ21" s="20">
        <f t="shared" si="59"/>
        <v>0.51227547482047209</v>
      </c>
      <c r="AK21" s="20">
        <f t="shared" si="59"/>
        <v>0.51299403720484404</v>
      </c>
      <c r="AL21" s="20">
        <f t="shared" si="59"/>
        <v>0.51369891268665646</v>
      </c>
      <c r="AM21" s="20">
        <f t="shared" si="59"/>
        <v>0.51439036196881549</v>
      </c>
      <c r="AO21" s="14" t="s">
        <v>124</v>
      </c>
      <c r="AP21" s="48">
        <f>AP20*B12</f>
        <v>48913.189487477153</v>
      </c>
    </row>
    <row r="22" spans="1:42" x14ac:dyDescent="0.25">
      <c r="A22" s="47"/>
      <c r="C22" s="2" t="s">
        <v>279</v>
      </c>
      <c r="H22" s="20">
        <f t="shared" ref="H22:S22" si="60">H10/H4</f>
        <v>0.1465608465608465</v>
      </c>
      <c r="I22" s="20">
        <f t="shared" si="60"/>
        <v>0.54567961860331893</v>
      </c>
      <c r="J22" s="20">
        <f t="shared" si="60"/>
        <v>2.8272474909246208E-2</v>
      </c>
      <c r="K22" s="20" t="e">
        <f t="shared" si="60"/>
        <v>#DIV/0!</v>
      </c>
      <c r="L22" s="20">
        <f t="shared" si="60"/>
        <v>-1.0608421052631578</v>
      </c>
      <c r="M22" s="20">
        <f t="shared" si="60"/>
        <v>0.31153968253968256</v>
      </c>
      <c r="N22" s="20">
        <f t="shared" si="60"/>
        <v>0.41172839506172842</v>
      </c>
      <c r="O22" s="20">
        <f t="shared" si="60"/>
        <v>0.43749562621008192</v>
      </c>
      <c r="P22" s="20">
        <f t="shared" si="60"/>
        <v>7.1692580260866945E-2</v>
      </c>
      <c r="Q22" s="20">
        <f t="shared" si="60"/>
        <v>0.70027589343562424</v>
      </c>
      <c r="R22" s="20">
        <f t="shared" si="60"/>
        <v>0.51687877235861945</v>
      </c>
      <c r="S22" s="20">
        <f t="shared" si="60"/>
        <v>0.41841715799775614</v>
      </c>
      <c r="T22" s="20">
        <f t="shared" ref="T22" si="61">T10/T4</f>
        <v>6.2239932011513184E-2</v>
      </c>
      <c r="U22" s="20"/>
      <c r="V22" s="20"/>
      <c r="W22" s="20"/>
      <c r="X22" s="20"/>
      <c r="Y22" s="20">
        <f t="shared" ref="Y22:AM22" si="62">Y10/Y4</f>
        <v>0.18271029571039424</v>
      </c>
      <c r="Z22" s="20">
        <f t="shared" si="62"/>
        <v>0.38704615500263106</v>
      </c>
      <c r="AA22" s="20">
        <f t="shared" si="62"/>
        <v>0.13296569755666443</v>
      </c>
      <c r="AB22" s="20">
        <f t="shared" si="62"/>
        <v>0.28275132870731462</v>
      </c>
      <c r="AC22" s="20">
        <f t="shared" si="62"/>
        <v>0.51129032258064511</v>
      </c>
      <c r="AD22" s="143">
        <f t="shared" si="62"/>
        <v>0.34065934065934067</v>
      </c>
      <c r="AE22" s="20">
        <f t="shared" si="62"/>
        <v>0.41770921386305998</v>
      </c>
      <c r="AF22" s="20">
        <f t="shared" si="62"/>
        <v>0.41853842128567403</v>
      </c>
      <c r="AG22" s="20">
        <f t="shared" si="62"/>
        <v>0.41935183428119055</v>
      </c>
      <c r="AH22" s="20">
        <f t="shared" si="62"/>
        <v>0.42014975369584029</v>
      </c>
      <c r="AI22" s="20">
        <f t="shared" si="62"/>
        <v>0.42393404500253151</v>
      </c>
      <c r="AJ22" s="20">
        <f t="shared" si="62"/>
        <v>0.42759832644985118</v>
      </c>
      <c r="AK22" s="20">
        <f t="shared" si="62"/>
        <v>0.42831688883422309</v>
      </c>
      <c r="AL22" s="20">
        <f t="shared" si="62"/>
        <v>0.42902176431603556</v>
      </c>
      <c r="AM22" s="20">
        <f t="shared" si="62"/>
        <v>0.42971321359819453</v>
      </c>
      <c r="AO22" s="2" t="s">
        <v>2</v>
      </c>
      <c r="AP22" s="10">
        <v>386.05334099999999</v>
      </c>
    </row>
    <row r="23" spans="1:42" x14ac:dyDescent="0.25">
      <c r="A23" s="61"/>
      <c r="C23" s="2" t="s">
        <v>235</v>
      </c>
      <c r="L23" s="20"/>
      <c r="M23" s="20"/>
      <c r="N23" s="20"/>
      <c r="O23" s="20"/>
      <c r="P23" s="20">
        <v>0.55300000000000005</v>
      </c>
      <c r="Q23" s="20">
        <v>0.67</v>
      </c>
      <c r="R23" s="20">
        <v>0.75800000000000001</v>
      </c>
      <c r="S23" s="20"/>
      <c r="T23" s="20">
        <v>0.47599999999999998</v>
      </c>
      <c r="U23" s="20"/>
      <c r="V23" s="20"/>
      <c r="W23" s="20"/>
      <c r="X23" s="20"/>
      <c r="Y23" s="20"/>
      <c r="Z23" s="20"/>
      <c r="AA23" s="20"/>
      <c r="AB23" s="20"/>
      <c r="AC23" s="20"/>
      <c r="AD23" s="143"/>
      <c r="AE23" s="20"/>
      <c r="AF23" s="20"/>
      <c r="AG23" s="20"/>
      <c r="AH23" s="20"/>
      <c r="AI23" s="20"/>
      <c r="AJ23" s="20"/>
      <c r="AK23" s="20"/>
      <c r="AL23" s="20"/>
      <c r="AM23" s="20"/>
      <c r="AO23" s="2" t="s">
        <v>125</v>
      </c>
      <c r="AP23" s="11">
        <f>AP21/AP22</f>
        <v>126.70059883635913</v>
      </c>
    </row>
    <row r="24" spans="1:42" x14ac:dyDescent="0.25"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143"/>
      <c r="AE24" s="20"/>
      <c r="AF24" s="20"/>
      <c r="AG24" s="20"/>
      <c r="AH24" s="20"/>
      <c r="AI24" s="20"/>
      <c r="AJ24" s="20"/>
      <c r="AK24" s="20"/>
      <c r="AL24" s="20"/>
      <c r="AM24" s="20"/>
      <c r="AO24" s="4" t="s">
        <v>126</v>
      </c>
      <c r="AP24" s="26">
        <f>(AP23-B4)/B4</f>
        <v>1.0111206164501449</v>
      </c>
    </row>
    <row r="25" spans="1:42" x14ac:dyDescent="0.25">
      <c r="C25" s="2" t="s">
        <v>217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Y25" s="20">
        <v>2.7E-2</v>
      </c>
      <c r="Z25" s="20">
        <v>8.3000000000000004E-2</v>
      </c>
      <c r="AA25" s="20">
        <v>1.6E-2</v>
      </c>
      <c r="AB25" s="20">
        <v>0.06</v>
      </c>
      <c r="AC25" s="20"/>
      <c r="AD25" s="143"/>
      <c r="AE25" s="20"/>
      <c r="AF25" s="20"/>
      <c r="AG25" s="20"/>
      <c r="AH25" s="20"/>
      <c r="AI25" s="20"/>
      <c r="AJ25" s="20"/>
      <c r="AK25" s="20"/>
    </row>
    <row r="26" spans="1:42" x14ac:dyDescent="0.25"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143"/>
      <c r="AE26" s="20"/>
      <c r="AF26" s="20"/>
      <c r="AG26" s="20"/>
      <c r="AH26" s="20"/>
      <c r="AI26" s="20"/>
      <c r="AJ26" s="20"/>
    </row>
    <row r="27" spans="1:42" x14ac:dyDescent="0.25">
      <c r="C27" s="2" t="s">
        <v>127</v>
      </c>
      <c r="D27" s="8"/>
      <c r="E27" s="8"/>
      <c r="F27" s="8"/>
      <c r="G27" s="8"/>
      <c r="H27" s="8"/>
      <c r="I27" s="8"/>
      <c r="J27" s="8"/>
      <c r="K27" s="8"/>
      <c r="L27" s="8">
        <v>1801</v>
      </c>
      <c r="M27" s="8">
        <v>1915</v>
      </c>
      <c r="N27" s="8">
        <v>2054</v>
      </c>
      <c r="O27" s="8">
        <v>2336</v>
      </c>
      <c r="P27" s="8">
        <v>2487</v>
      </c>
      <c r="Q27" s="8">
        <v>2492</v>
      </c>
      <c r="R27" s="8">
        <v>2387</v>
      </c>
      <c r="S27" s="8">
        <v>2827</v>
      </c>
      <c r="T27" s="8">
        <v>2705</v>
      </c>
      <c r="U27" s="8"/>
      <c r="V27" s="8"/>
      <c r="W27" s="8"/>
      <c r="Y27" s="20"/>
      <c r="Z27" s="20"/>
      <c r="AA27" s="20"/>
      <c r="AB27" s="20"/>
      <c r="AC27" s="20"/>
      <c r="AD27" s="143"/>
      <c r="AE27" s="20"/>
      <c r="AF27" s="20"/>
      <c r="AG27" s="20"/>
      <c r="AH27" s="20"/>
      <c r="AI27" s="20"/>
      <c r="AJ27" s="20"/>
    </row>
    <row r="28" spans="1:42" x14ac:dyDescent="0.25">
      <c r="C28" s="2" t="s">
        <v>232</v>
      </c>
      <c r="P28" s="41">
        <f t="shared" ref="P28" si="63">(P27-L27)/L27</f>
        <v>0.38089950027762354</v>
      </c>
      <c r="Q28" s="41">
        <f>(Q27-M27)/M27</f>
        <v>0.30130548302872062</v>
      </c>
      <c r="R28" s="41">
        <f>(R27-N27)/N27</f>
        <v>0.16212268743914313</v>
      </c>
      <c r="S28" s="41">
        <f>(S27-O27)/O27</f>
        <v>0.21018835616438356</v>
      </c>
      <c r="T28" s="41">
        <f>(T27-P27)/P27</f>
        <v>8.7655810213108157E-2</v>
      </c>
      <c r="AC28" s="20"/>
      <c r="AD28" s="143"/>
      <c r="AE28" s="20"/>
    </row>
    <row r="30" spans="1:42" x14ac:dyDescent="0.25">
      <c r="C30" s="1" t="s">
        <v>128</v>
      </c>
      <c r="O30" s="18"/>
      <c r="P30" s="18"/>
      <c r="AA30" s="10"/>
    </row>
    <row r="31" spans="1:42" ht="24" x14ac:dyDescent="0.3">
      <c r="C31" s="2" t="s">
        <v>65</v>
      </c>
      <c r="D31" s="8"/>
      <c r="E31" s="8"/>
      <c r="F31" s="8"/>
      <c r="G31" s="8">
        <v>0.41899999999999998</v>
      </c>
      <c r="H31" s="8">
        <v>16.946999999999999</v>
      </c>
      <c r="I31" s="8">
        <v>16.946999999999999</v>
      </c>
      <c r="J31" s="8"/>
      <c r="K31" s="8">
        <v>16.946999999999999</v>
      </c>
      <c r="L31" s="8">
        <v>17.236000000000001</v>
      </c>
      <c r="M31" s="8">
        <v>17.440000000000001</v>
      </c>
      <c r="N31" s="8">
        <v>16.72</v>
      </c>
      <c r="O31" s="8">
        <v>18.190000000000001</v>
      </c>
      <c r="P31" s="8">
        <v>18.643999999999998</v>
      </c>
      <c r="Q31" s="8">
        <v>19</v>
      </c>
      <c r="R31" s="8">
        <v>19.283000000000001</v>
      </c>
      <c r="S31" s="8">
        <v>19.431999999999999</v>
      </c>
      <c r="T31" s="8">
        <v>19.492999999999999</v>
      </c>
      <c r="U31" s="8"/>
      <c r="V31" s="8"/>
      <c r="W31" s="8"/>
      <c r="AA31" s="40"/>
      <c r="AC31" s="8"/>
    </row>
    <row r="32" spans="1:42" ht="24" x14ac:dyDescent="0.3">
      <c r="C32" s="2" t="s">
        <v>66</v>
      </c>
      <c r="D32" s="8"/>
      <c r="E32" s="8"/>
      <c r="F32" s="8"/>
      <c r="G32" s="8">
        <v>606.20399999999995</v>
      </c>
      <c r="H32" s="8">
        <v>1085.6320000000001</v>
      </c>
      <c r="I32" s="8">
        <v>1085.6320000000001</v>
      </c>
      <c r="J32" s="8"/>
      <c r="K32" s="8">
        <v>1085.6320000000001</v>
      </c>
      <c r="L32" s="8">
        <v>1188.829</v>
      </c>
      <c r="M32" s="8">
        <v>1380.924</v>
      </c>
      <c r="N32" s="8">
        <v>1612.704</v>
      </c>
      <c r="O32" s="8">
        <v>1712.2660000000001</v>
      </c>
      <c r="P32" s="8">
        <v>2188.3490000000002</v>
      </c>
      <c r="Q32" s="8">
        <v>2384.5509999999999</v>
      </c>
      <c r="R32" s="8">
        <v>2626.2539999999999</v>
      </c>
      <c r="S32" s="8">
        <v>2991.1289999999999</v>
      </c>
      <c r="T32" s="8">
        <v>3016.7539999999999</v>
      </c>
      <c r="U32" s="8"/>
      <c r="V32" s="8"/>
      <c r="W32" s="8"/>
      <c r="AA32" s="40"/>
    </row>
    <row r="33" spans="3:23" x14ac:dyDescent="0.25">
      <c r="C33" s="2" t="s">
        <v>74</v>
      </c>
      <c r="D33" s="8"/>
      <c r="E33" s="8"/>
      <c r="F33" s="8"/>
      <c r="G33" s="8">
        <v>0.28699999999999998</v>
      </c>
      <c r="H33" s="8">
        <v>0.97299999999999998</v>
      </c>
      <c r="I33" s="8">
        <v>0.97299999999999998</v>
      </c>
      <c r="J33" s="8"/>
      <c r="K33" s="8">
        <v>0.97299999999999998</v>
      </c>
      <c r="L33" s="8">
        <v>11</v>
      </c>
      <c r="M33" s="8">
        <v>11.118</v>
      </c>
      <c r="N33" s="8">
        <v>10.691000000000001</v>
      </c>
      <c r="O33" s="8">
        <v>10.337</v>
      </c>
      <c r="P33" s="8">
        <v>10.638999999999999</v>
      </c>
      <c r="Q33" s="8">
        <v>11.132999999999999</v>
      </c>
      <c r="R33" s="8">
        <v>12.428000000000001</v>
      </c>
      <c r="S33" s="8">
        <v>12.598000000000001</v>
      </c>
      <c r="T33" s="8">
        <v>12</v>
      </c>
      <c r="U33" s="8"/>
      <c r="V33" s="8"/>
      <c r="W33" s="8"/>
    </row>
    <row r="34" spans="3:23" x14ac:dyDescent="0.25">
      <c r="C34" s="2" t="s">
        <v>75</v>
      </c>
      <c r="D34" s="8"/>
      <c r="E34" s="8"/>
      <c r="F34" s="8"/>
      <c r="G34" s="8">
        <v>0.23799999999999999</v>
      </c>
      <c r="H34" s="8">
        <v>1.22</v>
      </c>
      <c r="I34" s="8">
        <v>1.22</v>
      </c>
      <c r="J34" s="8"/>
      <c r="K34" s="8">
        <v>1.22</v>
      </c>
      <c r="L34" s="8">
        <v>1.226</v>
      </c>
      <c r="M34" s="8">
        <v>1.0469999999999999</v>
      </c>
      <c r="N34" s="8">
        <v>1.0469999999999999</v>
      </c>
      <c r="O34" s="8">
        <v>1.014</v>
      </c>
      <c r="P34" s="8">
        <v>1</v>
      </c>
      <c r="Q34" s="8">
        <v>1.0900000000000001</v>
      </c>
      <c r="R34" s="8">
        <v>1.1439999999999999</v>
      </c>
      <c r="S34" s="8">
        <v>1.141</v>
      </c>
      <c r="T34" s="8">
        <v>1</v>
      </c>
      <c r="U34" s="8"/>
      <c r="V34" s="8"/>
      <c r="W34" s="8"/>
    </row>
    <row r="35" spans="3:23" x14ac:dyDescent="0.25">
      <c r="C35" s="2" t="s">
        <v>67</v>
      </c>
      <c r="D35" s="8"/>
      <c r="E35" s="8"/>
      <c r="F35" s="8"/>
      <c r="G35" s="8">
        <v>3.3759999999999999</v>
      </c>
      <c r="H35" s="8">
        <v>0.33800000000000002</v>
      </c>
      <c r="I35" s="8">
        <v>0.33800000000000002</v>
      </c>
      <c r="J35" s="8"/>
      <c r="K35" s="8">
        <v>0.33800000000000002</v>
      </c>
      <c r="L35" s="8">
        <v>1.248</v>
      </c>
      <c r="M35" s="8">
        <v>3.1920000000000002</v>
      </c>
      <c r="N35" s="8">
        <v>0.69499999999999995</v>
      </c>
      <c r="O35" s="8">
        <v>6.593</v>
      </c>
      <c r="P35" s="8">
        <v>2.9</v>
      </c>
      <c r="Q35" s="8">
        <v>0.91900000000000004</v>
      </c>
      <c r="R35" s="8">
        <v>1.4430000000000001</v>
      </c>
      <c r="S35" s="8">
        <v>2.419</v>
      </c>
      <c r="T35" s="8">
        <v>6.6</v>
      </c>
      <c r="U35" s="8"/>
      <c r="V35" s="8"/>
      <c r="W35" s="8"/>
    </row>
    <row r="36" spans="3:23" x14ac:dyDescent="0.25">
      <c r="C36" s="2" t="s">
        <v>68</v>
      </c>
      <c r="D36" s="8"/>
      <c r="E36" s="8"/>
      <c r="F36" s="8"/>
      <c r="G36" s="8">
        <v>0.54900000000000004</v>
      </c>
      <c r="H36" s="8">
        <v>1.8360000000000001</v>
      </c>
      <c r="I36" s="8">
        <v>1.8360000000000001</v>
      </c>
      <c r="J36" s="8"/>
      <c r="K36" s="8">
        <v>1.8360000000000001</v>
      </c>
      <c r="L36" s="8">
        <v>1.86</v>
      </c>
      <c r="M36" s="8">
        <v>0.94699999999999995</v>
      </c>
      <c r="N36" s="8">
        <v>1.351</v>
      </c>
      <c r="O36" s="8">
        <v>1.0389999999999999</v>
      </c>
      <c r="P36" s="8">
        <v>3.5</v>
      </c>
      <c r="Q36" s="8">
        <v>2.2690000000000001</v>
      </c>
      <c r="R36" s="8">
        <v>2.871</v>
      </c>
      <c r="S36" s="8">
        <v>3.54</v>
      </c>
      <c r="T36" s="8">
        <v>3.7839999999999998</v>
      </c>
      <c r="U36" s="8"/>
      <c r="V36" s="8"/>
      <c r="W36" s="8"/>
    </row>
    <row r="37" spans="3:23" x14ac:dyDescent="0.25">
      <c r="C37" s="2" t="s">
        <v>69</v>
      </c>
      <c r="D37" s="8"/>
      <c r="E37" s="8"/>
      <c r="F37" s="8"/>
      <c r="G37" s="8">
        <v>18.234999999999999</v>
      </c>
      <c r="H37" s="8">
        <v>30.552</v>
      </c>
      <c r="I37" s="8">
        <v>30.552</v>
      </c>
      <c r="J37" s="8"/>
      <c r="K37" s="8">
        <v>30.552</v>
      </c>
      <c r="L37" s="8">
        <v>36.527999999999999</v>
      </c>
      <c r="M37" s="8">
        <v>39.680999999999997</v>
      </c>
      <c r="N37" s="8">
        <v>46.317999999999998</v>
      </c>
      <c r="O37" s="8">
        <v>62.985999999999997</v>
      </c>
      <c r="P37" s="8">
        <v>105.81699999999999</v>
      </c>
      <c r="Q37" s="8">
        <v>111.5</v>
      </c>
      <c r="R37" s="8">
        <v>127.669</v>
      </c>
      <c r="S37" s="8">
        <v>139.029</v>
      </c>
      <c r="T37" s="8">
        <v>145.529</v>
      </c>
      <c r="U37" s="8"/>
      <c r="V37" s="8"/>
      <c r="W37" s="8"/>
    </row>
    <row r="38" spans="3:23" x14ac:dyDescent="0.25">
      <c r="C38" s="2" t="s">
        <v>70</v>
      </c>
      <c r="D38" s="8"/>
      <c r="E38" s="8"/>
      <c r="F38" s="8"/>
      <c r="G38" s="8">
        <v>19.998999999999999</v>
      </c>
      <c r="H38" s="8">
        <v>8.8800000000000008</v>
      </c>
      <c r="I38" s="8">
        <v>8.8800000000000008</v>
      </c>
      <c r="J38" s="8"/>
      <c r="K38" s="8">
        <v>8.8800000000000008</v>
      </c>
      <c r="L38" s="8">
        <v>1.5489999999999999</v>
      </c>
      <c r="M38" s="8">
        <v>18.295999999999999</v>
      </c>
      <c r="N38" s="8">
        <v>30.564</v>
      </c>
      <c r="O38" s="8">
        <v>37.609000000000002</v>
      </c>
      <c r="P38" s="8">
        <v>24</v>
      </c>
      <c r="Q38" s="8">
        <v>154.30000000000001</v>
      </c>
      <c r="R38" s="8">
        <v>29.376000000000001</v>
      </c>
      <c r="S38" s="8">
        <v>81.923000000000002</v>
      </c>
      <c r="T38" s="8">
        <v>39.890999999999998</v>
      </c>
      <c r="U38" s="8"/>
      <c r="V38" s="8"/>
      <c r="W38" s="8"/>
    </row>
    <row r="39" spans="3:23" x14ac:dyDescent="0.25">
      <c r="C39" s="2" t="s">
        <v>71</v>
      </c>
      <c r="D39" s="8"/>
      <c r="E39" s="8"/>
      <c r="F39" s="8"/>
      <c r="G39" s="8">
        <v>1.6990000000000001</v>
      </c>
      <c r="H39" s="8">
        <v>9.5619999999999994</v>
      </c>
      <c r="I39" s="8">
        <v>9.5619999999999994</v>
      </c>
      <c r="J39" s="8"/>
      <c r="K39" s="8">
        <v>9.5619999999999994</v>
      </c>
      <c r="L39" s="8">
        <v>15.388999999999999</v>
      </c>
      <c r="M39" s="8">
        <v>21.555</v>
      </c>
      <c r="N39" s="8">
        <v>15.627000000000001</v>
      </c>
      <c r="O39" s="8">
        <v>16.643000000000001</v>
      </c>
      <c r="P39" s="8">
        <v>13.345000000000001</v>
      </c>
      <c r="Q39" s="8">
        <v>30.8</v>
      </c>
      <c r="R39" s="8">
        <v>17.399999999999999</v>
      </c>
      <c r="S39" s="8">
        <v>13.523</v>
      </c>
      <c r="T39" s="8">
        <v>13.97</v>
      </c>
      <c r="U39" s="8"/>
      <c r="V39" s="8"/>
      <c r="W39" s="8"/>
    </row>
    <row r="40" spans="3:23" x14ac:dyDescent="0.25">
      <c r="C40" s="2" t="s">
        <v>181</v>
      </c>
      <c r="D40" s="8"/>
      <c r="E40" s="8"/>
      <c r="F40" s="8"/>
      <c r="G40" s="8">
        <v>0</v>
      </c>
      <c r="H40" s="8"/>
      <c r="I40" s="8"/>
      <c r="J40" s="8"/>
      <c r="K40" s="8">
        <v>0</v>
      </c>
      <c r="L40" s="8"/>
      <c r="M40" s="8"/>
      <c r="N40" s="8"/>
      <c r="O40" s="8">
        <v>11.875</v>
      </c>
      <c r="P40" s="8">
        <v>1</v>
      </c>
      <c r="Q40" s="8">
        <v>0.72099999999999997</v>
      </c>
      <c r="R40" s="8">
        <v>0.437</v>
      </c>
      <c r="S40" s="8">
        <v>0.26300000000000001</v>
      </c>
      <c r="T40" s="8">
        <v>1.1579999999999999</v>
      </c>
      <c r="U40" s="8"/>
      <c r="V40" s="8"/>
      <c r="W40" s="8"/>
    </row>
    <row r="41" spans="3:23" x14ac:dyDescent="0.25">
      <c r="C41" s="2" t="s">
        <v>178</v>
      </c>
      <c r="D41" s="8"/>
      <c r="E41" s="8"/>
      <c r="F41" s="8"/>
      <c r="G41" s="8">
        <v>1.2E-2</v>
      </c>
      <c r="H41" s="8">
        <v>1.2E-2</v>
      </c>
      <c r="I41" s="8">
        <v>0</v>
      </c>
      <c r="J41" s="8"/>
      <c r="K41" s="8">
        <v>1.2E-2</v>
      </c>
      <c r="L41" s="8">
        <v>1.2E-2</v>
      </c>
      <c r="M41" s="8">
        <v>2.278</v>
      </c>
      <c r="N41" s="8">
        <v>0</v>
      </c>
      <c r="O41" s="8">
        <v>0</v>
      </c>
      <c r="P41" s="8">
        <v>1</v>
      </c>
      <c r="Q41" s="8">
        <v>0</v>
      </c>
      <c r="R41" s="2">
        <v>0</v>
      </c>
      <c r="S41" s="8">
        <v>0</v>
      </c>
      <c r="T41" s="8">
        <v>53.55</v>
      </c>
      <c r="U41" s="8"/>
      <c r="V41" s="8"/>
      <c r="W41" s="8"/>
    </row>
    <row r="42" spans="3:23" x14ac:dyDescent="0.25">
      <c r="C42" s="2" t="s">
        <v>72</v>
      </c>
      <c r="D42" s="8"/>
      <c r="E42" s="8"/>
      <c r="F42" s="8"/>
      <c r="G42" s="8">
        <v>19.012</v>
      </c>
      <c r="H42" s="8">
        <v>96.608000000000004</v>
      </c>
      <c r="I42" s="8">
        <v>96.6</v>
      </c>
      <c r="J42" s="8"/>
      <c r="K42" s="8">
        <v>96.608000000000004</v>
      </c>
      <c r="L42" s="8">
        <v>209.13</v>
      </c>
      <c r="M42" s="8">
        <v>93.05</v>
      </c>
      <c r="N42" s="8">
        <v>91.853999999999999</v>
      </c>
      <c r="O42" s="8">
        <v>58.463999999999999</v>
      </c>
      <c r="P42" s="8">
        <v>94.1</v>
      </c>
      <c r="Q42" s="8">
        <v>53</v>
      </c>
      <c r="R42" s="8">
        <v>217.75700000000001</v>
      </c>
      <c r="S42" s="8">
        <v>151.679</v>
      </c>
      <c r="T42" s="8">
        <v>221.29499999999999</v>
      </c>
      <c r="U42" s="8"/>
      <c r="V42" s="8"/>
      <c r="W42" s="8"/>
    </row>
    <row r="43" spans="3:23" x14ac:dyDescent="0.25">
      <c r="C43" s="4" t="s">
        <v>73</v>
      </c>
      <c r="D43" s="21">
        <f t="shared" ref="D43:M43" si="64">SUM(D31:D42)</f>
        <v>0</v>
      </c>
      <c r="E43" s="21">
        <f t="shared" si="64"/>
        <v>0</v>
      </c>
      <c r="F43" s="21">
        <f t="shared" si="64"/>
        <v>0</v>
      </c>
      <c r="G43" s="21">
        <f t="shared" si="64"/>
        <v>670.03</v>
      </c>
      <c r="H43" s="21">
        <f t="shared" si="64"/>
        <v>1252.5599999999997</v>
      </c>
      <c r="I43" s="21">
        <f t="shared" si="64"/>
        <v>1252.5399999999997</v>
      </c>
      <c r="J43" s="21">
        <f t="shared" si="64"/>
        <v>0</v>
      </c>
      <c r="K43" s="21">
        <f t="shared" si="64"/>
        <v>1252.5599999999997</v>
      </c>
      <c r="L43" s="21">
        <f t="shared" si="64"/>
        <v>1484.0070000000001</v>
      </c>
      <c r="M43" s="21">
        <f t="shared" si="64"/>
        <v>1589.528</v>
      </c>
      <c r="N43" s="21">
        <f t="shared" ref="N43:T43" si="65">SUM(N31:N42)</f>
        <v>1827.5710000000001</v>
      </c>
      <c r="O43" s="21">
        <f t="shared" si="65"/>
        <v>1937.0160000000001</v>
      </c>
      <c r="P43" s="21">
        <f t="shared" si="65"/>
        <v>2464.2939999999999</v>
      </c>
      <c r="Q43" s="21">
        <f t="shared" si="65"/>
        <v>2769.2829999999999</v>
      </c>
      <c r="R43" s="21">
        <f t="shared" si="65"/>
        <v>3056.0619999999999</v>
      </c>
      <c r="S43" s="21">
        <f t="shared" si="65"/>
        <v>3416.6759999999995</v>
      </c>
      <c r="T43" s="21">
        <f t="shared" si="65"/>
        <v>3535.0239999999999</v>
      </c>
      <c r="U43" s="21"/>
      <c r="V43" s="21"/>
      <c r="W43" s="21"/>
    </row>
    <row r="44" spans="3:23" x14ac:dyDescent="0.25">
      <c r="C44" s="2" t="s">
        <v>76</v>
      </c>
      <c r="D44" s="8"/>
      <c r="E44" s="8"/>
      <c r="F44" s="8"/>
      <c r="G44" s="8">
        <v>26.574999999999999</v>
      </c>
      <c r="H44" s="8">
        <v>41.838999999999999</v>
      </c>
      <c r="I44" s="8">
        <v>41.838999999999999</v>
      </c>
      <c r="J44" s="8"/>
      <c r="K44" s="8">
        <v>41.838999999999999</v>
      </c>
      <c r="L44" s="8">
        <v>47.14</v>
      </c>
      <c r="M44" s="8">
        <v>47.143999999999998</v>
      </c>
      <c r="N44" s="8">
        <v>47.143999999999998</v>
      </c>
      <c r="O44" s="8">
        <v>47.143999999999998</v>
      </c>
      <c r="P44" s="8">
        <v>47.143999999999998</v>
      </c>
      <c r="Q44" s="8">
        <v>47.143999999999998</v>
      </c>
      <c r="R44" s="8">
        <v>47</v>
      </c>
      <c r="S44" s="8">
        <v>47.143999999999998</v>
      </c>
      <c r="T44" s="8">
        <v>51.841000000000001</v>
      </c>
      <c r="U44" s="8"/>
      <c r="V44" s="8"/>
      <c r="W44" s="8"/>
    </row>
    <row r="45" spans="3:23" x14ac:dyDescent="0.25">
      <c r="C45" s="2" t="s">
        <v>177</v>
      </c>
      <c r="D45" s="8"/>
      <c r="E45" s="8"/>
      <c r="F45" s="8"/>
      <c r="G45" s="8">
        <v>509.54199999999997</v>
      </c>
      <c r="H45" s="8">
        <v>952.85799999999995</v>
      </c>
      <c r="I45" s="8">
        <v>952.85799999999995</v>
      </c>
      <c r="J45" s="8"/>
      <c r="K45" s="8">
        <v>952.85799999999995</v>
      </c>
      <c r="L45" s="8">
        <v>1099.95</v>
      </c>
      <c r="M45" s="8">
        <v>1100.0029999999999</v>
      </c>
      <c r="N45" s="8">
        <v>1099.4949999999999</v>
      </c>
      <c r="O45" s="8">
        <v>1099.4949999999999</v>
      </c>
      <c r="P45" s="8">
        <v>1099.4949999999999</v>
      </c>
      <c r="Q45" s="8">
        <v>1099.4949999999999</v>
      </c>
      <c r="R45" s="8">
        <v>1099.4949999999999</v>
      </c>
      <c r="S45" s="8">
        <v>1099.4949999999999</v>
      </c>
      <c r="T45" s="8">
        <v>1265.2130999999999</v>
      </c>
      <c r="U45" s="8"/>
      <c r="V45" s="8"/>
      <c r="W45" s="8"/>
    </row>
    <row r="46" spans="3:23" x14ac:dyDescent="0.25">
      <c r="C46" s="2" t="s">
        <v>77</v>
      </c>
      <c r="D46" s="8"/>
      <c r="E46" s="8"/>
      <c r="F46" s="8"/>
      <c r="G46" s="8">
        <v>0</v>
      </c>
      <c r="J46" s="8"/>
      <c r="K46" s="8">
        <v>0</v>
      </c>
      <c r="L46" s="8"/>
      <c r="N46" s="8">
        <v>-1.2829999999999999</v>
      </c>
      <c r="O46" s="8">
        <v>-1.2829999999999999</v>
      </c>
      <c r="P46" s="8">
        <v>-1.2</v>
      </c>
      <c r="Q46" s="8">
        <v>-3</v>
      </c>
      <c r="R46" s="8">
        <v>-3</v>
      </c>
      <c r="S46" s="8">
        <v>-2.9990000000000001</v>
      </c>
      <c r="T46" s="8">
        <v>-3</v>
      </c>
      <c r="U46" s="8"/>
      <c r="V46" s="8"/>
      <c r="W46" s="8"/>
    </row>
    <row r="47" spans="3:23" x14ac:dyDescent="0.25">
      <c r="C47" s="2" t="s">
        <v>78</v>
      </c>
      <c r="D47" s="8"/>
      <c r="E47" s="8"/>
      <c r="F47" s="8"/>
      <c r="G47" s="8">
        <v>1.343</v>
      </c>
      <c r="H47" s="8">
        <v>-28.283000000000001</v>
      </c>
      <c r="I47" s="8">
        <v>-28.283000000000001</v>
      </c>
      <c r="J47" s="8"/>
      <c r="K47" s="8">
        <v>-28.283000000000001</v>
      </c>
      <c r="L47" s="8">
        <v>-4.0609999999999999</v>
      </c>
      <c r="M47" s="8">
        <v>10.696999999999999</v>
      </c>
      <c r="N47" s="8">
        <v>-34.57</v>
      </c>
      <c r="O47" s="8">
        <v>29.18</v>
      </c>
      <c r="P47" s="8">
        <v>18.399999999999999</v>
      </c>
      <c r="Q47" s="8">
        <v>-0.90600000000000003</v>
      </c>
      <c r="R47" s="8">
        <v>9</v>
      </c>
      <c r="S47" s="8">
        <v>18.422999999999998</v>
      </c>
      <c r="T47" s="8">
        <v>32.542000000000002</v>
      </c>
      <c r="U47" s="8"/>
      <c r="V47" s="8"/>
      <c r="W47" s="8"/>
    </row>
    <row r="48" spans="3:23" x14ac:dyDescent="0.25">
      <c r="C48" s="2" t="s">
        <v>79</v>
      </c>
      <c r="D48" s="8"/>
      <c r="E48" s="8"/>
      <c r="F48" s="8"/>
      <c r="G48" s="8">
        <v>3.1080000000000001</v>
      </c>
      <c r="H48" s="8">
        <v>-7.3730000000000002</v>
      </c>
      <c r="I48" s="8">
        <v>-7.3730000000000002</v>
      </c>
      <c r="J48" s="8"/>
      <c r="K48" s="8">
        <v>-7.3730000000000002</v>
      </c>
      <c r="L48" s="8">
        <v>-27.893999999999998</v>
      </c>
      <c r="M48" s="8">
        <v>-6.5289999999999999</v>
      </c>
      <c r="N48" s="8">
        <v>21.614000000000001</v>
      </c>
      <c r="O48" s="8">
        <v>59.357999999999997</v>
      </c>
      <c r="P48" s="8">
        <v>61.774999999999999</v>
      </c>
      <c r="Q48" s="8">
        <v>228.19300000000001</v>
      </c>
      <c r="R48" s="8">
        <v>293.31799999999998</v>
      </c>
      <c r="S48" s="8">
        <v>341.613</v>
      </c>
      <c r="T48" s="8">
        <v>335.22699999999998</v>
      </c>
      <c r="U48" s="8"/>
      <c r="V48" s="8"/>
      <c r="W48" s="8"/>
    </row>
    <row r="49" spans="3:23" x14ac:dyDescent="0.25">
      <c r="C49" s="9" t="s">
        <v>80</v>
      </c>
      <c r="D49" s="36">
        <f t="shared" ref="D49:M49" si="66">SUM(D44:D48)</f>
        <v>0</v>
      </c>
      <c r="E49" s="36">
        <f t="shared" si="66"/>
        <v>0</v>
      </c>
      <c r="F49" s="36">
        <f t="shared" si="66"/>
        <v>0</v>
      </c>
      <c r="G49" s="36">
        <f t="shared" si="66"/>
        <v>540.56799999999987</v>
      </c>
      <c r="H49" s="36">
        <f>SUM(H44:H48)</f>
        <v>959.04099999999983</v>
      </c>
      <c r="I49" s="36">
        <f t="shared" si="66"/>
        <v>959.04099999999983</v>
      </c>
      <c r="J49" s="36">
        <f t="shared" si="66"/>
        <v>0</v>
      </c>
      <c r="K49" s="36">
        <f t="shared" si="66"/>
        <v>959.04099999999983</v>
      </c>
      <c r="L49" s="36">
        <f>SUM(L44:L48)</f>
        <v>1115.1350000000002</v>
      </c>
      <c r="M49" s="36">
        <f t="shared" si="66"/>
        <v>1151.3149999999998</v>
      </c>
      <c r="N49" s="36">
        <f>SUM(N44:N48)</f>
        <v>1132.4000000000001</v>
      </c>
      <c r="O49" s="36">
        <f>SUM(O44:O48)</f>
        <v>1233.894</v>
      </c>
      <c r="P49" s="36">
        <f>SUM(P44:P48)</f>
        <v>1225.614</v>
      </c>
      <c r="Q49" s="36">
        <f t="shared" ref="Q49:R49" si="67">SUM(Q44:Q48)</f>
        <v>1370.9259999999999</v>
      </c>
      <c r="R49" s="36">
        <f t="shared" si="67"/>
        <v>1445.8129999999999</v>
      </c>
      <c r="S49" s="36">
        <f>SUM(S44:S48)</f>
        <v>1503.6759999999999</v>
      </c>
      <c r="T49" s="36">
        <f>SUM(T44:T48)</f>
        <v>1681.8230999999996</v>
      </c>
      <c r="U49" s="36"/>
      <c r="V49" s="36"/>
      <c r="W49" s="36"/>
    </row>
    <row r="50" spans="3:23" x14ac:dyDescent="0.25">
      <c r="C50" s="2" t="s">
        <v>81</v>
      </c>
      <c r="D50" s="8"/>
      <c r="E50" s="8"/>
      <c r="F50" s="8"/>
      <c r="G50" s="8">
        <v>0</v>
      </c>
      <c r="H50" s="8">
        <v>4.8129999999999997</v>
      </c>
      <c r="I50" s="8">
        <v>4.8129999999999997</v>
      </c>
      <c r="J50" s="8"/>
      <c r="K50" s="8">
        <v>4.8129999999999997</v>
      </c>
      <c r="L50" s="8">
        <v>4.8129999999999997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/>
      <c r="V50" s="8"/>
      <c r="W50" s="8"/>
    </row>
    <row r="51" spans="3:23" x14ac:dyDescent="0.25">
      <c r="C51" s="2" t="s">
        <v>82</v>
      </c>
      <c r="D51" s="8"/>
      <c r="E51" s="8"/>
      <c r="F51" s="8"/>
      <c r="G51" s="8">
        <v>0</v>
      </c>
      <c r="H51" s="8">
        <v>0.39200000000000002</v>
      </c>
      <c r="I51" s="8">
        <v>0.39200000000000002</v>
      </c>
      <c r="J51" s="8"/>
      <c r="K51" s="8">
        <v>0.39200000000000002</v>
      </c>
      <c r="L51" s="8">
        <v>9.8580000000000005</v>
      </c>
      <c r="M51" s="8">
        <v>9.859</v>
      </c>
      <c r="N51" s="8">
        <v>9.609</v>
      </c>
      <c r="O51" s="8">
        <v>9.6969999999999992</v>
      </c>
      <c r="P51" s="8">
        <v>10</v>
      </c>
      <c r="Q51" s="8">
        <v>10</v>
      </c>
      <c r="R51" s="8">
        <v>11.542</v>
      </c>
      <c r="S51" s="8">
        <v>12.481999999999999</v>
      </c>
      <c r="T51" s="8">
        <v>11.175000000000001</v>
      </c>
      <c r="U51" s="8"/>
      <c r="V51" s="8"/>
      <c r="W51" s="8"/>
    </row>
    <row r="52" spans="3:23" x14ac:dyDescent="0.25">
      <c r="C52" s="2" t="s">
        <v>83</v>
      </c>
      <c r="D52" s="8"/>
      <c r="E52" s="8"/>
      <c r="F52" s="8"/>
      <c r="G52" s="8">
        <v>0</v>
      </c>
      <c r="H52" s="8">
        <v>10.191000000000001</v>
      </c>
      <c r="I52" s="8">
        <v>10.191000000000001</v>
      </c>
      <c r="J52" s="8"/>
      <c r="K52" s="8">
        <v>10.191000000000001</v>
      </c>
      <c r="L52" s="8">
        <v>10.417</v>
      </c>
      <c r="M52" s="8">
        <v>11.236000000000001</v>
      </c>
      <c r="N52" s="8">
        <v>10.788</v>
      </c>
      <c r="O52" s="8">
        <v>11.972</v>
      </c>
      <c r="P52" s="8">
        <v>11.5</v>
      </c>
      <c r="Q52" s="8">
        <v>11.972</v>
      </c>
      <c r="R52" s="8">
        <v>13.77</v>
      </c>
      <c r="S52" s="8">
        <v>13.256</v>
      </c>
      <c r="T52" s="8">
        <v>12.885999999999999</v>
      </c>
      <c r="U52" s="8"/>
      <c r="V52" s="8"/>
      <c r="W52" s="8"/>
    </row>
    <row r="53" spans="3:23" x14ac:dyDescent="0.25">
      <c r="C53" s="2" t="s">
        <v>84</v>
      </c>
      <c r="D53" s="8"/>
      <c r="E53" s="8"/>
      <c r="F53" s="8"/>
      <c r="G53" s="8">
        <v>1.3260000000000001</v>
      </c>
      <c r="H53" s="8">
        <v>1.778</v>
      </c>
      <c r="I53" s="8">
        <v>1.778</v>
      </c>
      <c r="J53" s="8"/>
      <c r="K53" s="8">
        <v>1.778</v>
      </c>
      <c r="L53" s="8">
        <v>6.327</v>
      </c>
      <c r="M53" s="8">
        <v>1.734</v>
      </c>
      <c r="N53" s="8">
        <v>7.4649999999999999</v>
      </c>
      <c r="O53" s="8">
        <v>1.7470000000000001</v>
      </c>
      <c r="P53" s="8">
        <v>4</v>
      </c>
      <c r="Q53" s="8">
        <v>8.3369999999999997</v>
      </c>
      <c r="R53" s="8">
        <v>19</v>
      </c>
      <c r="S53" s="8">
        <v>30.901</v>
      </c>
      <c r="T53" s="8">
        <v>43.917999999999999</v>
      </c>
      <c r="U53" s="8"/>
      <c r="V53" s="8"/>
      <c r="W53" s="8"/>
    </row>
    <row r="54" spans="3:23" x14ac:dyDescent="0.25">
      <c r="C54" s="2" t="s">
        <v>85</v>
      </c>
      <c r="D54" s="8"/>
      <c r="E54" s="8"/>
      <c r="F54" s="8"/>
      <c r="G54" s="8">
        <v>114.23</v>
      </c>
      <c r="H54" s="8">
        <v>204.773</v>
      </c>
      <c r="I54" s="8">
        <v>204.773</v>
      </c>
      <c r="J54" s="8"/>
      <c r="K54" s="8">
        <v>204.773</v>
      </c>
      <c r="L54" s="8">
        <v>254.59100000000001</v>
      </c>
      <c r="M54" s="8">
        <v>335.02800000000002</v>
      </c>
      <c r="N54" s="8">
        <v>546.75300000000004</v>
      </c>
      <c r="O54" s="8">
        <v>539.85400000000004</v>
      </c>
      <c r="P54" s="8">
        <v>995.471</v>
      </c>
      <c r="Q54" s="8">
        <v>993.6</v>
      </c>
      <c r="R54" s="8">
        <v>1180.8230000000001</v>
      </c>
      <c r="S54" s="8">
        <v>1494.623</v>
      </c>
      <c r="T54" s="8">
        <v>1457.0340000000001</v>
      </c>
      <c r="U54" s="8"/>
      <c r="V54" s="8"/>
      <c r="W54" s="8"/>
    </row>
    <row r="55" spans="3:23" x14ac:dyDescent="0.25">
      <c r="C55" s="2" t="s">
        <v>86</v>
      </c>
      <c r="D55" s="8"/>
      <c r="E55" s="8"/>
      <c r="F55" s="8"/>
      <c r="G55" s="8">
        <v>2.1080000000000001</v>
      </c>
      <c r="H55" s="8">
        <v>17.957000000000001</v>
      </c>
      <c r="I55" s="8">
        <v>17.957000000000001</v>
      </c>
      <c r="J55" s="8"/>
      <c r="K55" s="8">
        <v>17.957000000000001</v>
      </c>
      <c r="L55" s="8">
        <v>8.3170000000000002</v>
      </c>
      <c r="M55" s="8">
        <v>3.609</v>
      </c>
      <c r="N55" s="8">
        <v>18.594999999999999</v>
      </c>
      <c r="O55" s="8">
        <v>16.204999999999998</v>
      </c>
      <c r="P55" s="8">
        <v>14</v>
      </c>
      <c r="Q55" s="8">
        <v>16.663</v>
      </c>
      <c r="R55" s="8">
        <v>13.611000000000001</v>
      </c>
      <c r="S55" s="8">
        <v>10.654</v>
      </c>
      <c r="T55" s="8">
        <v>2.6080000000000001</v>
      </c>
      <c r="U55" s="8"/>
      <c r="V55" s="8"/>
      <c r="W55" s="8"/>
    </row>
    <row r="56" spans="3:23" x14ac:dyDescent="0.25">
      <c r="C56" s="2" t="s">
        <v>87</v>
      </c>
      <c r="D56" s="8"/>
      <c r="E56" s="8"/>
      <c r="F56" s="8"/>
      <c r="G56" s="8">
        <v>8.8219999999999992</v>
      </c>
      <c r="H56" s="8">
        <v>32.636000000000003</v>
      </c>
      <c r="I56" s="8">
        <v>32.636000000000003</v>
      </c>
      <c r="J56" s="8"/>
      <c r="K56" s="8">
        <v>32.636000000000003</v>
      </c>
      <c r="L56" s="8">
        <v>49.115000000000002</v>
      </c>
      <c r="M56" s="8">
        <v>42.279000000000003</v>
      </c>
      <c r="N56" s="8">
        <v>37.744999999999997</v>
      </c>
      <c r="O56" s="8">
        <v>43.594999999999999</v>
      </c>
      <c r="P56" s="8">
        <v>36.250999999999998</v>
      </c>
      <c r="Q56" s="8">
        <v>52.237000000000002</v>
      </c>
      <c r="R56" s="8">
        <v>46.5</v>
      </c>
      <c r="S56" s="8">
        <v>98.207999999999998</v>
      </c>
      <c r="T56" s="8">
        <v>76.954999999999998</v>
      </c>
      <c r="U56" s="8"/>
      <c r="V56" s="8"/>
      <c r="W56" s="8"/>
    </row>
    <row r="57" spans="3:23" x14ac:dyDescent="0.25">
      <c r="C57" s="2" t="s">
        <v>88</v>
      </c>
      <c r="D57" s="8"/>
      <c r="E57" s="8"/>
      <c r="F57" s="8"/>
      <c r="G57" s="8">
        <v>0</v>
      </c>
      <c r="H57" s="8">
        <v>2.0859999999999999</v>
      </c>
      <c r="I57" s="8">
        <v>2</v>
      </c>
      <c r="J57" s="8"/>
      <c r="K57" s="8">
        <v>2.0859999999999999</v>
      </c>
      <c r="L57" s="8">
        <v>2.0859999999999999</v>
      </c>
      <c r="M57" s="8">
        <v>4.9939999999999998</v>
      </c>
      <c r="N57" s="8">
        <v>4.7990000000000004</v>
      </c>
      <c r="O57" s="8">
        <v>0.84099999999999997</v>
      </c>
      <c r="P57" s="8">
        <v>0.84099999999999997</v>
      </c>
      <c r="Q57" s="8">
        <v>0.84099999999999997</v>
      </c>
      <c r="R57" s="8">
        <v>0</v>
      </c>
      <c r="S57" s="8">
        <v>0</v>
      </c>
      <c r="T57" s="8">
        <v>0.127</v>
      </c>
      <c r="U57" s="8"/>
      <c r="V57" s="8"/>
      <c r="W57" s="8"/>
    </row>
    <row r="58" spans="3:23" x14ac:dyDescent="0.25">
      <c r="C58" s="2" t="s">
        <v>89</v>
      </c>
      <c r="D58" s="8"/>
      <c r="E58" s="8"/>
      <c r="F58" s="8"/>
      <c r="G58" s="8">
        <v>8.8999999999999996E-2</v>
      </c>
      <c r="H58" s="8">
        <v>0.16200000000000001</v>
      </c>
      <c r="I58" s="8">
        <v>0.16200000000000001</v>
      </c>
      <c r="J58" s="8"/>
      <c r="K58" s="8">
        <v>0.16200000000000001</v>
      </c>
      <c r="L58" s="8">
        <v>0.155</v>
      </c>
      <c r="M58" s="8">
        <v>7.9000000000000001E-2</v>
      </c>
      <c r="N58" s="8">
        <v>0.15</v>
      </c>
      <c r="O58" s="8">
        <v>0.223</v>
      </c>
      <c r="P58" s="8">
        <v>0.33500000000000002</v>
      </c>
      <c r="Q58" s="8">
        <v>0.2</v>
      </c>
      <c r="R58" s="8">
        <v>0.2</v>
      </c>
      <c r="S58" s="8">
        <v>0.27200000000000002</v>
      </c>
      <c r="T58" s="2">
        <v>0</v>
      </c>
      <c r="U58" s="8"/>
      <c r="V58" s="8"/>
      <c r="W58" s="8"/>
    </row>
    <row r="59" spans="3:23" x14ac:dyDescent="0.25">
      <c r="C59" s="2" t="s">
        <v>90</v>
      </c>
      <c r="D59" s="8"/>
      <c r="E59" s="8"/>
      <c r="F59" s="8"/>
      <c r="G59" s="8">
        <v>1.831</v>
      </c>
      <c r="H59" s="8">
        <v>12.103</v>
      </c>
      <c r="I59" s="8">
        <v>12.103</v>
      </c>
      <c r="J59" s="8"/>
      <c r="K59" s="8">
        <v>12.103</v>
      </c>
      <c r="L59" s="8">
        <v>16.821000000000002</v>
      </c>
      <c r="M59" s="8">
        <v>23.186</v>
      </c>
      <c r="N59" s="8">
        <v>22.76</v>
      </c>
      <c r="O59" s="8">
        <v>45.59</v>
      </c>
      <c r="P59" s="8">
        <v>98.441999999999993</v>
      </c>
      <c r="Q59" s="8">
        <v>79.983999999999995</v>
      </c>
      <c r="R59" s="8">
        <v>72.947000000000003</v>
      </c>
      <c r="S59" s="8">
        <v>128.71600000000001</v>
      </c>
      <c r="T59" s="8">
        <v>117.871</v>
      </c>
      <c r="U59" s="8"/>
      <c r="V59" s="8"/>
      <c r="W59" s="8"/>
    </row>
    <row r="60" spans="3:23" x14ac:dyDescent="0.25">
      <c r="C60" s="2" t="s">
        <v>91</v>
      </c>
      <c r="D60" s="8"/>
      <c r="E60" s="8"/>
      <c r="F60" s="8"/>
      <c r="G60" s="8">
        <v>0.27900000000000003</v>
      </c>
      <c r="H60" s="8">
        <v>0.60099999999999998</v>
      </c>
      <c r="I60" s="8">
        <v>0.60099999999999998</v>
      </c>
      <c r="J60" s="8"/>
      <c r="K60" s="8">
        <v>0.60099999999999998</v>
      </c>
      <c r="L60" s="8">
        <v>1.4179999999999999</v>
      </c>
      <c r="M60" s="8">
        <v>1.262</v>
      </c>
      <c r="N60" s="8">
        <v>1.155</v>
      </c>
      <c r="O60" s="8">
        <v>1.274</v>
      </c>
      <c r="P60" s="8">
        <v>0.83499999999999996</v>
      </c>
      <c r="Q60" s="8">
        <v>1.7</v>
      </c>
      <c r="R60" s="8">
        <v>1.2</v>
      </c>
      <c r="S60" s="8">
        <v>1.0569999999999999</v>
      </c>
      <c r="T60" s="8">
        <v>1.901</v>
      </c>
      <c r="U60" s="8"/>
      <c r="V60" s="8"/>
      <c r="W60" s="8"/>
    </row>
    <row r="61" spans="3:23" x14ac:dyDescent="0.25">
      <c r="C61" s="2" t="s">
        <v>92</v>
      </c>
      <c r="D61" s="8"/>
      <c r="E61" s="8"/>
      <c r="F61" s="8"/>
      <c r="G61" s="8">
        <v>5.0000000000000001E-3</v>
      </c>
      <c r="H61" s="8">
        <v>1.224</v>
      </c>
      <c r="I61" s="8">
        <v>1.224</v>
      </c>
      <c r="J61" s="8"/>
      <c r="K61" s="8">
        <v>1.224</v>
      </c>
      <c r="L61" s="8">
        <v>1.266</v>
      </c>
      <c r="M61" s="8">
        <v>0.48299999999999998</v>
      </c>
      <c r="N61" s="8">
        <v>0.36899999999999999</v>
      </c>
      <c r="O61" s="8">
        <v>0.752</v>
      </c>
      <c r="P61" s="8">
        <v>2.2999999999999998</v>
      </c>
      <c r="Q61" s="8">
        <v>3.8</v>
      </c>
      <c r="R61" s="8">
        <v>3.3</v>
      </c>
      <c r="S61" s="8">
        <v>3.6379999999999999</v>
      </c>
      <c r="T61" s="8">
        <v>41.52</v>
      </c>
      <c r="U61" s="8"/>
      <c r="V61" s="8"/>
      <c r="W61" s="8"/>
    </row>
    <row r="62" spans="3:23" x14ac:dyDescent="0.25">
      <c r="C62" s="2" t="s">
        <v>219</v>
      </c>
      <c r="D62" s="8"/>
      <c r="E62" s="8"/>
      <c r="F62" s="8"/>
      <c r="G62" s="8">
        <v>0.77200000000000002</v>
      </c>
      <c r="H62" s="8">
        <v>0.79900000000000004</v>
      </c>
      <c r="I62" s="8">
        <v>0.79900000000000004</v>
      </c>
      <c r="J62" s="8"/>
      <c r="K62" s="8">
        <v>0.79900000000000004</v>
      </c>
      <c r="L62" s="8">
        <v>3.2810000000000001</v>
      </c>
      <c r="M62" s="8">
        <v>4.3440000000000003</v>
      </c>
      <c r="N62" s="8">
        <v>32.567999999999998</v>
      </c>
      <c r="O62" s="8">
        <v>31.163</v>
      </c>
      <c r="P62" s="8">
        <v>63.735999999999997</v>
      </c>
      <c r="Q62" s="8">
        <v>204.785</v>
      </c>
      <c r="R62" s="8">
        <v>239.416</v>
      </c>
      <c r="S62" s="8">
        <v>116.131</v>
      </c>
      <c r="T62" s="8">
        <v>124.49299999999999</v>
      </c>
      <c r="U62" s="8"/>
      <c r="V62" s="8"/>
      <c r="W62" s="8"/>
    </row>
    <row r="63" spans="3:23" x14ac:dyDescent="0.25">
      <c r="C63" s="2" t="s">
        <v>93</v>
      </c>
      <c r="D63" s="8"/>
      <c r="E63" s="8"/>
      <c r="F63" s="8"/>
      <c r="G63" s="8">
        <v>0</v>
      </c>
      <c r="H63" s="8">
        <v>4.0039999999999996</v>
      </c>
      <c r="I63" s="8">
        <v>4.04</v>
      </c>
      <c r="J63" s="8"/>
      <c r="K63" s="8">
        <v>4.0039999999999996</v>
      </c>
      <c r="L63" s="8">
        <v>0.69099999999999995</v>
      </c>
      <c r="M63" s="8">
        <v>0.12</v>
      </c>
      <c r="N63" s="8">
        <v>2.415</v>
      </c>
      <c r="O63" s="8">
        <v>0.20899999999999999</v>
      </c>
      <c r="P63" s="8">
        <v>0.17</v>
      </c>
      <c r="Q63" s="8">
        <v>14.2</v>
      </c>
      <c r="R63" s="8">
        <v>7.5990000000000002</v>
      </c>
      <c r="S63" s="8">
        <v>3.0619999999999998</v>
      </c>
      <c r="T63" s="8">
        <v>0.59599999999999997</v>
      </c>
      <c r="U63" s="8"/>
      <c r="V63" s="8"/>
      <c r="W63" s="8"/>
    </row>
    <row r="64" spans="3:23" x14ac:dyDescent="0.25">
      <c r="C64" s="9" t="s">
        <v>94</v>
      </c>
      <c r="D64" s="36">
        <f t="shared" ref="D64:L64" si="68">SUM(D51:D63)</f>
        <v>0</v>
      </c>
      <c r="E64" s="36">
        <f t="shared" si="68"/>
        <v>0</v>
      </c>
      <c r="F64" s="36">
        <f t="shared" si="68"/>
        <v>0</v>
      </c>
      <c r="G64" s="36">
        <f t="shared" si="68"/>
        <v>129.46199999999999</v>
      </c>
      <c r="H64" s="36">
        <f t="shared" si="68"/>
        <v>288.70599999999996</v>
      </c>
      <c r="I64" s="36">
        <f t="shared" si="68"/>
        <v>288.65599999999995</v>
      </c>
      <c r="J64" s="36">
        <f t="shared" si="68"/>
        <v>0</v>
      </c>
      <c r="K64" s="36">
        <f t="shared" si="68"/>
        <v>288.70599999999996</v>
      </c>
      <c r="L64" s="36">
        <f t="shared" si="68"/>
        <v>364.34300000000002</v>
      </c>
      <c r="M64" s="36">
        <f>SUM(M51:M62)</f>
        <v>438.09300000000002</v>
      </c>
      <c r="N64" s="36">
        <f>SUM(N51:N63)</f>
        <v>695.17099999999994</v>
      </c>
      <c r="O64" s="36">
        <f>SUM(O51:O63)</f>
        <v>703.12199999999996</v>
      </c>
      <c r="P64" s="36">
        <f>SUM(P51:P63)</f>
        <v>1237.8810000000001</v>
      </c>
      <c r="Q64" s="36">
        <f t="shared" ref="Q64:R64" si="69">SUM(Q51:Q63)</f>
        <v>1398.319</v>
      </c>
      <c r="R64" s="36">
        <f t="shared" si="69"/>
        <v>1609.9079999999999</v>
      </c>
      <c r="S64" s="36">
        <f>SUM(S50:S63)</f>
        <v>1913</v>
      </c>
      <c r="T64" s="36">
        <f>SUM(T50:T63)</f>
        <v>1891.0840000000001</v>
      </c>
      <c r="U64" s="36"/>
      <c r="V64" s="36"/>
      <c r="W64" s="36"/>
    </row>
    <row r="65" spans="3:31" x14ac:dyDescent="0.25">
      <c r="C65" s="4" t="s">
        <v>95</v>
      </c>
      <c r="D65" s="21">
        <f t="shared" ref="D65:M65" si="70">D49+D64</f>
        <v>0</v>
      </c>
      <c r="E65" s="21">
        <f t="shared" si="70"/>
        <v>0</v>
      </c>
      <c r="F65" s="21">
        <f t="shared" si="70"/>
        <v>0</v>
      </c>
      <c r="G65" s="21">
        <f t="shared" si="70"/>
        <v>670.02999999999986</v>
      </c>
      <c r="H65" s="21">
        <f t="shared" si="70"/>
        <v>1247.7469999999998</v>
      </c>
      <c r="I65" s="21">
        <f>I49+I64</f>
        <v>1247.6969999999997</v>
      </c>
      <c r="J65" s="21">
        <f t="shared" si="70"/>
        <v>0</v>
      </c>
      <c r="K65" s="21">
        <f t="shared" si="70"/>
        <v>1247.7469999999998</v>
      </c>
      <c r="L65" s="21">
        <f t="shared" si="70"/>
        <v>1479.4780000000003</v>
      </c>
      <c r="M65" s="21">
        <f t="shared" si="70"/>
        <v>1589.4079999999999</v>
      </c>
      <c r="N65" s="21">
        <f>N49+N64</f>
        <v>1827.5709999999999</v>
      </c>
      <c r="O65" s="21">
        <f>O49+O64</f>
        <v>1937.0160000000001</v>
      </c>
      <c r="P65" s="21">
        <f>P49+P64</f>
        <v>2463.4949999999999</v>
      </c>
      <c r="Q65" s="21">
        <f t="shared" ref="Q65:S65" si="71">Q49+Q64</f>
        <v>2769.2449999999999</v>
      </c>
      <c r="R65" s="21">
        <f t="shared" si="71"/>
        <v>3055.7209999999995</v>
      </c>
      <c r="S65" s="21">
        <f t="shared" si="71"/>
        <v>3416.6759999999999</v>
      </c>
      <c r="T65" s="21">
        <f t="shared" ref="T65" si="72">T49+T64</f>
        <v>3572.9070999999994</v>
      </c>
      <c r="U65" s="21"/>
      <c r="V65" s="21"/>
      <c r="W65" s="21"/>
    </row>
    <row r="66" spans="3:31" x14ac:dyDescent="0.25">
      <c r="N66" s="8"/>
    </row>
    <row r="67" spans="3:31" x14ac:dyDescent="0.25">
      <c r="C67" s="1" t="s">
        <v>186</v>
      </c>
      <c r="N67" s="8"/>
    </row>
    <row r="68" spans="3:31" x14ac:dyDescent="0.25">
      <c r="C68" s="2" t="s">
        <v>188</v>
      </c>
      <c r="D68" s="8">
        <f t="shared" ref="D68:T68" si="73">D15</f>
        <v>0</v>
      </c>
      <c r="E68" s="8">
        <f t="shared" si="73"/>
        <v>0</v>
      </c>
      <c r="F68" s="8">
        <f t="shared" si="73"/>
        <v>0</v>
      </c>
      <c r="G68" s="8">
        <f t="shared" si="73"/>
        <v>0</v>
      </c>
      <c r="H68" s="8">
        <f t="shared" si="73"/>
        <v>2.6389999999999985</v>
      </c>
      <c r="I68" s="8">
        <f t="shared" si="73"/>
        <v>26.95</v>
      </c>
      <c r="J68" s="8">
        <f t="shared" si="73"/>
        <v>0.60999999999999988</v>
      </c>
      <c r="K68" s="8">
        <f t="shared" si="73"/>
        <v>0</v>
      </c>
      <c r="L68" s="8">
        <f t="shared" si="73"/>
        <v>-20.855999999999998</v>
      </c>
      <c r="M68" s="8">
        <f t="shared" si="73"/>
        <v>21.927</v>
      </c>
      <c r="N68" s="8">
        <f t="shared" si="73"/>
        <v>27.950000000000003</v>
      </c>
      <c r="O68" s="8">
        <f t="shared" si="73"/>
        <v>38.710000000000008</v>
      </c>
      <c r="P68" s="8">
        <f t="shared" si="73"/>
        <v>1.7640000000000022</v>
      </c>
      <c r="Q68" s="8">
        <f t="shared" si="73"/>
        <v>166.20700000000005</v>
      </c>
      <c r="R68" s="8">
        <f t="shared" si="73"/>
        <v>64.626999999999953</v>
      </c>
      <c r="S68" s="8">
        <f t="shared" si="73"/>
        <v>47.586000000000006</v>
      </c>
      <c r="T68" s="8">
        <f t="shared" si="73"/>
        <v>-6.9089999999999954</v>
      </c>
      <c r="U68" s="8"/>
      <c r="V68" s="8"/>
      <c r="W68" s="8"/>
      <c r="Y68" s="8">
        <f>Y15</f>
        <v>7.4510000000000041</v>
      </c>
      <c r="Z68" s="8">
        <f>Z15</f>
        <v>35.541000000000011</v>
      </c>
      <c r="AA68" s="8">
        <f>AA15</f>
        <v>11.498000000000005</v>
      </c>
      <c r="AB68" s="8">
        <f>AB15</f>
        <v>67.731000000000009</v>
      </c>
      <c r="AC68" s="8">
        <f>AC15</f>
        <v>279</v>
      </c>
    </row>
    <row r="69" spans="3:31" x14ac:dyDescent="0.25">
      <c r="C69" s="2" t="s">
        <v>187</v>
      </c>
      <c r="D69" s="8"/>
      <c r="E69" s="8"/>
      <c r="F69" s="8"/>
      <c r="G69" s="8"/>
      <c r="H69" s="8">
        <v>2</v>
      </c>
      <c r="I69" s="8">
        <v>27.588999999999999</v>
      </c>
      <c r="J69" s="8">
        <v>0.61</v>
      </c>
      <c r="K69" s="8">
        <v>-19.199000000000002</v>
      </c>
      <c r="L69" s="8">
        <v>-21</v>
      </c>
      <c r="M69" s="8">
        <v>21.152999999999999</v>
      </c>
      <c r="N69" s="8">
        <v>27.663</v>
      </c>
      <c r="O69" s="8">
        <v>37.183999999999997</v>
      </c>
      <c r="P69" s="8">
        <v>2</v>
      </c>
      <c r="Q69" s="2">
        <v>166</v>
      </c>
      <c r="R69" s="8">
        <v>64.347999999999999</v>
      </c>
      <c r="S69" s="8">
        <v>47.835999999999999</v>
      </c>
      <c r="U69" s="8"/>
      <c r="Y69" s="8">
        <v>7.4</v>
      </c>
      <c r="Z69" s="8">
        <v>36</v>
      </c>
      <c r="AA69" s="8">
        <v>11</v>
      </c>
      <c r="AB69" s="8">
        <f>65</f>
        <v>65</v>
      </c>
      <c r="AC69" s="2">
        <v>280</v>
      </c>
    </row>
    <row r="70" spans="3:31" x14ac:dyDescent="0.25">
      <c r="C70" s="2" t="s">
        <v>189</v>
      </c>
      <c r="D70" s="8"/>
      <c r="E70" s="8"/>
      <c r="F70" s="8"/>
      <c r="G70" s="8"/>
      <c r="H70" s="8">
        <v>5.9</v>
      </c>
      <c r="I70" s="8">
        <v>6.1630000000000003</v>
      </c>
      <c r="J70" s="8">
        <v>3.0670000000000002</v>
      </c>
      <c r="K70" s="8">
        <v>16.57</v>
      </c>
      <c r="L70" s="8">
        <v>10</v>
      </c>
      <c r="M70" s="8">
        <v>13.079000000000001</v>
      </c>
      <c r="N70" s="8">
        <v>9.9130000000000003</v>
      </c>
      <c r="O70" s="8">
        <v>26.007999999999999</v>
      </c>
      <c r="P70" s="8">
        <v>18.824000000000002</v>
      </c>
      <c r="Q70" s="8">
        <f>49.961-P70</f>
        <v>31.136999999999997</v>
      </c>
      <c r="R70" s="8">
        <v>24.634</v>
      </c>
      <c r="S70" s="8">
        <v>50.15</v>
      </c>
      <c r="U70" s="8"/>
      <c r="Y70" s="8">
        <v>16.399999999999999</v>
      </c>
      <c r="Z70" s="8">
        <v>23.9</v>
      </c>
      <c r="AA70" s="8">
        <v>31.7</v>
      </c>
      <c r="AB70" s="8">
        <v>59</v>
      </c>
      <c r="AC70" s="2">
        <v>125</v>
      </c>
    </row>
    <row r="71" spans="3:31" x14ac:dyDescent="0.25">
      <c r="C71" s="2" t="s">
        <v>205</v>
      </c>
      <c r="D71" s="8"/>
      <c r="E71" s="8"/>
      <c r="F71" s="8"/>
      <c r="G71" s="8"/>
      <c r="H71" s="8">
        <v>0.121</v>
      </c>
      <c r="I71" s="8">
        <v>0.28799999999999998</v>
      </c>
      <c r="J71" s="8">
        <v>0.33200000000000002</v>
      </c>
      <c r="K71" s="8">
        <v>-0.74099999999999999</v>
      </c>
      <c r="L71" s="8">
        <v>2.2999999999999998</v>
      </c>
      <c r="M71" s="8">
        <v>2.206</v>
      </c>
      <c r="N71" s="8">
        <v>-0.90800000000000003</v>
      </c>
      <c r="O71" s="8">
        <v>-0.39800000000000002</v>
      </c>
      <c r="P71" s="8">
        <f>-0.266+0.107+0.705</f>
        <v>0.54599999999999993</v>
      </c>
      <c r="Q71" s="2">
        <v>0</v>
      </c>
      <c r="R71" s="8">
        <v>0.02</v>
      </c>
      <c r="S71" s="8">
        <v>0</v>
      </c>
      <c r="U71" s="8"/>
      <c r="Y71" s="8">
        <v>4.5</v>
      </c>
      <c r="Z71" s="8">
        <v>0</v>
      </c>
      <c r="AA71" s="8">
        <v>0</v>
      </c>
      <c r="AB71" s="8">
        <v>3.2</v>
      </c>
      <c r="AC71" s="2">
        <v>1</v>
      </c>
    </row>
    <row r="72" spans="3:31" x14ac:dyDescent="0.25">
      <c r="C72" s="2" t="s">
        <v>190</v>
      </c>
      <c r="D72" s="8"/>
      <c r="E72" s="8"/>
      <c r="F72" s="8"/>
      <c r="G72" s="8"/>
      <c r="H72" s="8">
        <v>0.02</v>
      </c>
      <c r="I72" s="8">
        <v>-0.02</v>
      </c>
      <c r="J72" s="8">
        <v>-0.42099999999999999</v>
      </c>
      <c r="K72" s="8">
        <v>0.42099999999999999</v>
      </c>
      <c r="L72" s="8">
        <v>-0.4</v>
      </c>
      <c r="M72" s="8">
        <v>-3.0000000000000001E-3</v>
      </c>
      <c r="N72" s="8">
        <v>0</v>
      </c>
      <c r="O72" s="8">
        <v>0.40300000000000002</v>
      </c>
      <c r="P72" s="8">
        <v>0.19600000000000001</v>
      </c>
      <c r="Q72" s="2">
        <v>0</v>
      </c>
      <c r="R72" s="8">
        <v>-0.68200000000000005</v>
      </c>
      <c r="S72" s="8">
        <v>0</v>
      </c>
      <c r="U72" s="8"/>
      <c r="Y72" s="8">
        <v>0</v>
      </c>
      <c r="Z72" s="8">
        <v>0</v>
      </c>
      <c r="AA72" s="8">
        <v>0</v>
      </c>
      <c r="AB72" s="8">
        <v>0</v>
      </c>
      <c r="AC72" s="2">
        <v>0</v>
      </c>
    </row>
    <row r="73" spans="3:31" x14ac:dyDescent="0.25">
      <c r="C73" s="2" t="s">
        <v>191</v>
      </c>
      <c r="D73" s="21"/>
      <c r="E73" s="21"/>
      <c r="F73" s="21"/>
      <c r="G73" s="21"/>
      <c r="H73" s="21">
        <v>7.8E-2</v>
      </c>
      <c r="I73" s="21">
        <v>0.22900000000000001</v>
      </c>
      <c r="J73" s="21">
        <v>0.65200000000000002</v>
      </c>
      <c r="K73" s="21">
        <v>-0.95899999999999996</v>
      </c>
      <c r="L73" s="21">
        <v>0.27200000000000002</v>
      </c>
      <c r="M73" s="21">
        <v>0.41899999999999998</v>
      </c>
      <c r="N73" s="21">
        <v>0.48</v>
      </c>
      <c r="O73" s="21">
        <v>-1.171</v>
      </c>
      <c r="P73" s="8">
        <v>0.61899999999999999</v>
      </c>
      <c r="Q73" s="2">
        <v>0</v>
      </c>
      <c r="R73" s="8">
        <v>0.99299999999999999</v>
      </c>
      <c r="S73" s="8">
        <v>0</v>
      </c>
      <c r="U73" s="8"/>
      <c r="Y73" s="8">
        <v>-0.32100000000000001</v>
      </c>
      <c r="Z73" s="8">
        <v>0</v>
      </c>
      <c r="AA73" s="8">
        <v>0</v>
      </c>
      <c r="AB73" s="8">
        <v>0</v>
      </c>
      <c r="AC73" s="2">
        <v>2</v>
      </c>
    </row>
    <row r="74" spans="3:31" x14ac:dyDescent="0.25">
      <c r="C74" s="2" t="s">
        <v>192</v>
      </c>
      <c r="D74" s="8"/>
      <c r="E74" s="8"/>
      <c r="F74" s="8"/>
      <c r="G74" s="8"/>
      <c r="H74" s="8">
        <v>-3.38</v>
      </c>
      <c r="I74" s="8">
        <v>-20.608000000000001</v>
      </c>
      <c r="J74" s="8">
        <v>30.228000000000002</v>
      </c>
      <c r="K74" s="8">
        <v>13.86</v>
      </c>
      <c r="L74" s="8">
        <v>21.6</v>
      </c>
      <c r="M74" s="8">
        <v>-32.271000000000001</v>
      </c>
      <c r="N74" s="8">
        <v>-9.5920000000000005</v>
      </c>
      <c r="O74" s="8">
        <v>-12.25</v>
      </c>
      <c r="P74" s="8">
        <v>-4.444</v>
      </c>
      <c r="Q74" s="2">
        <v>-140</v>
      </c>
      <c r="R74" s="8">
        <v>118.752</v>
      </c>
      <c r="S74" s="8">
        <v>9.1010000000000009</v>
      </c>
      <c r="U74" s="8"/>
      <c r="Y74" s="8">
        <f>1.9</f>
        <v>1.9</v>
      </c>
      <c r="Z74" s="8">
        <v>-30.4</v>
      </c>
      <c r="AA74" s="8">
        <v>20.100000000000001</v>
      </c>
      <c r="AB74" s="8">
        <v>-32.512999999999998</v>
      </c>
      <c r="AC74" s="2">
        <v>-17</v>
      </c>
    </row>
    <row r="75" spans="3:31" x14ac:dyDescent="0.25">
      <c r="C75" s="2" t="s">
        <v>193</v>
      </c>
      <c r="D75" s="8"/>
      <c r="E75" s="8"/>
      <c r="F75" s="8"/>
      <c r="G75" s="8"/>
      <c r="H75" s="8">
        <v>0</v>
      </c>
      <c r="I75" s="8">
        <v>0</v>
      </c>
      <c r="J75" s="8">
        <v>0</v>
      </c>
      <c r="K75" s="8">
        <v>2E-3</v>
      </c>
      <c r="L75" s="8">
        <v>1.4999999999999999E-2</v>
      </c>
      <c r="M75" s="8">
        <v>-7.0000000000000007E-2</v>
      </c>
      <c r="N75" s="8">
        <v>-8.5999999999999993E-2</v>
      </c>
      <c r="O75" s="8">
        <v>-1.5589999999999999</v>
      </c>
      <c r="P75" s="8">
        <v>1.6</v>
      </c>
      <c r="Q75" s="2">
        <v>-4</v>
      </c>
      <c r="R75" s="8">
        <v>4.9770000000000003</v>
      </c>
      <c r="S75" s="8">
        <v>1.593</v>
      </c>
      <c r="U75" s="8"/>
      <c r="Y75" s="8">
        <v>0.158</v>
      </c>
      <c r="Z75" s="8">
        <v>-1.2999999999999999E-2</v>
      </c>
      <c r="AA75" s="8">
        <v>2E-3</v>
      </c>
      <c r="AB75" s="8">
        <v>-1.7</v>
      </c>
      <c r="AC75" s="2">
        <v>4</v>
      </c>
    </row>
    <row r="76" spans="3:31" x14ac:dyDescent="0.25">
      <c r="C76" s="4" t="s">
        <v>175</v>
      </c>
      <c r="D76" s="21">
        <f t="shared" ref="D76:T76" si="74">SUM(D69:D75)</f>
        <v>0</v>
      </c>
      <c r="E76" s="21">
        <f t="shared" si="74"/>
        <v>0</v>
      </c>
      <c r="F76" s="21">
        <f t="shared" si="74"/>
        <v>0</v>
      </c>
      <c r="G76" s="21">
        <f t="shared" si="74"/>
        <v>0</v>
      </c>
      <c r="H76" s="21">
        <f t="shared" si="74"/>
        <v>4.7389999999999999</v>
      </c>
      <c r="I76" s="21">
        <f t="shared" si="74"/>
        <v>13.640999999999988</v>
      </c>
      <c r="J76" s="21">
        <f t="shared" si="74"/>
        <v>34.468000000000004</v>
      </c>
      <c r="K76" s="21">
        <f t="shared" si="74"/>
        <v>9.9539999999999988</v>
      </c>
      <c r="L76" s="21">
        <f t="shared" si="74"/>
        <v>12.787000000000003</v>
      </c>
      <c r="M76" s="21">
        <f t="shared" si="74"/>
        <v>4.5129999999999981</v>
      </c>
      <c r="N76" s="21">
        <f t="shared" si="74"/>
        <v>27.47</v>
      </c>
      <c r="O76" s="21">
        <f t="shared" si="74"/>
        <v>48.216999999999992</v>
      </c>
      <c r="P76" s="21">
        <f t="shared" si="74"/>
        <v>19.341000000000005</v>
      </c>
      <c r="Q76" s="21">
        <f t="shared" si="74"/>
        <v>53.137</v>
      </c>
      <c r="R76" s="21">
        <f t="shared" si="74"/>
        <v>213.042</v>
      </c>
      <c r="S76" s="21">
        <f t="shared" si="74"/>
        <v>108.67999999999999</v>
      </c>
      <c r="T76" s="21">
        <f t="shared" si="74"/>
        <v>0</v>
      </c>
      <c r="U76" s="8"/>
      <c r="V76" s="21"/>
      <c r="W76" s="21"/>
      <c r="Y76" s="21">
        <f>SUM(Y69:Y75)</f>
        <v>30.036999999999995</v>
      </c>
      <c r="Z76" s="21">
        <f>SUM(Z69:Z75)</f>
        <v>29.486999999999998</v>
      </c>
      <c r="AA76" s="21">
        <f>SUM(AA69:AA75)</f>
        <v>62.802000000000007</v>
      </c>
      <c r="AB76" s="21">
        <f>SUM(AB69:AB75)</f>
        <v>92.987000000000009</v>
      </c>
      <c r="AC76" s="21">
        <f>SUM(AC69:AC75)</f>
        <v>395</v>
      </c>
    </row>
    <row r="77" spans="3:31" x14ac:dyDescent="0.25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R77" s="8"/>
      <c r="S77" s="8"/>
      <c r="U77" s="8"/>
      <c r="Y77" s="8"/>
      <c r="Z77" s="8"/>
      <c r="AA77" s="8"/>
      <c r="AB77" s="8"/>
    </row>
    <row r="78" spans="3:31" x14ac:dyDescent="0.25">
      <c r="C78" s="2" t="s">
        <v>194</v>
      </c>
      <c r="D78" s="8"/>
      <c r="E78" s="8"/>
      <c r="F78" s="8"/>
      <c r="G78" s="8"/>
      <c r="H78" s="8">
        <v>-7.9</v>
      </c>
      <c r="I78" s="8">
        <v>-7.6340000000000003</v>
      </c>
      <c r="J78" s="8">
        <v>-7.82</v>
      </c>
      <c r="K78" s="8">
        <v>-43.545000000000002</v>
      </c>
      <c r="L78" s="8">
        <v>-101.867</v>
      </c>
      <c r="M78" s="8">
        <v>-194.11199999999999</v>
      </c>
      <c r="N78" s="8">
        <v>-253.04499999999999</v>
      </c>
      <c r="O78" s="8">
        <v>-66.518000000000001</v>
      </c>
      <c r="P78" s="8">
        <v>-466.21699999999998</v>
      </c>
      <c r="Q78" s="8">
        <f>-672.217-P78</f>
        <v>-206</v>
      </c>
      <c r="R78" s="8">
        <v>-258.03899999999999</v>
      </c>
      <c r="S78" s="8">
        <v>-332.40199999999999</v>
      </c>
      <c r="U78" s="8"/>
      <c r="Y78" s="8">
        <v>-162.941</v>
      </c>
      <c r="Z78" s="8">
        <v>-224.60599999999999</v>
      </c>
      <c r="AA78" s="8">
        <v>-66.899000000000001</v>
      </c>
      <c r="AB78" s="8">
        <v>-615.54200000000003</v>
      </c>
      <c r="AC78" s="8">
        <v>-1263</v>
      </c>
      <c r="AD78" s="3">
        <v>-300</v>
      </c>
      <c r="AE78" s="2">
        <v>-250</v>
      </c>
    </row>
    <row r="79" spans="3:31" x14ac:dyDescent="0.25">
      <c r="C79" s="2" t="s">
        <v>195</v>
      </c>
      <c r="D79" s="8"/>
      <c r="E79" s="8"/>
      <c r="F79" s="8"/>
      <c r="G79" s="8"/>
      <c r="H79" s="8">
        <v>-3.9E-2</v>
      </c>
      <c r="I79" s="8">
        <v>-1E-3</v>
      </c>
      <c r="J79" s="8">
        <v>8.9999999999999993E-3</v>
      </c>
      <c r="K79" s="8">
        <v>12.202999999999999</v>
      </c>
      <c r="L79" s="8">
        <v>0</v>
      </c>
      <c r="M79" s="8">
        <v>-8.0000000000000002E-3</v>
      </c>
      <c r="N79" s="8">
        <v>-6.0999999999999999E-2</v>
      </c>
      <c r="O79" s="8">
        <v>-0.13500000000000001</v>
      </c>
      <c r="P79" s="8">
        <f>-0.492-0.077</f>
        <v>-0.56899999999999995</v>
      </c>
      <c r="Q79" s="2">
        <v>0</v>
      </c>
      <c r="R79" s="8">
        <v>-0.66200000000000003</v>
      </c>
      <c r="S79" s="8">
        <v>-0.27500000000000002</v>
      </c>
      <c r="U79" s="8"/>
      <c r="Y79" s="8">
        <v>-0.434</v>
      </c>
      <c r="Z79" s="8">
        <f>-0.228-0.574</f>
        <v>-0.80199999999999994</v>
      </c>
      <c r="AA79" s="8">
        <f>10.403+1.8-0.031</f>
        <v>12.172000000000001</v>
      </c>
      <c r="AB79" s="8">
        <f>-0.41+0.206</f>
        <v>-0.20399999999999999</v>
      </c>
      <c r="AC79" s="2">
        <v>2</v>
      </c>
    </row>
    <row r="80" spans="3:31" x14ac:dyDescent="0.25">
      <c r="C80" s="4" t="s">
        <v>176</v>
      </c>
      <c r="D80" s="21">
        <f t="shared" ref="D80:K80" si="75">SUM(D78:D79)</f>
        <v>0</v>
      </c>
      <c r="E80" s="21">
        <f t="shared" si="75"/>
        <v>0</v>
      </c>
      <c r="F80" s="21">
        <f t="shared" si="75"/>
        <v>0</v>
      </c>
      <c r="G80" s="21">
        <f t="shared" si="75"/>
        <v>0</v>
      </c>
      <c r="H80" s="21">
        <f t="shared" si="75"/>
        <v>-7.9390000000000001</v>
      </c>
      <c r="I80" s="21">
        <f t="shared" si="75"/>
        <v>-7.6350000000000007</v>
      </c>
      <c r="J80" s="21">
        <f t="shared" si="75"/>
        <v>-7.8109999999999999</v>
      </c>
      <c r="K80" s="21">
        <f t="shared" si="75"/>
        <v>-31.342000000000002</v>
      </c>
      <c r="L80" s="21">
        <f>SUM(L78:L79)</f>
        <v>-101.867</v>
      </c>
      <c r="M80" s="21">
        <f t="shared" ref="M80:T80" si="76">SUM(M78:M79)</f>
        <v>-194.12</v>
      </c>
      <c r="N80" s="21">
        <f t="shared" si="76"/>
        <v>-253.10599999999999</v>
      </c>
      <c r="O80" s="21">
        <f t="shared" si="76"/>
        <v>-66.653000000000006</v>
      </c>
      <c r="P80" s="21">
        <f t="shared" si="76"/>
        <v>-466.786</v>
      </c>
      <c r="Q80" s="21">
        <f t="shared" si="76"/>
        <v>-206</v>
      </c>
      <c r="R80" s="21">
        <f t="shared" si="76"/>
        <v>-258.70099999999996</v>
      </c>
      <c r="S80" s="21">
        <f t="shared" si="76"/>
        <v>-332.67699999999996</v>
      </c>
      <c r="T80" s="21">
        <f t="shared" si="76"/>
        <v>0</v>
      </c>
      <c r="U80" s="8"/>
      <c r="V80" s="21"/>
      <c r="W80" s="21"/>
      <c r="X80" s="21"/>
      <c r="Y80" s="21">
        <f t="shared" ref="Y80" si="77">SUM(Y78:Y79)</f>
        <v>-163.375</v>
      </c>
      <c r="Z80" s="21">
        <f t="shared" ref="Z80" si="78">SUM(Z78:Z79)</f>
        <v>-225.40799999999999</v>
      </c>
      <c r="AA80" s="21">
        <f t="shared" ref="AA80" si="79">SUM(AA78:AA79)</f>
        <v>-54.727000000000004</v>
      </c>
      <c r="AB80" s="21">
        <f t="shared" ref="AB80:AC80" si="80">SUM(AB78:AB79)</f>
        <v>-615.74599999999998</v>
      </c>
      <c r="AC80" s="21">
        <f t="shared" si="80"/>
        <v>-1261</v>
      </c>
    </row>
    <row r="81" spans="3:29" x14ac:dyDescent="0.2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R81" s="8"/>
      <c r="S81" s="8"/>
      <c r="U81" s="8"/>
      <c r="Y81" s="8"/>
      <c r="Z81" s="8"/>
      <c r="AA81" s="8"/>
      <c r="AB81" s="8"/>
    </row>
    <row r="82" spans="3:29" x14ac:dyDescent="0.25">
      <c r="C82" s="2" t="s">
        <v>196</v>
      </c>
      <c r="D82" s="8"/>
      <c r="E82" s="8"/>
      <c r="F82" s="8"/>
      <c r="G82" s="8"/>
      <c r="H82" s="8">
        <v>-0.10299999999999999</v>
      </c>
      <c r="I82" s="8">
        <v>-9.6000000000000002E-2</v>
      </c>
      <c r="J82" s="8">
        <v>-0.06</v>
      </c>
      <c r="K82" s="8">
        <v>-0.30099999999999999</v>
      </c>
      <c r="L82" s="8">
        <v>-0.34399999999999997</v>
      </c>
      <c r="M82" s="8">
        <v>-0.53200000000000003</v>
      </c>
      <c r="N82" s="8">
        <v>-0.45400000000000001</v>
      </c>
      <c r="O82" s="8">
        <v>-0.56999999999999995</v>
      </c>
      <c r="P82" s="8">
        <v>-0.79</v>
      </c>
      <c r="Q82" s="2">
        <v>0</v>
      </c>
      <c r="R82" s="8">
        <v>-0.92700000000000005</v>
      </c>
      <c r="S82" s="8">
        <v>-0.35599999999999998</v>
      </c>
      <c r="U82" s="8"/>
      <c r="Y82" s="8">
        <v>-0.28499999999999998</v>
      </c>
      <c r="Z82" s="8">
        <v>-0.22800000000000001</v>
      </c>
      <c r="AA82" s="8">
        <v>-0.56000000000000005</v>
      </c>
      <c r="AB82" s="8">
        <v>-1.9</v>
      </c>
      <c r="AC82" s="2">
        <v>-2</v>
      </c>
    </row>
    <row r="83" spans="3:29" x14ac:dyDescent="0.25">
      <c r="C83" s="2" t="s">
        <v>197</v>
      </c>
      <c r="D83" s="8"/>
      <c r="E83" s="8"/>
      <c r="F83" s="8"/>
      <c r="G83" s="8"/>
      <c r="H83" s="8">
        <v>-1.38</v>
      </c>
      <c r="I83" s="8">
        <v>-1.1870000000000001</v>
      </c>
      <c r="J83" s="8">
        <v>-3.105</v>
      </c>
      <c r="K83" s="8">
        <v>-1.4279999999999999</v>
      </c>
      <c r="L83" s="8">
        <v>-1.34</v>
      </c>
      <c r="M83" s="8">
        <v>-4.1449999999999996</v>
      </c>
      <c r="N83" s="8">
        <v>-7.726</v>
      </c>
      <c r="O83" s="8">
        <v>-6.4779999999999998</v>
      </c>
      <c r="P83" s="8">
        <v>-3.7</v>
      </c>
      <c r="Q83" s="2">
        <v>-17</v>
      </c>
      <c r="R83" s="8">
        <v>-13.045</v>
      </c>
      <c r="S83" s="8">
        <v>-24.701000000000001</v>
      </c>
      <c r="U83" s="8"/>
      <c r="Y83" s="8">
        <v>-3.9</v>
      </c>
      <c r="Z83" s="8">
        <v>-4.2</v>
      </c>
      <c r="AA83" s="8">
        <v>-7.1</v>
      </c>
      <c r="AB83" s="8">
        <v>-19.689</v>
      </c>
      <c r="AC83" s="2">
        <v>-58</v>
      </c>
    </row>
    <row r="84" spans="3:29" x14ac:dyDescent="0.25">
      <c r="C84" s="2" t="s">
        <v>198</v>
      </c>
      <c r="D84" s="8"/>
      <c r="E84" s="8"/>
      <c r="F84" s="8"/>
      <c r="G84" s="8"/>
      <c r="H84" s="8">
        <v>0</v>
      </c>
      <c r="I84" s="8">
        <v>0</v>
      </c>
      <c r="J84" s="8">
        <v>0</v>
      </c>
      <c r="K84" s="8">
        <v>0</v>
      </c>
      <c r="L84" s="8">
        <v>154.86799999999999</v>
      </c>
      <c r="M84" s="8">
        <v>8.7999999999999995E-2</v>
      </c>
      <c r="N84" s="8">
        <v>0</v>
      </c>
      <c r="O84" s="8">
        <v>-2E-3</v>
      </c>
      <c r="P84" s="8">
        <v>0</v>
      </c>
      <c r="R84" s="8">
        <v>0</v>
      </c>
      <c r="S84" s="8">
        <v>0</v>
      </c>
      <c r="U84" s="8"/>
      <c r="Y84" s="8">
        <v>79.218000000000004</v>
      </c>
      <c r="Z84" s="8">
        <v>183.25</v>
      </c>
      <c r="AA84" s="8">
        <v>0</v>
      </c>
      <c r="AB84" s="8">
        <v>154.95400000000001</v>
      </c>
      <c r="AC84" s="2">
        <v>0</v>
      </c>
    </row>
    <row r="85" spans="3:29" x14ac:dyDescent="0.25">
      <c r="C85" s="2" t="s">
        <v>199</v>
      </c>
      <c r="D85" s="8"/>
      <c r="E85" s="8"/>
      <c r="F85" s="8"/>
      <c r="G85" s="8"/>
      <c r="H85" s="8">
        <v>0</v>
      </c>
      <c r="I85" s="8">
        <v>0</v>
      </c>
      <c r="J85" s="8">
        <v>-3.1349999999999998</v>
      </c>
      <c r="K85" s="8">
        <v>-3.7650000000000001</v>
      </c>
      <c r="L85" s="8">
        <v>-2.4</v>
      </c>
      <c r="M85" s="8">
        <v>-0.106</v>
      </c>
      <c r="N85" s="8">
        <v>-1.7909999999999999</v>
      </c>
      <c r="O85" s="8">
        <v>1.2969999999999999</v>
      </c>
      <c r="P85" s="8">
        <v>0</v>
      </c>
      <c r="Q85" s="2">
        <v>-2</v>
      </c>
      <c r="R85" s="8">
        <v>0.28399999999999997</v>
      </c>
      <c r="S85" s="8">
        <v>0</v>
      </c>
      <c r="U85" s="8"/>
      <c r="Y85" s="8">
        <v>-2.1</v>
      </c>
      <c r="Z85" s="8">
        <v>-5.0999999999999996</v>
      </c>
      <c r="AA85" s="8">
        <v>-6.9</v>
      </c>
      <c r="AB85" s="8">
        <v>-3</v>
      </c>
      <c r="AC85" s="2">
        <v>-2</v>
      </c>
    </row>
    <row r="86" spans="3:29" x14ac:dyDescent="0.25">
      <c r="C86" s="2" t="s">
        <v>200</v>
      </c>
      <c r="D86" s="8"/>
      <c r="E86" s="8"/>
      <c r="F86" s="8"/>
      <c r="G86" s="8"/>
      <c r="H86" s="8">
        <v>0</v>
      </c>
      <c r="I86" s="8">
        <v>0</v>
      </c>
      <c r="J86" s="8">
        <v>0</v>
      </c>
      <c r="K86" s="8">
        <v>84.935000000000002</v>
      </c>
      <c r="L86" s="8">
        <v>50</v>
      </c>
      <c r="M86" s="8">
        <v>78.286000000000001</v>
      </c>
      <c r="N86" s="8">
        <v>241.16900000000001</v>
      </c>
      <c r="O86" s="8">
        <v>-17.579999999999998</v>
      </c>
      <c r="P86" s="8">
        <f>-0.705+494.749-7.5</f>
        <v>486.54400000000004</v>
      </c>
      <c r="Q86" s="8">
        <f>644-P86</f>
        <v>157.45599999999996</v>
      </c>
      <c r="R86" s="8">
        <v>238.589</v>
      </c>
      <c r="S86" s="8">
        <v>426.61700000000002</v>
      </c>
      <c r="U86" s="8"/>
      <c r="Y86" s="8">
        <f>8.9-10</f>
        <v>-1.0999999999999996</v>
      </c>
      <c r="Z86" s="8">
        <f>113.459+16-65-25</f>
        <v>39.459000000000003</v>
      </c>
      <c r="AA86" s="8">
        <f>199.935-115</f>
        <v>84.935000000000002</v>
      </c>
      <c r="AB86" s="8">
        <f>-1.2-2.3+365.975-10.6</f>
        <v>351.875</v>
      </c>
      <c r="AC86" s="8">
        <v>1309</v>
      </c>
    </row>
    <row r="87" spans="3:29" x14ac:dyDescent="0.25">
      <c r="C87" s="2" t="s">
        <v>220</v>
      </c>
      <c r="D87" s="8"/>
      <c r="E87" s="8"/>
      <c r="F87" s="8"/>
      <c r="G87" s="8"/>
      <c r="H87" s="8"/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-3.125</v>
      </c>
      <c r="O87" s="8">
        <v>0</v>
      </c>
      <c r="P87" s="8">
        <v>0</v>
      </c>
      <c r="Q87" s="8">
        <v>-23</v>
      </c>
      <c r="R87" s="8">
        <v>-17.152000000000001</v>
      </c>
      <c r="S87" s="8">
        <v>-239.12899999999999</v>
      </c>
      <c r="U87" s="8"/>
      <c r="Y87" s="8"/>
      <c r="Z87" s="8"/>
      <c r="AA87" s="8"/>
      <c r="AB87" s="8"/>
      <c r="AC87" s="2">
        <v>-279</v>
      </c>
    </row>
    <row r="88" spans="3:29" x14ac:dyDescent="0.25">
      <c r="C88" s="4" t="s">
        <v>201</v>
      </c>
      <c r="D88" s="21">
        <f t="shared" ref="D88:H88" si="81">SUM(D82:D86)</f>
        <v>0</v>
      </c>
      <c r="E88" s="21">
        <f t="shared" si="81"/>
        <v>0</v>
      </c>
      <c r="F88" s="21">
        <f t="shared" si="81"/>
        <v>0</v>
      </c>
      <c r="G88" s="21">
        <f t="shared" si="81"/>
        <v>0</v>
      </c>
      <c r="H88" s="21">
        <f t="shared" si="81"/>
        <v>-1.4829999999999999</v>
      </c>
      <c r="I88" s="21">
        <f t="shared" ref="I88:T88" si="82">SUM(I82:I87)</f>
        <v>-1.2830000000000001</v>
      </c>
      <c r="J88" s="21">
        <f t="shared" si="82"/>
        <v>-6.3</v>
      </c>
      <c r="K88" s="21">
        <f t="shared" si="82"/>
        <v>79.441000000000003</v>
      </c>
      <c r="L88" s="21">
        <f t="shared" si="82"/>
        <v>200.78399999999999</v>
      </c>
      <c r="M88" s="21">
        <f t="shared" si="82"/>
        <v>73.591000000000008</v>
      </c>
      <c r="N88" s="21">
        <f t="shared" si="82"/>
        <v>228.07300000000001</v>
      </c>
      <c r="O88" s="21">
        <f t="shared" si="82"/>
        <v>-23.332999999999998</v>
      </c>
      <c r="P88" s="21">
        <f t="shared" si="82"/>
        <v>482.05400000000003</v>
      </c>
      <c r="Q88" s="21">
        <f t="shared" si="82"/>
        <v>115.45599999999996</v>
      </c>
      <c r="R88" s="21">
        <f t="shared" si="82"/>
        <v>207.74900000000002</v>
      </c>
      <c r="S88" s="21">
        <f t="shared" si="82"/>
        <v>162.43100000000001</v>
      </c>
      <c r="T88" s="21">
        <f t="shared" si="82"/>
        <v>0</v>
      </c>
      <c r="U88" s="8"/>
      <c r="V88" s="21"/>
      <c r="W88" s="21"/>
      <c r="Y88" s="21">
        <f>SUM(Y82:Y86)</f>
        <v>71.833000000000013</v>
      </c>
      <c r="Z88" s="21">
        <f>SUM(Z82:Z86)</f>
        <v>213.18100000000001</v>
      </c>
      <c r="AA88" s="21">
        <f>SUM(AA82:AA86)</f>
        <v>70.375</v>
      </c>
      <c r="AB88" s="21">
        <f>SUM(AB82:AB86)</f>
        <v>482.24</v>
      </c>
      <c r="AC88" s="21">
        <f>SUM(AC82:AC87)</f>
        <v>968</v>
      </c>
    </row>
    <row r="89" spans="3:29" x14ac:dyDescent="0.2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R89" s="8"/>
      <c r="S89" s="8"/>
      <c r="U89" s="8"/>
      <c r="Y89" s="8"/>
      <c r="Z89" s="8"/>
      <c r="AA89" s="8"/>
      <c r="AB89" s="8"/>
    </row>
    <row r="90" spans="3:29" x14ac:dyDescent="0.25">
      <c r="C90" s="2" t="s">
        <v>202</v>
      </c>
      <c r="D90" s="8"/>
      <c r="E90" s="8"/>
      <c r="F90" s="8"/>
      <c r="G90" s="8"/>
      <c r="H90" s="8">
        <v>0</v>
      </c>
      <c r="I90" s="8"/>
      <c r="J90" s="8"/>
      <c r="K90" s="8">
        <v>-1.3</v>
      </c>
      <c r="L90" s="8">
        <v>0.56100000000000005</v>
      </c>
      <c r="M90" s="8">
        <v>0.193</v>
      </c>
      <c r="N90" s="8">
        <v>-3.6339999999999999</v>
      </c>
      <c r="O90" s="8">
        <v>4.88</v>
      </c>
      <c r="P90" s="8">
        <v>0</v>
      </c>
      <c r="Q90" s="2">
        <v>0</v>
      </c>
      <c r="R90" s="8"/>
      <c r="S90" s="8">
        <v>2.7</v>
      </c>
      <c r="U90" s="8"/>
      <c r="Y90" s="8"/>
      <c r="Z90" s="8">
        <v>0</v>
      </c>
      <c r="AA90" s="8">
        <v>-1.3</v>
      </c>
      <c r="AB90" s="8">
        <v>2</v>
      </c>
      <c r="AC90" s="2">
        <v>3</v>
      </c>
    </row>
    <row r="91" spans="3:29" x14ac:dyDescent="0.2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43" t="s">
        <v>206</v>
      </c>
      <c r="R91" s="8"/>
      <c r="S91" s="8"/>
      <c r="U91" s="8"/>
      <c r="Y91" s="8"/>
      <c r="Z91" s="8"/>
      <c r="AA91" s="8"/>
      <c r="AB91" s="8"/>
    </row>
    <row r="92" spans="3:29" x14ac:dyDescent="0.25">
      <c r="C92" s="2" t="s">
        <v>203</v>
      </c>
      <c r="D92" s="8">
        <f t="shared" ref="D92:S92" si="83">D76+D80+D88+D90</f>
        <v>0</v>
      </c>
      <c r="E92" s="8">
        <f t="shared" si="83"/>
        <v>0</v>
      </c>
      <c r="F92" s="8">
        <f t="shared" si="83"/>
        <v>0</v>
      </c>
      <c r="G92" s="8">
        <f t="shared" si="83"/>
        <v>0</v>
      </c>
      <c r="H92" s="8">
        <f t="shared" si="83"/>
        <v>-4.6829999999999998</v>
      </c>
      <c r="I92" s="8">
        <f t="shared" si="83"/>
        <v>4.7229999999999865</v>
      </c>
      <c r="J92" s="8">
        <f t="shared" si="83"/>
        <v>20.357000000000003</v>
      </c>
      <c r="K92" s="8">
        <f t="shared" si="83"/>
        <v>56.753</v>
      </c>
      <c r="L92" s="8">
        <f t="shared" si="83"/>
        <v>112.265</v>
      </c>
      <c r="M92" s="8">
        <f t="shared" si="83"/>
        <v>-115.82299999999999</v>
      </c>
      <c r="N92" s="8">
        <f t="shared" si="83"/>
        <v>-1.1969999999999881</v>
      </c>
      <c r="O92" s="8">
        <f t="shared" si="83"/>
        <v>-36.88900000000001</v>
      </c>
      <c r="P92" s="8">
        <f t="shared" si="83"/>
        <v>34.609000000000037</v>
      </c>
      <c r="Q92" s="8">
        <f t="shared" si="83"/>
        <v>-37.407000000000039</v>
      </c>
      <c r="R92" s="8">
        <f t="shared" si="83"/>
        <v>162.09000000000006</v>
      </c>
      <c r="S92" s="8">
        <f t="shared" si="83"/>
        <v>-58.865999999999943</v>
      </c>
      <c r="T92" s="8">
        <f t="shared" ref="T92" si="84">T76+T80+T88+T90</f>
        <v>0</v>
      </c>
      <c r="U92" s="8"/>
      <c r="V92" s="8"/>
      <c r="W92" s="8"/>
      <c r="Y92" s="8">
        <f>Y76+Y80+Y88+Y90</f>
        <v>-61.504999999999981</v>
      </c>
      <c r="Z92" s="8">
        <f>Z76+Z80+Z88+Z90</f>
        <v>17.260000000000019</v>
      </c>
      <c r="AA92" s="8">
        <f>AA76+AA80+AA88+AA90</f>
        <v>77.150000000000006</v>
      </c>
      <c r="AB92" s="8">
        <f>AB76+AB80+AB88+AB90</f>
        <v>-38.519000000000005</v>
      </c>
      <c r="AC92" s="8">
        <f>AC76+AC80+AC88+AC90</f>
        <v>105</v>
      </c>
    </row>
    <row r="93" spans="3:29" x14ac:dyDescent="0.2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Y93" s="8"/>
      <c r="Z93" s="8"/>
      <c r="AA93" s="8"/>
      <c r="AB93" s="8"/>
      <c r="AC93" s="8"/>
    </row>
    <row r="94" spans="3:29" x14ac:dyDescent="0.25">
      <c r="C94" s="2" t="s">
        <v>204</v>
      </c>
      <c r="D94" s="8">
        <f t="shared" ref="D94:K94" si="85">D76+D78</f>
        <v>0</v>
      </c>
      <c r="E94" s="8">
        <f t="shared" si="85"/>
        <v>0</v>
      </c>
      <c r="F94" s="8">
        <f t="shared" si="85"/>
        <v>0</v>
      </c>
      <c r="G94" s="8">
        <f t="shared" si="85"/>
        <v>0</v>
      </c>
      <c r="H94" s="8">
        <f t="shared" si="85"/>
        <v>-3.1610000000000005</v>
      </c>
      <c r="I94" s="8">
        <f t="shared" si="85"/>
        <v>6.0069999999999872</v>
      </c>
      <c r="J94" s="8">
        <f t="shared" si="85"/>
        <v>26.648000000000003</v>
      </c>
      <c r="K94" s="8">
        <f t="shared" si="85"/>
        <v>-33.591000000000001</v>
      </c>
      <c r="L94" s="8">
        <f>L76+L78</f>
        <v>-89.08</v>
      </c>
      <c r="M94" s="8">
        <f t="shared" ref="M94:O94" si="86">M76+M78</f>
        <v>-189.59899999999999</v>
      </c>
      <c r="N94" s="8">
        <f t="shared" si="86"/>
        <v>-225.57499999999999</v>
      </c>
      <c r="O94" s="8">
        <f t="shared" si="86"/>
        <v>-18.301000000000009</v>
      </c>
      <c r="P94" s="8">
        <f t="shared" ref="P94:S94" si="87">P76+P78</f>
        <v>-446.87599999999998</v>
      </c>
      <c r="Q94" s="8">
        <f t="shared" si="87"/>
        <v>-152.863</v>
      </c>
      <c r="R94" s="8">
        <f t="shared" si="87"/>
        <v>-44.996999999999986</v>
      </c>
      <c r="S94" s="8">
        <f t="shared" si="87"/>
        <v>-223.72199999999998</v>
      </c>
      <c r="T94" s="8">
        <f t="shared" ref="T94" si="88">T76+T78</f>
        <v>0</v>
      </c>
      <c r="U94" s="8"/>
      <c r="V94" s="8"/>
      <c r="W94" s="8"/>
      <c r="Y94" s="8">
        <f t="shared" ref="Y94:AA94" si="89">Y76+Y78</f>
        <v>-132.904</v>
      </c>
      <c r="Z94" s="8">
        <f t="shared" si="89"/>
        <v>-195.119</v>
      </c>
      <c r="AA94" s="8">
        <f t="shared" si="89"/>
        <v>-4.0969999999999942</v>
      </c>
      <c r="AB94" s="8">
        <f>AB76+AB78</f>
        <v>-522.55500000000006</v>
      </c>
      <c r="AC94" s="8">
        <f>AC76+AC78</f>
        <v>-868</v>
      </c>
    </row>
    <row r="95" spans="3:29" x14ac:dyDescent="0.2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Y95" s="8"/>
      <c r="Z95" s="8"/>
      <c r="AA95" s="8"/>
      <c r="AB95" s="8"/>
    </row>
    <row r="96" spans="3:29" x14ac:dyDescent="0.25">
      <c r="N96" s="8"/>
      <c r="Y96" s="8"/>
      <c r="Z96" s="8"/>
      <c r="AA96" s="8"/>
      <c r="AB96" s="8"/>
    </row>
    <row r="97" spans="14:28" x14ac:dyDescent="0.25">
      <c r="N97" s="8"/>
      <c r="Y97" s="8"/>
      <c r="Z97" s="8"/>
      <c r="AA97" s="8"/>
      <c r="AB97" s="8"/>
    </row>
    <row r="98" spans="14:28" x14ac:dyDescent="0.25">
      <c r="N98" s="8"/>
      <c r="Y98" s="8"/>
      <c r="Z98" s="8"/>
      <c r="AA98" s="8"/>
      <c r="AB98" s="8"/>
    </row>
    <row r="99" spans="14:28" x14ac:dyDescent="0.25">
      <c r="N99" s="8"/>
      <c r="Y99" s="8"/>
      <c r="Z99" s="8"/>
      <c r="AA99" s="8"/>
      <c r="AB99" s="8"/>
    </row>
    <row r="100" spans="14:28" x14ac:dyDescent="0.25">
      <c r="N100" s="8"/>
      <c r="Y100" s="8"/>
      <c r="Z100" s="8"/>
      <c r="AA100" s="8"/>
      <c r="AB100" s="8"/>
    </row>
    <row r="101" spans="14:28" x14ac:dyDescent="0.25">
      <c r="N101" s="8"/>
    </row>
    <row r="102" spans="14:28" x14ac:dyDescent="0.25">
      <c r="N102" s="8"/>
    </row>
    <row r="103" spans="14:28" x14ac:dyDescent="0.25">
      <c r="N103" s="8"/>
    </row>
    <row r="104" spans="14:28" x14ac:dyDescent="0.25">
      <c r="N104" s="8"/>
    </row>
    <row r="105" spans="14:28" x14ac:dyDescent="0.25">
      <c r="N105" s="8"/>
    </row>
    <row r="106" spans="14:28" x14ac:dyDescent="0.25">
      <c r="N106" s="8"/>
    </row>
    <row r="107" spans="14:28" x14ac:dyDescent="0.25">
      <c r="N107" s="8"/>
    </row>
    <row r="108" spans="14:28" x14ac:dyDescent="0.25">
      <c r="N108" s="8"/>
    </row>
    <row r="109" spans="14:28" x14ac:dyDescent="0.25">
      <c r="N109" s="8"/>
    </row>
    <row r="110" spans="14:28" x14ac:dyDescent="0.25">
      <c r="N110" s="8"/>
    </row>
    <row r="111" spans="14:28" x14ac:dyDescent="0.25">
      <c r="N111" s="8"/>
    </row>
    <row r="112" spans="14:28" x14ac:dyDescent="0.25">
      <c r="N112" s="8"/>
    </row>
    <row r="113" spans="14:14" x14ac:dyDescent="0.25">
      <c r="N113" s="8"/>
    </row>
    <row r="114" spans="14:14" x14ac:dyDescent="0.25">
      <c r="N114" s="8"/>
    </row>
    <row r="115" spans="14:14" x14ac:dyDescent="0.25">
      <c r="N115" s="8"/>
    </row>
    <row r="116" spans="14:14" x14ac:dyDescent="0.25">
      <c r="N116" s="8"/>
    </row>
    <row r="117" spans="14:14" x14ac:dyDescent="0.25">
      <c r="N117" s="8"/>
    </row>
    <row r="118" spans="14:14" x14ac:dyDescent="0.25">
      <c r="N118" s="8"/>
    </row>
    <row r="119" spans="14:14" x14ac:dyDescent="0.25">
      <c r="N119" s="8"/>
    </row>
    <row r="120" spans="14:14" x14ac:dyDescent="0.25">
      <c r="N120" s="8"/>
    </row>
    <row r="121" spans="14:14" x14ac:dyDescent="0.25">
      <c r="N121" s="8"/>
    </row>
    <row r="122" spans="14:14" x14ac:dyDescent="0.25">
      <c r="N122" s="8"/>
    </row>
    <row r="123" spans="14:14" x14ac:dyDescent="0.25">
      <c r="N123" s="8"/>
    </row>
    <row r="124" spans="14:14" x14ac:dyDescent="0.25">
      <c r="N124" s="8"/>
    </row>
    <row r="125" spans="14:14" x14ac:dyDescent="0.25">
      <c r="N125" s="8"/>
    </row>
    <row r="126" spans="14:14" x14ac:dyDescent="0.25">
      <c r="N126" s="8"/>
    </row>
    <row r="127" spans="14:14" x14ac:dyDescent="0.25">
      <c r="N127" s="8"/>
    </row>
    <row r="128" spans="14:14" x14ac:dyDescent="0.25">
      <c r="N128" s="8"/>
    </row>
    <row r="129" spans="14:14" x14ac:dyDescent="0.25">
      <c r="N129" s="8"/>
    </row>
    <row r="130" spans="14:14" x14ac:dyDescent="0.25">
      <c r="N130" s="8"/>
    </row>
    <row r="131" spans="14:14" x14ac:dyDescent="0.25">
      <c r="N131" s="8"/>
    </row>
    <row r="132" spans="14:14" x14ac:dyDescent="0.25">
      <c r="N132" s="8"/>
    </row>
    <row r="133" spans="14:14" x14ac:dyDescent="0.25">
      <c r="N133" s="8"/>
    </row>
    <row r="134" spans="14:14" x14ac:dyDescent="0.25">
      <c r="N134" s="8"/>
    </row>
    <row r="135" spans="14:14" x14ac:dyDescent="0.25">
      <c r="N135" s="8"/>
    </row>
    <row r="136" spans="14:14" x14ac:dyDescent="0.25">
      <c r="N136" s="8"/>
    </row>
    <row r="137" spans="14:14" x14ac:dyDescent="0.25">
      <c r="N137" s="8"/>
    </row>
    <row r="138" spans="14:14" x14ac:dyDescent="0.25">
      <c r="N138" s="8"/>
    </row>
    <row r="139" spans="14:14" x14ac:dyDescent="0.25">
      <c r="N139" s="8"/>
    </row>
    <row r="140" spans="14:14" x14ac:dyDescent="0.25">
      <c r="N140" s="8"/>
    </row>
    <row r="141" spans="14:14" x14ac:dyDescent="0.25">
      <c r="N141" s="8"/>
    </row>
    <row r="142" spans="14:14" x14ac:dyDescent="0.25">
      <c r="N142" s="8"/>
    </row>
    <row r="143" spans="14:14" x14ac:dyDescent="0.25">
      <c r="N143" s="8"/>
    </row>
    <row r="144" spans="14:14" x14ac:dyDescent="0.25">
      <c r="N144" s="8"/>
    </row>
    <row r="145" spans="14:14" x14ac:dyDescent="0.25">
      <c r="N145" s="8"/>
    </row>
    <row r="146" spans="14:14" x14ac:dyDescent="0.25">
      <c r="N146" s="8"/>
    </row>
    <row r="147" spans="14:14" x14ac:dyDescent="0.25">
      <c r="N147" s="8"/>
    </row>
    <row r="148" spans="14:14" x14ac:dyDescent="0.25">
      <c r="N148" s="8"/>
    </row>
    <row r="149" spans="14:14" x14ac:dyDescent="0.25">
      <c r="N149" s="8"/>
    </row>
    <row r="150" spans="14:14" x14ac:dyDescent="0.25">
      <c r="N150" s="8"/>
    </row>
    <row r="151" spans="14:14" x14ac:dyDescent="0.25">
      <c r="N151" s="8"/>
    </row>
    <row r="152" spans="14:14" x14ac:dyDescent="0.25">
      <c r="N152" s="8"/>
    </row>
    <row r="153" spans="14:14" x14ac:dyDescent="0.25">
      <c r="N153" s="8"/>
    </row>
    <row r="154" spans="14:14" x14ac:dyDescent="0.25">
      <c r="N154" s="8"/>
    </row>
    <row r="155" spans="14:14" x14ac:dyDescent="0.25">
      <c r="N155" s="8"/>
    </row>
    <row r="156" spans="14:14" x14ac:dyDescent="0.25">
      <c r="N156" s="8"/>
    </row>
    <row r="157" spans="14:14" x14ac:dyDescent="0.25">
      <c r="N157" s="8"/>
    </row>
    <row r="158" spans="14:14" x14ac:dyDescent="0.25">
      <c r="N158" s="8"/>
    </row>
    <row r="159" spans="14:14" x14ac:dyDescent="0.25">
      <c r="N159" s="8"/>
    </row>
    <row r="160" spans="14:14" x14ac:dyDescent="0.25">
      <c r="N160" s="8"/>
    </row>
    <row r="161" spans="14:14" x14ac:dyDescent="0.25">
      <c r="N161" s="8"/>
    </row>
    <row r="162" spans="14:14" x14ac:dyDescent="0.25">
      <c r="N162" s="8"/>
    </row>
    <row r="163" spans="14:14" x14ac:dyDescent="0.25">
      <c r="N163" s="8"/>
    </row>
    <row r="164" spans="14:14" x14ac:dyDescent="0.25">
      <c r="N164" s="8"/>
    </row>
    <row r="165" spans="14:14" x14ac:dyDescent="0.25">
      <c r="N165" s="8"/>
    </row>
    <row r="166" spans="14:14" x14ac:dyDescent="0.25">
      <c r="N166" s="8"/>
    </row>
    <row r="167" spans="14:14" x14ac:dyDescent="0.25">
      <c r="N167" s="8"/>
    </row>
    <row r="168" spans="14:14" x14ac:dyDescent="0.25">
      <c r="N168" s="8"/>
    </row>
    <row r="169" spans="14:14" x14ac:dyDescent="0.25">
      <c r="N169" s="8"/>
    </row>
    <row r="170" spans="14:14" x14ac:dyDescent="0.25">
      <c r="N170" s="8"/>
    </row>
    <row r="171" spans="14:14" x14ac:dyDescent="0.25">
      <c r="N171" s="8"/>
    </row>
    <row r="172" spans="14:14" x14ac:dyDescent="0.25">
      <c r="N172" s="8"/>
    </row>
    <row r="173" spans="14:14" x14ac:dyDescent="0.25">
      <c r="N173" s="8"/>
    </row>
    <row r="174" spans="14:14" x14ac:dyDescent="0.25">
      <c r="N174" s="8"/>
    </row>
    <row r="175" spans="14:14" x14ac:dyDescent="0.25">
      <c r="N175" s="8"/>
    </row>
    <row r="176" spans="14:14" x14ac:dyDescent="0.25">
      <c r="N176" s="8"/>
    </row>
    <row r="177" spans="14:14" x14ac:dyDescent="0.25">
      <c r="N177" s="8"/>
    </row>
    <row r="178" spans="14:14" x14ac:dyDescent="0.25">
      <c r="N178" s="8"/>
    </row>
    <row r="179" spans="14:14" x14ac:dyDescent="0.25">
      <c r="N179" s="8"/>
    </row>
    <row r="180" spans="14:14" x14ac:dyDescent="0.25">
      <c r="N180" s="8"/>
    </row>
    <row r="181" spans="14:14" x14ac:dyDescent="0.25">
      <c r="N181" s="8"/>
    </row>
    <row r="182" spans="14:14" x14ac:dyDescent="0.25">
      <c r="N182" s="8"/>
    </row>
    <row r="183" spans="14:14" x14ac:dyDescent="0.25">
      <c r="N183" s="8"/>
    </row>
    <row r="184" spans="14:14" x14ac:dyDescent="0.25">
      <c r="N184" s="8"/>
    </row>
    <row r="185" spans="14:14" x14ac:dyDescent="0.25">
      <c r="N185" s="8"/>
    </row>
    <row r="186" spans="14:14" x14ac:dyDescent="0.25">
      <c r="N186" s="8"/>
    </row>
    <row r="187" spans="14:14" x14ac:dyDescent="0.25">
      <c r="N187" s="8"/>
    </row>
    <row r="188" spans="14:14" x14ac:dyDescent="0.25">
      <c r="N188" s="8"/>
    </row>
    <row r="189" spans="14:14" x14ac:dyDescent="0.25">
      <c r="N189" s="8"/>
    </row>
    <row r="190" spans="14:14" x14ac:dyDescent="0.25">
      <c r="N190" s="8"/>
    </row>
    <row r="191" spans="14:14" x14ac:dyDescent="0.25">
      <c r="N191" s="8"/>
    </row>
    <row r="192" spans="14:14" x14ac:dyDescent="0.25">
      <c r="N192" s="8"/>
    </row>
    <row r="193" spans="14:14" x14ac:dyDescent="0.25">
      <c r="N193" s="8"/>
    </row>
    <row r="194" spans="14:14" x14ac:dyDescent="0.25">
      <c r="N194" s="8"/>
    </row>
    <row r="195" spans="14:14" x14ac:dyDescent="0.25">
      <c r="N195" s="8"/>
    </row>
    <row r="196" spans="14:14" x14ac:dyDescent="0.25">
      <c r="N196" s="8"/>
    </row>
    <row r="197" spans="14:14" x14ac:dyDescent="0.25">
      <c r="N197" s="8"/>
    </row>
    <row r="198" spans="14:14" x14ac:dyDescent="0.25">
      <c r="N198" s="8"/>
    </row>
    <row r="199" spans="14:14" x14ac:dyDescent="0.25">
      <c r="N199" s="8"/>
    </row>
    <row r="200" spans="14:14" x14ac:dyDescent="0.25">
      <c r="N200" s="8"/>
    </row>
    <row r="201" spans="14:14" x14ac:dyDescent="0.25">
      <c r="N201" s="8"/>
    </row>
    <row r="202" spans="14:14" x14ac:dyDescent="0.25">
      <c r="N202" s="8"/>
    </row>
    <row r="203" spans="14:14" x14ac:dyDescent="0.25">
      <c r="N203" s="8"/>
    </row>
    <row r="204" spans="14:14" x14ac:dyDescent="0.25">
      <c r="N204" s="8"/>
    </row>
    <row r="205" spans="14:14" x14ac:dyDescent="0.25">
      <c r="N205" s="8"/>
    </row>
    <row r="206" spans="14:14" x14ac:dyDescent="0.25">
      <c r="N206" s="8"/>
    </row>
    <row r="207" spans="14:14" x14ac:dyDescent="0.25">
      <c r="N207" s="8"/>
    </row>
    <row r="208" spans="14:14" x14ac:dyDescent="0.25">
      <c r="N208" s="8"/>
    </row>
    <row r="209" spans="14:14" x14ac:dyDescent="0.25">
      <c r="N209" s="8"/>
    </row>
    <row r="210" spans="14:14" x14ac:dyDescent="0.25">
      <c r="N210" s="8"/>
    </row>
    <row r="211" spans="14:14" x14ac:dyDescent="0.25">
      <c r="N211" s="8"/>
    </row>
    <row r="212" spans="14:14" x14ac:dyDescent="0.25">
      <c r="N212" s="8"/>
    </row>
    <row r="213" spans="14:14" x14ac:dyDescent="0.25">
      <c r="N213" s="8"/>
    </row>
    <row r="214" spans="14:14" x14ac:dyDescent="0.25">
      <c r="N214" s="8"/>
    </row>
    <row r="215" spans="14:14" x14ac:dyDescent="0.25">
      <c r="N215" s="8"/>
    </row>
    <row r="216" spans="14:14" x14ac:dyDescent="0.25">
      <c r="N216" s="8"/>
    </row>
    <row r="217" spans="14:14" x14ac:dyDescent="0.25">
      <c r="N217" s="8"/>
    </row>
    <row r="218" spans="14:14" x14ac:dyDescent="0.25">
      <c r="N218" s="8"/>
    </row>
    <row r="219" spans="14:14" x14ac:dyDescent="0.25">
      <c r="N219" s="8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A3A6-3437-C44D-8681-BBAC0A234C8E}">
  <dimension ref="E7:H10"/>
  <sheetViews>
    <sheetView showGridLines="0" topLeftCell="C1" workbookViewId="0">
      <selection activeCell="F9" sqref="F9"/>
    </sheetView>
  </sheetViews>
  <sheetFormatPr baseColWidth="10" defaultRowHeight="16" x14ac:dyDescent="0.2"/>
  <cols>
    <col min="5" max="5" width="57.6640625" bestFit="1" customWidth="1"/>
    <col min="6" max="9" width="27.83203125" bestFit="1" customWidth="1"/>
  </cols>
  <sheetData>
    <row r="7" spans="5:8" ht="92" x14ac:dyDescent="1">
      <c r="E7" s="22"/>
      <c r="F7" s="24">
        <v>2026</v>
      </c>
      <c r="G7" s="24">
        <v>2027</v>
      </c>
      <c r="H7" s="24">
        <v>2028</v>
      </c>
    </row>
    <row r="8" spans="5:8" ht="92" x14ac:dyDescent="1">
      <c r="E8" s="24" t="s">
        <v>119</v>
      </c>
      <c r="F8" s="23">
        <f>Modell!$B$9/(Modell!AD8*Modell!$B$12)</f>
        <v>8.8102678597560971</v>
      </c>
      <c r="G8" s="23">
        <f>Modell!$B$9/(Modell!AE8*Modell!$B$12)</f>
        <v>6.0288906325627964</v>
      </c>
      <c r="H8" s="23">
        <f>Modell!$B$9/(Modell!AF8*Modell!$B$12)</f>
        <v>5.7324152625419051</v>
      </c>
    </row>
    <row r="9" spans="5:8" ht="92" x14ac:dyDescent="1">
      <c r="E9" s="24" t="s">
        <v>116</v>
      </c>
      <c r="F9" s="23">
        <f>Modell!$B$9/(Modell!AD10*Modell!$B$12)</f>
        <v>11.65228975</v>
      </c>
      <c r="G9" s="23">
        <f>Modell!$B$9/(Modell!AE10*Modell!$B$12)</f>
        <v>7.309946013356269</v>
      </c>
      <c r="H9" s="23">
        <f>Modell!$B$9/(Modell!AF10*Modell!$B$12)</f>
        <v>6.9480605371354374</v>
      </c>
    </row>
    <row r="10" spans="5:8" ht="92" x14ac:dyDescent="1">
      <c r="E10" s="24" t="s">
        <v>117</v>
      </c>
      <c r="F10" s="23">
        <f>Modell!$B$4/Modell!AD17</f>
        <v>8.5302190246212106</v>
      </c>
      <c r="G10" s="23">
        <f>Modell!$B$4/Modell!AE17</f>
        <v>6.3572631388025531</v>
      </c>
      <c r="H10" s="23">
        <f>Modell!$B$4/Modell!AF17</f>
        <v>6.0163081023931211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0DAC-43E0-5044-95D3-312A56BDA480}">
  <dimension ref="B4:J54"/>
  <sheetViews>
    <sheetView showGridLines="0" zoomScale="80" zoomScaleNormal="80" workbookViewId="0">
      <selection activeCell="I47" sqref="I47"/>
    </sheetView>
  </sheetViews>
  <sheetFormatPr baseColWidth="10" defaultRowHeight="19" x14ac:dyDescent="0.25"/>
  <cols>
    <col min="1" max="1" width="10.83203125" style="2"/>
    <col min="2" max="2" width="14.6640625" style="2" bestFit="1" customWidth="1"/>
    <col min="3" max="3" width="19" style="2" customWidth="1"/>
    <col min="4" max="4" width="17.5" style="2" bestFit="1" customWidth="1"/>
    <col min="5" max="5" width="18.1640625" style="2" bestFit="1" customWidth="1"/>
    <col min="6" max="6" width="24.83203125" style="2" customWidth="1"/>
    <col min="7" max="7" width="35" style="2" bestFit="1" customWidth="1"/>
    <col min="8" max="8" width="44.1640625" style="2" bestFit="1" customWidth="1"/>
    <col min="9" max="9" width="37.1640625" style="2" bestFit="1" customWidth="1"/>
    <col min="10" max="10" width="12.1640625" style="2" bestFit="1" customWidth="1"/>
    <col min="11" max="16384" width="10.83203125" style="2"/>
  </cols>
  <sheetData>
    <row r="4" spans="2:10" x14ac:dyDescent="0.25">
      <c r="B4" s="4" t="s">
        <v>260</v>
      </c>
    </row>
    <row r="6" spans="2:10" ht="40" x14ac:dyDescent="0.25">
      <c r="B6" s="4" t="s">
        <v>148</v>
      </c>
      <c r="C6" s="4" t="s">
        <v>223</v>
      </c>
      <c r="D6" s="4" t="s">
        <v>224</v>
      </c>
      <c r="E6" s="4" t="s">
        <v>228</v>
      </c>
      <c r="F6" s="44" t="s">
        <v>229</v>
      </c>
      <c r="G6" s="4" t="s">
        <v>248</v>
      </c>
      <c r="H6" s="4" t="s">
        <v>249</v>
      </c>
      <c r="I6" s="4" t="s">
        <v>250</v>
      </c>
      <c r="J6" s="4" t="s">
        <v>230</v>
      </c>
    </row>
    <row r="7" spans="2:10" x14ac:dyDescent="0.25">
      <c r="B7" s="2" t="s">
        <v>8</v>
      </c>
      <c r="C7" s="52">
        <v>1</v>
      </c>
      <c r="D7" s="2" t="s">
        <v>24</v>
      </c>
      <c r="E7" s="2">
        <v>2012</v>
      </c>
      <c r="F7" s="29" t="s">
        <v>245</v>
      </c>
      <c r="G7" s="29">
        <v>166</v>
      </c>
      <c r="H7" s="29">
        <v>54</v>
      </c>
      <c r="I7" s="29">
        <v>56</v>
      </c>
      <c r="J7" s="2">
        <f>SUM(H7:I7)</f>
        <v>110</v>
      </c>
    </row>
    <row r="8" spans="2:10" x14ac:dyDescent="0.25">
      <c r="B8" s="2" t="s">
        <v>9</v>
      </c>
      <c r="C8" s="52">
        <v>1</v>
      </c>
      <c r="D8" s="2" t="s">
        <v>25</v>
      </c>
      <c r="E8" s="2">
        <v>2015</v>
      </c>
      <c r="F8" s="29" t="s">
        <v>246</v>
      </c>
      <c r="G8" s="29">
        <v>258</v>
      </c>
      <c r="H8" s="29">
        <v>111</v>
      </c>
      <c r="I8" s="29">
        <v>145</v>
      </c>
      <c r="J8" s="2">
        <f t="shared" ref="J8:J18" si="0">SUM(H8:I8)</f>
        <v>256</v>
      </c>
    </row>
    <row r="9" spans="2:10" x14ac:dyDescent="0.25">
      <c r="B9" s="2" t="s">
        <v>10</v>
      </c>
      <c r="C9" s="52">
        <v>1</v>
      </c>
      <c r="D9" s="2" t="s">
        <v>26</v>
      </c>
      <c r="E9" s="2">
        <v>2013</v>
      </c>
      <c r="F9" s="29" t="s">
        <v>246</v>
      </c>
      <c r="G9" s="29">
        <v>313</v>
      </c>
      <c r="H9" s="29">
        <v>168</v>
      </c>
      <c r="I9" s="29">
        <v>158</v>
      </c>
      <c r="J9" s="2">
        <f t="shared" si="0"/>
        <v>326</v>
      </c>
    </row>
    <row r="10" spans="2:10" x14ac:dyDescent="0.25">
      <c r="B10" s="2" t="s">
        <v>11</v>
      </c>
      <c r="C10" s="52">
        <v>1</v>
      </c>
      <c r="D10" s="2" t="s">
        <v>26</v>
      </c>
      <c r="E10" s="2">
        <v>2012</v>
      </c>
      <c r="F10" s="29" t="s">
        <v>246</v>
      </c>
      <c r="G10" s="29">
        <v>313</v>
      </c>
      <c r="H10" s="29">
        <v>157</v>
      </c>
      <c r="I10" s="29">
        <v>135</v>
      </c>
      <c r="J10" s="2">
        <f t="shared" si="0"/>
        <v>292</v>
      </c>
    </row>
    <row r="11" spans="2:10" x14ac:dyDescent="0.25">
      <c r="B11" s="2" t="s">
        <v>268</v>
      </c>
      <c r="C11" s="52">
        <v>1</v>
      </c>
      <c r="D11" s="2" t="s">
        <v>209</v>
      </c>
      <c r="F11" s="29"/>
      <c r="G11" s="29"/>
      <c r="H11" s="29"/>
      <c r="I11" s="29"/>
      <c r="J11" s="2">
        <v>250</v>
      </c>
    </row>
    <row r="12" spans="2:10" x14ac:dyDescent="0.25">
      <c r="B12" s="2" t="s">
        <v>12</v>
      </c>
      <c r="C12" s="52">
        <v>1</v>
      </c>
      <c r="D12" s="2" t="s">
        <v>27</v>
      </c>
      <c r="E12" s="2">
        <v>2025</v>
      </c>
      <c r="F12" s="29" t="s">
        <v>247</v>
      </c>
      <c r="G12" s="29">
        <v>391</v>
      </c>
      <c r="H12" s="29">
        <v>293</v>
      </c>
      <c r="I12" s="29">
        <v>161</v>
      </c>
      <c r="J12" s="2">
        <f t="shared" si="0"/>
        <v>454</v>
      </c>
    </row>
    <row r="13" spans="2:10" x14ac:dyDescent="0.25">
      <c r="B13" s="2" t="s">
        <v>13</v>
      </c>
      <c r="C13" s="52">
        <v>1</v>
      </c>
      <c r="D13" s="2" t="s">
        <v>27</v>
      </c>
      <c r="E13" s="2">
        <v>2025</v>
      </c>
      <c r="F13" s="29" t="s">
        <v>247</v>
      </c>
      <c r="G13" s="29">
        <v>391</v>
      </c>
      <c r="H13" s="29">
        <v>293</v>
      </c>
      <c r="I13" s="29">
        <v>141</v>
      </c>
      <c r="J13" s="2">
        <f t="shared" si="0"/>
        <v>434</v>
      </c>
    </row>
    <row r="14" spans="2:10" x14ac:dyDescent="0.25">
      <c r="B14" s="2" t="s">
        <v>153</v>
      </c>
      <c r="C14" s="52">
        <v>1</v>
      </c>
      <c r="D14" s="2" t="s">
        <v>28</v>
      </c>
      <c r="E14" s="2">
        <v>2024</v>
      </c>
      <c r="F14" s="29" t="s">
        <v>247</v>
      </c>
      <c r="G14" s="29">
        <v>391</v>
      </c>
      <c r="H14" s="29">
        <v>279</v>
      </c>
      <c r="I14" s="29">
        <v>171</v>
      </c>
      <c r="J14" s="2">
        <f t="shared" si="0"/>
        <v>450</v>
      </c>
    </row>
    <row r="15" spans="2:10" x14ac:dyDescent="0.25">
      <c r="B15" s="2" t="s">
        <v>15</v>
      </c>
      <c r="C15" s="52">
        <v>1</v>
      </c>
      <c r="D15" s="2" t="s">
        <v>28</v>
      </c>
      <c r="E15" s="2">
        <v>2025</v>
      </c>
      <c r="F15" s="29" t="s">
        <v>247</v>
      </c>
      <c r="G15" s="29">
        <v>391</v>
      </c>
      <c r="H15" s="29">
        <v>293</v>
      </c>
      <c r="I15" s="29">
        <v>164</v>
      </c>
      <c r="J15" s="2">
        <f t="shared" si="0"/>
        <v>457</v>
      </c>
    </row>
    <row r="16" spans="2:10" x14ac:dyDescent="0.25">
      <c r="B16" s="2" t="s">
        <v>16</v>
      </c>
      <c r="C16" s="52">
        <v>1</v>
      </c>
      <c r="D16" s="2" t="s">
        <v>29</v>
      </c>
      <c r="E16" s="2">
        <v>2025</v>
      </c>
      <c r="F16" s="29" t="s">
        <v>247</v>
      </c>
      <c r="G16" s="29">
        <v>391</v>
      </c>
      <c r="H16" s="29">
        <v>293</v>
      </c>
      <c r="I16" s="29">
        <v>116</v>
      </c>
      <c r="J16" s="2">
        <f t="shared" si="0"/>
        <v>409</v>
      </c>
    </row>
    <row r="17" spans="2:10" x14ac:dyDescent="0.25">
      <c r="B17" s="2" t="s">
        <v>17</v>
      </c>
      <c r="C17" s="52">
        <v>1</v>
      </c>
      <c r="D17" s="2" t="s">
        <v>29</v>
      </c>
      <c r="E17" s="2">
        <v>2026</v>
      </c>
      <c r="F17" s="29" t="s">
        <v>247</v>
      </c>
      <c r="G17" s="29">
        <v>391</v>
      </c>
      <c r="H17" s="29">
        <v>307</v>
      </c>
      <c r="I17" s="29">
        <v>88</v>
      </c>
      <c r="J17" s="2">
        <f t="shared" si="0"/>
        <v>395</v>
      </c>
    </row>
    <row r="18" spans="2:10" x14ac:dyDescent="0.25">
      <c r="B18" s="14" t="s">
        <v>18</v>
      </c>
      <c r="C18" s="53">
        <v>1</v>
      </c>
      <c r="D18" s="14" t="s">
        <v>29</v>
      </c>
      <c r="E18" s="14">
        <v>2027</v>
      </c>
      <c r="F18" s="45" t="s">
        <v>247</v>
      </c>
      <c r="G18" s="45">
        <v>391</v>
      </c>
      <c r="H18" s="45">
        <v>321</v>
      </c>
      <c r="I18" s="45">
        <v>53</v>
      </c>
      <c r="J18" s="14">
        <f t="shared" si="0"/>
        <v>374</v>
      </c>
    </row>
    <row r="19" spans="2:10" x14ac:dyDescent="0.25">
      <c r="B19" s="4" t="s">
        <v>251</v>
      </c>
      <c r="J19" s="4">
        <f>SUM(J7:J18)</f>
        <v>4207</v>
      </c>
    </row>
    <row r="20" spans="2:10" x14ac:dyDescent="0.25">
      <c r="B20" s="14" t="s">
        <v>252</v>
      </c>
      <c r="C20" s="14"/>
      <c r="D20" s="14" t="s">
        <v>271</v>
      </c>
      <c r="E20" s="14"/>
      <c r="F20" s="14"/>
      <c r="G20" s="14"/>
      <c r="H20" s="14"/>
      <c r="I20" s="14"/>
      <c r="J20" s="14">
        <v>405</v>
      </c>
    </row>
    <row r="21" spans="2:10" x14ac:dyDescent="0.25">
      <c r="B21" s="4" t="s">
        <v>253</v>
      </c>
      <c r="C21" s="4"/>
      <c r="D21" s="4"/>
      <c r="E21" s="4"/>
      <c r="F21" s="4"/>
      <c r="G21" s="4"/>
      <c r="H21" s="4"/>
      <c r="I21" s="4"/>
      <c r="J21" s="4">
        <f>SUM(J19:J20)</f>
        <v>4612</v>
      </c>
    </row>
    <row r="22" spans="2:10" x14ac:dyDescent="0.25">
      <c r="B22" s="2" t="s">
        <v>254</v>
      </c>
      <c r="J22" s="18">
        <v>1202.4639999999999</v>
      </c>
    </row>
    <row r="23" spans="2:10" x14ac:dyDescent="0.25">
      <c r="B23" s="14" t="s">
        <v>255</v>
      </c>
      <c r="C23" s="14"/>
      <c r="D23" s="14"/>
      <c r="E23" s="14"/>
      <c r="F23" s="14"/>
      <c r="G23" s="14"/>
      <c r="H23" s="14"/>
      <c r="I23" s="14"/>
      <c r="J23" s="14">
        <v>1200</v>
      </c>
    </row>
    <row r="24" spans="2:10" x14ac:dyDescent="0.25">
      <c r="B24" s="4" t="s">
        <v>256</v>
      </c>
      <c r="C24" s="4"/>
      <c r="D24" s="4"/>
      <c r="E24" s="4"/>
      <c r="F24" s="4"/>
      <c r="G24" s="4"/>
      <c r="H24" s="4"/>
      <c r="I24" s="4"/>
      <c r="J24" s="19">
        <f>J21-J22-J23</f>
        <v>2209.5360000000001</v>
      </c>
    </row>
    <row r="25" spans="2:10" x14ac:dyDescent="0.25">
      <c r="B25" s="2" t="s">
        <v>257</v>
      </c>
      <c r="J25" s="2">
        <v>11.77</v>
      </c>
    </row>
    <row r="26" spans="2:10" ht="20" thickBot="1" x14ac:dyDescent="0.3">
      <c r="B26" s="49" t="s">
        <v>258</v>
      </c>
      <c r="C26" s="49"/>
      <c r="D26" s="49"/>
      <c r="E26" s="49"/>
      <c r="F26" s="49"/>
      <c r="G26" s="49"/>
      <c r="H26" s="49"/>
      <c r="I26" s="49"/>
      <c r="J26" s="51">
        <v>350.957583</v>
      </c>
    </row>
    <row r="27" spans="2:10" x14ac:dyDescent="0.25">
      <c r="B27" s="4" t="s">
        <v>259</v>
      </c>
      <c r="C27" s="4"/>
      <c r="D27" s="4"/>
      <c r="E27" s="4"/>
      <c r="F27" s="4"/>
      <c r="G27" s="4"/>
      <c r="H27" s="50"/>
      <c r="I27" s="4"/>
      <c r="J27" s="19">
        <f>(J24*J25)/J26</f>
        <v>74.100803002167936</v>
      </c>
    </row>
    <row r="29" spans="2:10" x14ac:dyDescent="0.25">
      <c r="B29" s="4" t="s">
        <v>261</v>
      </c>
    </row>
    <row r="31" spans="2:10" x14ac:dyDescent="0.25">
      <c r="B31" s="4" t="s">
        <v>148</v>
      </c>
      <c r="C31" s="4" t="s">
        <v>262</v>
      </c>
      <c r="D31" s="4" t="s">
        <v>263</v>
      </c>
      <c r="E31" s="4" t="s">
        <v>264</v>
      </c>
      <c r="F31" s="4" t="s">
        <v>265</v>
      </c>
      <c r="G31" s="4" t="s">
        <v>266</v>
      </c>
      <c r="H31" s="4" t="s">
        <v>267</v>
      </c>
    </row>
    <row r="32" spans="2:10" x14ac:dyDescent="0.25">
      <c r="B32" s="2" t="s">
        <v>8</v>
      </c>
      <c r="C32" s="2">
        <v>250</v>
      </c>
      <c r="D32" s="25">
        <v>0.75</v>
      </c>
      <c r="E32" s="2">
        <v>40</v>
      </c>
      <c r="F32" s="2">
        <v>54</v>
      </c>
      <c r="G32" s="29" t="s">
        <v>269</v>
      </c>
      <c r="H32" s="54">
        <f>F32*5</f>
        <v>270</v>
      </c>
      <c r="J32" s="47"/>
    </row>
    <row r="33" spans="2:8" x14ac:dyDescent="0.25">
      <c r="B33" s="2" t="s">
        <v>9</v>
      </c>
      <c r="C33" s="2">
        <v>250</v>
      </c>
      <c r="D33" s="25">
        <v>0.75</v>
      </c>
      <c r="E33" s="2">
        <v>40</v>
      </c>
      <c r="F33" s="2">
        <v>54</v>
      </c>
      <c r="G33" s="29" t="s">
        <v>269</v>
      </c>
      <c r="H33" s="54">
        <f t="shared" ref="H33:H43" si="1">F33*5</f>
        <v>270</v>
      </c>
    </row>
    <row r="34" spans="2:8" x14ac:dyDescent="0.25">
      <c r="B34" s="2" t="s">
        <v>10</v>
      </c>
      <c r="C34" s="2">
        <v>300</v>
      </c>
      <c r="D34" s="25">
        <v>0.75</v>
      </c>
      <c r="E34" s="2">
        <v>40</v>
      </c>
      <c r="F34" s="2">
        <v>68</v>
      </c>
      <c r="G34" s="29" t="s">
        <v>269</v>
      </c>
      <c r="H34" s="54">
        <f t="shared" si="1"/>
        <v>340</v>
      </c>
    </row>
    <row r="35" spans="2:8" x14ac:dyDescent="0.25">
      <c r="B35" s="2" t="s">
        <v>11</v>
      </c>
      <c r="C35" s="2">
        <v>300</v>
      </c>
      <c r="D35" s="25">
        <v>0.75</v>
      </c>
      <c r="E35" s="2">
        <v>40</v>
      </c>
      <c r="F35" s="2">
        <v>68</v>
      </c>
      <c r="G35" s="29" t="s">
        <v>269</v>
      </c>
      <c r="H35" s="54">
        <f t="shared" si="1"/>
        <v>340</v>
      </c>
    </row>
    <row r="36" spans="2:8" x14ac:dyDescent="0.25">
      <c r="B36" s="2" t="s">
        <v>268</v>
      </c>
      <c r="C36" s="2">
        <v>250</v>
      </c>
      <c r="D36" s="25">
        <v>0.75</v>
      </c>
      <c r="E36" s="2">
        <v>40</v>
      </c>
      <c r="F36" s="2">
        <v>54</v>
      </c>
      <c r="G36" s="29" t="s">
        <v>269</v>
      </c>
      <c r="H36" s="54">
        <f t="shared" si="1"/>
        <v>270</v>
      </c>
    </row>
    <row r="37" spans="2:8" x14ac:dyDescent="0.25">
      <c r="B37" s="2" t="s">
        <v>12</v>
      </c>
      <c r="C37" s="2">
        <v>300</v>
      </c>
      <c r="D37" s="25">
        <v>0.75</v>
      </c>
      <c r="E37" s="2">
        <v>40</v>
      </c>
      <c r="F37" s="2">
        <v>68</v>
      </c>
      <c r="G37" s="29" t="s">
        <v>269</v>
      </c>
      <c r="H37" s="54">
        <f t="shared" si="1"/>
        <v>340</v>
      </c>
    </row>
    <row r="38" spans="2:8" x14ac:dyDescent="0.25">
      <c r="B38" s="2" t="s">
        <v>13</v>
      </c>
      <c r="C38" s="2">
        <v>300</v>
      </c>
      <c r="D38" s="25">
        <v>0.75</v>
      </c>
      <c r="E38" s="2">
        <v>40</v>
      </c>
      <c r="F38" s="2">
        <v>68</v>
      </c>
      <c r="G38" s="29" t="s">
        <v>269</v>
      </c>
      <c r="H38" s="54">
        <f t="shared" si="1"/>
        <v>340</v>
      </c>
    </row>
    <row r="39" spans="2:8" x14ac:dyDescent="0.25">
      <c r="B39" s="2" t="s">
        <v>153</v>
      </c>
      <c r="C39" s="2">
        <v>300</v>
      </c>
      <c r="D39" s="25">
        <v>0.75</v>
      </c>
      <c r="E39" s="2">
        <v>40</v>
      </c>
      <c r="F39" s="2">
        <v>68</v>
      </c>
      <c r="G39" s="29" t="s">
        <v>269</v>
      </c>
      <c r="H39" s="54">
        <f t="shared" si="1"/>
        <v>340</v>
      </c>
    </row>
    <row r="40" spans="2:8" x14ac:dyDescent="0.25">
      <c r="B40" s="2" t="s">
        <v>15</v>
      </c>
      <c r="C40" s="2">
        <v>300</v>
      </c>
      <c r="D40" s="25">
        <v>0.75</v>
      </c>
      <c r="E40" s="2">
        <v>40</v>
      </c>
      <c r="F40" s="2">
        <v>68</v>
      </c>
      <c r="G40" s="29" t="s">
        <v>269</v>
      </c>
      <c r="H40" s="54">
        <f t="shared" si="1"/>
        <v>340</v>
      </c>
    </row>
    <row r="41" spans="2:8" x14ac:dyDescent="0.25">
      <c r="B41" s="2" t="s">
        <v>16</v>
      </c>
      <c r="C41" s="2">
        <v>350</v>
      </c>
      <c r="D41" s="25">
        <v>0.75</v>
      </c>
      <c r="E41" s="2">
        <v>40</v>
      </c>
      <c r="F41" s="2">
        <v>81</v>
      </c>
      <c r="G41" s="29" t="s">
        <v>269</v>
      </c>
      <c r="H41" s="54">
        <f t="shared" si="1"/>
        <v>405</v>
      </c>
    </row>
    <row r="42" spans="2:8" x14ac:dyDescent="0.25">
      <c r="B42" s="2" t="s">
        <v>17</v>
      </c>
      <c r="C42" s="2">
        <v>350</v>
      </c>
      <c r="D42" s="25">
        <v>0.75</v>
      </c>
      <c r="E42" s="2">
        <v>40</v>
      </c>
      <c r="F42" s="2">
        <v>81</v>
      </c>
      <c r="G42" s="29" t="s">
        <v>269</v>
      </c>
      <c r="H42" s="54">
        <f t="shared" si="1"/>
        <v>405</v>
      </c>
    </row>
    <row r="43" spans="2:8" x14ac:dyDescent="0.25">
      <c r="B43" s="14" t="s">
        <v>18</v>
      </c>
      <c r="C43" s="14">
        <v>350</v>
      </c>
      <c r="D43" s="46">
        <v>0.75</v>
      </c>
      <c r="E43" s="14">
        <v>40</v>
      </c>
      <c r="F43" s="14">
        <v>81</v>
      </c>
      <c r="G43" s="45" t="s">
        <v>269</v>
      </c>
      <c r="H43" s="55">
        <f t="shared" si="1"/>
        <v>405</v>
      </c>
    </row>
    <row r="45" spans="2:8" x14ac:dyDescent="0.25">
      <c r="B45" s="2" t="s">
        <v>270</v>
      </c>
      <c r="F45" s="2">
        <v>115</v>
      </c>
      <c r="G45" s="29" t="s">
        <v>269</v>
      </c>
      <c r="H45" s="54">
        <f>115*5</f>
        <v>575</v>
      </c>
    </row>
    <row r="46" spans="2:8" x14ac:dyDescent="0.25">
      <c r="B46" s="2" t="s">
        <v>272</v>
      </c>
      <c r="F46" s="2">
        <v>-70</v>
      </c>
      <c r="G46" s="29" t="s">
        <v>269</v>
      </c>
      <c r="H46" s="54">
        <v>-350</v>
      </c>
    </row>
    <row r="48" spans="2:8" x14ac:dyDescent="0.25">
      <c r="B48" s="4" t="s">
        <v>253</v>
      </c>
      <c r="C48" s="4"/>
      <c r="D48" s="4"/>
      <c r="E48" s="4"/>
      <c r="F48" s="4"/>
      <c r="G48" s="4"/>
      <c r="H48" s="56">
        <f>SUM(H32:H46)</f>
        <v>4290</v>
      </c>
    </row>
    <row r="49" spans="2:8" x14ac:dyDescent="0.25">
      <c r="B49" s="2" t="s">
        <v>273</v>
      </c>
      <c r="H49" s="54">
        <v>1202</v>
      </c>
    </row>
    <row r="50" spans="2:8" x14ac:dyDescent="0.25">
      <c r="B50" s="14" t="s">
        <v>274</v>
      </c>
      <c r="C50" s="14"/>
      <c r="D50" s="14"/>
      <c r="E50" s="14"/>
      <c r="F50" s="14"/>
      <c r="G50" s="14"/>
      <c r="H50" s="55">
        <v>1200</v>
      </c>
    </row>
    <row r="51" spans="2:8" x14ac:dyDescent="0.25">
      <c r="B51" s="4" t="s">
        <v>256</v>
      </c>
      <c r="C51" s="4"/>
      <c r="D51" s="4"/>
      <c r="E51" s="4"/>
      <c r="F51" s="4"/>
      <c r="G51" s="4"/>
      <c r="H51" s="56">
        <f>H48-H49-H50</f>
        <v>1888</v>
      </c>
    </row>
    <row r="52" spans="2:8" x14ac:dyDescent="0.25">
      <c r="B52" s="2" t="s">
        <v>257</v>
      </c>
      <c r="H52" s="54">
        <v>11.77</v>
      </c>
    </row>
    <row r="53" spans="2:8" ht="20" thickBot="1" x14ac:dyDescent="0.3">
      <c r="B53" s="49" t="s">
        <v>275</v>
      </c>
      <c r="C53" s="49"/>
      <c r="D53" s="49"/>
      <c r="E53" s="49"/>
      <c r="F53" s="49"/>
      <c r="G53" s="49"/>
      <c r="H53" s="57">
        <v>350.957583</v>
      </c>
    </row>
    <row r="54" spans="2:8" x14ac:dyDescent="0.25">
      <c r="B54" s="4" t="s">
        <v>276</v>
      </c>
      <c r="C54" s="4"/>
      <c r="D54" s="4"/>
      <c r="E54" s="4"/>
      <c r="F54" s="4"/>
      <c r="G54" s="4"/>
      <c r="H54" s="58">
        <f>(H51*H52)/H53</f>
        <v>63.317509227318787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C8C4-18B3-F545-8A0C-805EA7D6E26B}">
  <dimension ref="A1"/>
  <sheetViews>
    <sheetView showGridLines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Flåte </vt:lpstr>
      <vt:lpstr>Modell</vt:lpstr>
      <vt:lpstr>Nøkkeltall</vt:lpstr>
      <vt:lpstr>SOTP</vt:lpstr>
      <vt:lpstr>Nedsidebergning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2025-01-11T15:35:20Z</dcterms:created>
  <dcterms:modified xsi:type="dcterms:W3CDTF">2026-05-27T17:15:47Z</dcterms:modified>
</cp:coreProperties>
</file>