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608F4E45-0EE3-5847-BD59-2A98CB988057}" xr6:coauthVersionLast="47" xr6:coauthVersionMax="47" xr10:uidLastSave="{00000000-0000-0000-0000-000000000000}"/>
  <bookViews>
    <workbookView xWindow="23720" yWindow="740" windowWidth="27480" windowHeight="26500" activeTab="1" xr2:uid="{DC6B61F5-9397-944D-B9DF-AD16AFD8EFF2}"/>
  </bookViews>
  <sheets>
    <sheet name="Info" sheetId="2" r:id="rId1"/>
    <sheet name="Modell" sheetId="1" r:id="rId2"/>
    <sheet name="Segementer" sheetId="4" r:id="rId3"/>
    <sheet name="Business" sheetId="5" r:id="rId4"/>
    <sheet name="Nøkkeltal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6" i="1" l="1"/>
  <c r="E75" i="1"/>
  <c r="D75" i="1"/>
  <c r="H75" i="1"/>
  <c r="F75" i="1"/>
  <c r="J75" i="1"/>
  <c r="H44" i="1" l="1"/>
  <c r="Q12" i="5"/>
  <c r="Q6" i="5"/>
  <c r="Q9" i="5" s="1"/>
  <c r="Q18" i="5"/>
  <c r="Q13" i="5"/>
  <c r="Q8" i="5"/>
  <c r="L18" i="5"/>
  <c r="L13" i="5"/>
  <c r="L14" i="5" s="1"/>
  <c r="L8" i="5"/>
  <c r="L9" i="5" s="1"/>
  <c r="L19" i="5"/>
  <c r="L22" i="5"/>
  <c r="L21" i="5"/>
  <c r="L16" i="5"/>
  <c r="L11" i="5"/>
  <c r="L6" i="5"/>
  <c r="L23" i="5" s="1"/>
  <c r="L26" i="5" s="1"/>
  <c r="K23" i="5"/>
  <c r="K26" i="5"/>
  <c r="J23" i="5"/>
  <c r="J26" i="5" s="1"/>
  <c r="I23" i="5"/>
  <c r="I26" i="5" s="1"/>
  <c r="H23" i="5"/>
  <c r="H26" i="5" s="1"/>
  <c r="O23" i="5"/>
  <c r="O24" i="5" s="1"/>
  <c r="O26" i="5"/>
  <c r="N23" i="5"/>
  <c r="N26" i="5" s="1"/>
  <c r="M23" i="5"/>
  <c r="M26" i="5" s="1"/>
  <c r="P23" i="5"/>
  <c r="P26" i="5" s="1"/>
  <c r="P25" i="5"/>
  <c r="Q22" i="5"/>
  <c r="Q21" i="5"/>
  <c r="Q16" i="5"/>
  <c r="Q11" i="5"/>
  <c r="V22" i="5"/>
  <c r="V21" i="5"/>
  <c r="U23" i="5"/>
  <c r="U26" i="5" s="1"/>
  <c r="T23" i="5"/>
  <c r="T24" i="5" s="1"/>
  <c r="S23" i="5"/>
  <c r="S26" i="5" s="1"/>
  <c r="V18" i="5"/>
  <c r="V13" i="5"/>
  <c r="V8" i="5"/>
  <c r="V9" i="5" s="1"/>
  <c r="V16" i="5"/>
  <c r="V19" i="5" s="1"/>
  <c r="V11" i="5"/>
  <c r="V6" i="5"/>
  <c r="R23" i="5"/>
  <c r="R26" i="5" s="1"/>
  <c r="G19" i="5"/>
  <c r="H19" i="5"/>
  <c r="I19" i="5"/>
  <c r="J19" i="5"/>
  <c r="K19" i="5"/>
  <c r="N19" i="5"/>
  <c r="O19" i="5"/>
  <c r="P19" i="5"/>
  <c r="R19" i="5"/>
  <c r="S19" i="5"/>
  <c r="T19" i="5"/>
  <c r="U19" i="5"/>
  <c r="M19" i="5"/>
  <c r="M14" i="5"/>
  <c r="K9" i="5"/>
  <c r="U7" i="5"/>
  <c r="L27" i="4"/>
  <c r="Q27" i="4"/>
  <c r="V27" i="4"/>
  <c r="L22" i="4"/>
  <c r="Q22" i="4"/>
  <c r="V22" i="4"/>
  <c r="L17" i="4"/>
  <c r="Q17" i="4"/>
  <c r="V17" i="4"/>
  <c r="V12" i="4"/>
  <c r="L12" i="4"/>
  <c r="Q12" i="4"/>
  <c r="L7" i="4"/>
  <c r="Q7" i="4"/>
  <c r="V7" i="4"/>
  <c r="V12" i="5"/>
  <c r="P17" i="5"/>
  <c r="O17" i="5"/>
  <c r="N17" i="5"/>
  <c r="M17" i="5"/>
  <c r="P12" i="5"/>
  <c r="O12" i="5"/>
  <c r="N12" i="5"/>
  <c r="M12" i="5"/>
  <c r="U17" i="5"/>
  <c r="T17" i="5"/>
  <c r="S17" i="5"/>
  <c r="U12" i="5"/>
  <c r="T12" i="5"/>
  <c r="S12" i="5"/>
  <c r="H9" i="5"/>
  <c r="P7" i="5"/>
  <c r="O7" i="5"/>
  <c r="N7" i="5"/>
  <c r="M7" i="5"/>
  <c r="T7" i="5"/>
  <c r="S7" i="5"/>
  <c r="V14" i="5"/>
  <c r="U14" i="5"/>
  <c r="T14" i="5"/>
  <c r="S14" i="5"/>
  <c r="R14" i="5"/>
  <c r="Q14" i="5"/>
  <c r="P14" i="5"/>
  <c r="O14" i="5"/>
  <c r="N14" i="5"/>
  <c r="K14" i="5"/>
  <c r="J14" i="5"/>
  <c r="I14" i="5"/>
  <c r="H14" i="5"/>
  <c r="G14" i="5"/>
  <c r="R12" i="5"/>
  <c r="P9" i="5"/>
  <c r="O9" i="5"/>
  <c r="N9" i="5"/>
  <c r="M9" i="5"/>
  <c r="J9" i="5"/>
  <c r="I9" i="5"/>
  <c r="G9" i="5"/>
  <c r="U9" i="5"/>
  <c r="T9" i="5"/>
  <c r="S9" i="5"/>
  <c r="R7" i="5"/>
  <c r="R9" i="5"/>
  <c r="AC8" i="1"/>
  <c r="AD8" i="1" s="1"/>
  <c r="AE8" i="1" s="1"/>
  <c r="V7" i="5" l="1"/>
  <c r="Q23" i="5"/>
  <c r="Q26" i="5" s="1"/>
  <c r="Q17" i="5"/>
  <c r="V17" i="5"/>
  <c r="Q19" i="5"/>
  <c r="Q7" i="5"/>
  <c r="V23" i="5"/>
  <c r="V26" i="5" s="1"/>
  <c r="R24" i="5"/>
  <c r="R25" i="5"/>
  <c r="H25" i="5"/>
  <c r="I25" i="5"/>
  <c r="J25" i="5"/>
  <c r="K25" i="5"/>
  <c r="H24" i="5"/>
  <c r="I24" i="5"/>
  <c r="J24" i="5"/>
  <c r="K24" i="5"/>
  <c r="L24" i="5"/>
  <c r="L25" i="5"/>
  <c r="M25" i="5"/>
  <c r="M24" i="5"/>
  <c r="N24" i="5"/>
  <c r="N25" i="5"/>
  <c r="O25" i="5"/>
  <c r="P24" i="5"/>
  <c r="Q24" i="5"/>
  <c r="Q25" i="5"/>
  <c r="U25" i="5"/>
  <c r="T26" i="5"/>
  <c r="S25" i="5"/>
  <c r="T25" i="5"/>
  <c r="S24" i="5"/>
  <c r="U24" i="5"/>
  <c r="V24" i="5" l="1"/>
  <c r="V25" i="5"/>
  <c r="Z32" i="1" l="1"/>
  <c r="D67" i="1"/>
  <c r="E67" i="1"/>
  <c r="F67" i="1"/>
  <c r="F68" i="1" s="1"/>
  <c r="G67" i="1"/>
  <c r="H67" i="1"/>
  <c r="I67" i="1"/>
  <c r="J67" i="1"/>
  <c r="K67" i="1"/>
  <c r="L67" i="1"/>
  <c r="M67" i="1"/>
  <c r="D61" i="1"/>
  <c r="E61" i="1"/>
  <c r="F61" i="1"/>
  <c r="G61" i="1"/>
  <c r="H61" i="1"/>
  <c r="I61" i="1"/>
  <c r="J61" i="1"/>
  <c r="K61" i="1"/>
  <c r="L61" i="1"/>
  <c r="M61" i="1"/>
  <c r="D55" i="1"/>
  <c r="E55" i="1"/>
  <c r="F55" i="1"/>
  <c r="G55" i="1"/>
  <c r="H55" i="1"/>
  <c r="I55" i="1"/>
  <c r="J55" i="1"/>
  <c r="K55" i="1"/>
  <c r="L55" i="1"/>
  <c r="L68" i="1" s="1"/>
  <c r="M55" i="1"/>
  <c r="M68" i="1" s="1"/>
  <c r="D51" i="1"/>
  <c r="E51" i="1"/>
  <c r="F51" i="1"/>
  <c r="G51" i="1"/>
  <c r="H51" i="1"/>
  <c r="I51" i="1"/>
  <c r="J51" i="1"/>
  <c r="K51" i="1"/>
  <c r="L51" i="1"/>
  <c r="M51" i="1"/>
  <c r="D44" i="1"/>
  <c r="E44" i="1"/>
  <c r="F44" i="1"/>
  <c r="G44" i="1"/>
  <c r="I44" i="1"/>
  <c r="J44" i="1"/>
  <c r="K44" i="1"/>
  <c r="L44" i="1"/>
  <c r="M44" i="1"/>
  <c r="P30" i="1"/>
  <c r="P29" i="1"/>
  <c r="D76" i="1"/>
  <c r="D84" i="1" s="1"/>
  <c r="E76" i="1"/>
  <c r="E84" i="1" s="1"/>
  <c r="F76" i="1"/>
  <c r="F86" i="1" s="1"/>
  <c r="G76" i="1"/>
  <c r="G86" i="1" s="1"/>
  <c r="H76" i="1"/>
  <c r="H84" i="1" s="1"/>
  <c r="I76" i="1"/>
  <c r="I84" i="1" s="1"/>
  <c r="J76" i="1"/>
  <c r="J84" i="1" s="1"/>
  <c r="K76" i="1"/>
  <c r="K84" i="1" s="1"/>
  <c r="L76" i="1"/>
  <c r="L84" i="1" s="1"/>
  <c r="M76" i="1"/>
  <c r="M86" i="1" s="1"/>
  <c r="N76" i="1"/>
  <c r="N84" i="1" s="1"/>
  <c r="O76" i="1"/>
  <c r="O84" i="1" s="1"/>
  <c r="P76" i="1"/>
  <c r="P84" i="1" s="1"/>
  <c r="E35" i="1"/>
  <c r="F35" i="1"/>
  <c r="G35" i="1"/>
  <c r="P32" i="1"/>
  <c r="U27" i="4"/>
  <c r="T27" i="4"/>
  <c r="S27" i="4"/>
  <c r="U22" i="4"/>
  <c r="T22" i="4"/>
  <c r="S22" i="4"/>
  <c r="U17" i="4"/>
  <c r="T17" i="4"/>
  <c r="S17" i="4"/>
  <c r="U12" i="4"/>
  <c r="T12" i="4"/>
  <c r="S12" i="4"/>
  <c r="S7" i="4"/>
  <c r="T7" i="4"/>
  <c r="U7" i="4"/>
  <c r="U14" i="4"/>
  <c r="S14" i="4"/>
  <c r="U29" i="4"/>
  <c r="T29" i="4"/>
  <c r="S29" i="4"/>
  <c r="U24" i="4"/>
  <c r="T24" i="4"/>
  <c r="S24" i="4"/>
  <c r="U19" i="4"/>
  <c r="T19" i="4"/>
  <c r="S19" i="4"/>
  <c r="T14" i="4"/>
  <c r="U9" i="4"/>
  <c r="T9" i="4"/>
  <c r="S9" i="4"/>
  <c r="V30" i="4"/>
  <c r="V35" i="4" s="1"/>
  <c r="V26" i="4"/>
  <c r="V21" i="4"/>
  <c r="V16" i="4"/>
  <c r="V11" i="4"/>
  <c r="V6" i="4"/>
  <c r="R32" i="4"/>
  <c r="U30" i="4"/>
  <c r="U35" i="4" s="1"/>
  <c r="T30" i="4"/>
  <c r="T35" i="4" s="1"/>
  <c r="S30" i="4"/>
  <c r="S35" i="4" s="1"/>
  <c r="R30" i="4"/>
  <c r="R35" i="4" s="1"/>
  <c r="P30" i="4"/>
  <c r="P35" i="4" s="1"/>
  <c r="O30" i="4"/>
  <c r="O35" i="4" s="1"/>
  <c r="N30" i="4"/>
  <c r="N35" i="4" s="1"/>
  <c r="M30" i="4"/>
  <c r="M35" i="4" s="1"/>
  <c r="I30" i="4"/>
  <c r="I31" i="4" s="1"/>
  <c r="H30" i="4"/>
  <c r="K30" i="4"/>
  <c r="K35" i="4" s="1"/>
  <c r="J30" i="4"/>
  <c r="J32" i="4" s="1"/>
  <c r="H33" i="4"/>
  <c r="C32" i="4"/>
  <c r="C31" i="4"/>
  <c r="C35" i="4"/>
  <c r="C34" i="4"/>
  <c r="D35" i="4"/>
  <c r="D33" i="4"/>
  <c r="D32" i="4"/>
  <c r="D31" i="4"/>
  <c r="E35" i="4"/>
  <c r="E34" i="4"/>
  <c r="F35" i="4"/>
  <c r="F34" i="4"/>
  <c r="F33" i="4"/>
  <c r="F32" i="4"/>
  <c r="F31" i="4"/>
  <c r="D30" i="4"/>
  <c r="D34" i="4" s="1"/>
  <c r="E30" i="4"/>
  <c r="E33" i="4" s="1"/>
  <c r="F30" i="4"/>
  <c r="C30" i="4"/>
  <c r="C33" i="4" s="1"/>
  <c r="I29" i="4"/>
  <c r="J29" i="4"/>
  <c r="K29" i="4"/>
  <c r="M29" i="4"/>
  <c r="N29" i="4"/>
  <c r="O29" i="4"/>
  <c r="P29" i="4"/>
  <c r="R29" i="4"/>
  <c r="I24" i="4"/>
  <c r="J24" i="4"/>
  <c r="K24" i="4"/>
  <c r="M24" i="4"/>
  <c r="N24" i="4"/>
  <c r="O24" i="4"/>
  <c r="P24" i="4"/>
  <c r="R24" i="4"/>
  <c r="K19" i="4"/>
  <c r="I19" i="4"/>
  <c r="J19" i="4"/>
  <c r="M19" i="4"/>
  <c r="N19" i="4"/>
  <c r="O19" i="4"/>
  <c r="P19" i="4"/>
  <c r="R19" i="4"/>
  <c r="I14" i="4"/>
  <c r="J14" i="4"/>
  <c r="K14" i="4"/>
  <c r="M14" i="4"/>
  <c r="N14" i="4"/>
  <c r="O14" i="4"/>
  <c r="P14" i="4"/>
  <c r="R14" i="4"/>
  <c r="I9" i="4"/>
  <c r="J9" i="4"/>
  <c r="K9" i="4"/>
  <c r="M9" i="4"/>
  <c r="N9" i="4"/>
  <c r="O9" i="4"/>
  <c r="P9" i="4"/>
  <c r="R9" i="4"/>
  <c r="R27" i="4"/>
  <c r="R22" i="4"/>
  <c r="R17" i="4"/>
  <c r="R12" i="4"/>
  <c r="R7" i="4"/>
  <c r="H35" i="1"/>
  <c r="I35" i="1"/>
  <c r="J35" i="1"/>
  <c r="K35" i="1"/>
  <c r="L35" i="1"/>
  <c r="M35" i="1"/>
  <c r="N35" i="1"/>
  <c r="O35" i="1"/>
  <c r="P35" i="1"/>
  <c r="P67" i="1"/>
  <c r="P61" i="1"/>
  <c r="P55" i="1"/>
  <c r="P51" i="1"/>
  <c r="P44" i="1"/>
  <c r="P9" i="1"/>
  <c r="P14" i="1" s="1"/>
  <c r="P16" i="1" s="1"/>
  <c r="P31" i="1"/>
  <c r="P28" i="1"/>
  <c r="Q26" i="4"/>
  <c r="Q21" i="4"/>
  <c r="Q16" i="4"/>
  <c r="Q11" i="4"/>
  <c r="Q6" i="4"/>
  <c r="L26" i="4"/>
  <c r="L21" i="4"/>
  <c r="L16" i="4"/>
  <c r="L11" i="4"/>
  <c r="L6" i="4"/>
  <c r="G26" i="4"/>
  <c r="G21" i="4"/>
  <c r="G16" i="4"/>
  <c r="G11" i="4"/>
  <c r="G6" i="4"/>
  <c r="O22" i="4"/>
  <c r="P27" i="4"/>
  <c r="O27" i="4"/>
  <c r="N27" i="4"/>
  <c r="M27" i="4"/>
  <c r="K27" i="4"/>
  <c r="J27" i="4"/>
  <c r="I27" i="4"/>
  <c r="H27" i="4"/>
  <c r="P22" i="4"/>
  <c r="N22" i="4"/>
  <c r="M22" i="4"/>
  <c r="K22" i="4"/>
  <c r="J22" i="4"/>
  <c r="I22" i="4"/>
  <c r="H22" i="4"/>
  <c r="P17" i="4"/>
  <c r="O17" i="4"/>
  <c r="N17" i="4"/>
  <c r="M17" i="4"/>
  <c r="K17" i="4"/>
  <c r="J17" i="4"/>
  <c r="I17" i="4"/>
  <c r="H17" i="4"/>
  <c r="P12" i="4"/>
  <c r="O12" i="4"/>
  <c r="N12" i="4"/>
  <c r="M12" i="4"/>
  <c r="K12" i="4"/>
  <c r="J12" i="4"/>
  <c r="I12" i="4"/>
  <c r="H12" i="4"/>
  <c r="H7" i="4"/>
  <c r="I7" i="4"/>
  <c r="J7" i="4"/>
  <c r="K7" i="4"/>
  <c r="M7" i="4"/>
  <c r="N7" i="4"/>
  <c r="O7" i="4"/>
  <c r="P7" i="4"/>
  <c r="O9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AE31" i="1"/>
  <c r="AF31" i="1"/>
  <c r="AG31" i="1"/>
  <c r="AH31" i="1"/>
  <c r="AI31" i="1"/>
  <c r="AJ31" i="1"/>
  <c r="AA32" i="1"/>
  <c r="AB32" i="1"/>
  <c r="AC32" i="1"/>
  <c r="AD32" i="1"/>
  <c r="H32" i="1"/>
  <c r="H31" i="1"/>
  <c r="H30" i="1"/>
  <c r="H29" i="1"/>
  <c r="H28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O32" i="1"/>
  <c r="O29" i="1"/>
  <c r="O30" i="1"/>
  <c r="O31" i="1"/>
  <c r="O28" i="1"/>
  <c r="O67" i="1"/>
  <c r="O61" i="1"/>
  <c r="O55" i="1"/>
  <c r="O51" i="1"/>
  <c r="O44" i="1"/>
  <c r="E86" i="1" l="1"/>
  <c r="E68" i="1"/>
  <c r="D86" i="1"/>
  <c r="D68" i="1"/>
  <c r="D52" i="1"/>
  <c r="F84" i="1"/>
  <c r="G68" i="1"/>
  <c r="G52" i="1"/>
  <c r="P86" i="1"/>
  <c r="J86" i="1"/>
  <c r="F52" i="1"/>
  <c r="H86" i="1"/>
  <c r="J68" i="1"/>
  <c r="K86" i="1"/>
  <c r="E52" i="1"/>
  <c r="J52" i="1"/>
  <c r="H68" i="1"/>
  <c r="H52" i="1"/>
  <c r="K68" i="1"/>
  <c r="K52" i="1"/>
  <c r="N86" i="1"/>
  <c r="I86" i="1"/>
  <c r="M84" i="1"/>
  <c r="I68" i="1"/>
  <c r="I52" i="1"/>
  <c r="M52" i="1"/>
  <c r="L52" i="1"/>
  <c r="L86" i="1"/>
  <c r="G84" i="1"/>
  <c r="P68" i="1"/>
  <c r="P52" i="1"/>
  <c r="V34" i="4"/>
  <c r="V31" i="4"/>
  <c r="V32" i="4"/>
  <c r="V33" i="4"/>
  <c r="I32" i="4"/>
  <c r="I33" i="4"/>
  <c r="E31" i="4"/>
  <c r="E32" i="4"/>
  <c r="R34" i="4"/>
  <c r="S32" i="4"/>
  <c r="S34" i="4"/>
  <c r="T32" i="4"/>
  <c r="T34" i="4"/>
  <c r="U32" i="4"/>
  <c r="U34" i="4"/>
  <c r="R31" i="4"/>
  <c r="R33" i="4"/>
  <c r="S31" i="4"/>
  <c r="S33" i="4"/>
  <c r="T31" i="4"/>
  <c r="T33" i="4"/>
  <c r="U31" i="4"/>
  <c r="U33" i="4"/>
  <c r="M32" i="4"/>
  <c r="M34" i="4"/>
  <c r="N32" i="4"/>
  <c r="N34" i="4"/>
  <c r="O32" i="4"/>
  <c r="O34" i="4"/>
  <c r="P34" i="4"/>
  <c r="M31" i="4"/>
  <c r="M33" i="4"/>
  <c r="N31" i="4"/>
  <c r="N33" i="4"/>
  <c r="P32" i="4"/>
  <c r="O31" i="4"/>
  <c r="O33" i="4"/>
  <c r="P31" i="4"/>
  <c r="P33" i="4"/>
  <c r="H34" i="4"/>
  <c r="I34" i="4"/>
  <c r="J34" i="4"/>
  <c r="K32" i="4"/>
  <c r="K34" i="4"/>
  <c r="H35" i="4"/>
  <c r="H32" i="4"/>
  <c r="I35" i="4"/>
  <c r="H31" i="4"/>
  <c r="J31" i="4"/>
  <c r="J33" i="4"/>
  <c r="J35" i="4"/>
  <c r="K31" i="4"/>
  <c r="K33" i="4"/>
  <c r="Q30" i="4"/>
  <c r="Q33" i="4" s="1"/>
  <c r="G30" i="4"/>
  <c r="G31" i="4" s="1"/>
  <c r="L30" i="4"/>
  <c r="L31" i="4" s="1"/>
  <c r="P26" i="1"/>
  <c r="P18" i="1"/>
  <c r="O68" i="1"/>
  <c r="O52" i="1"/>
  <c r="B6" i="1"/>
  <c r="P20" i="1" l="1"/>
  <c r="P21" i="1" s="1"/>
  <c r="P71" i="1"/>
  <c r="Q32" i="4"/>
  <c r="Q31" i="4"/>
  <c r="G34" i="4"/>
  <c r="Q35" i="4"/>
  <c r="G32" i="4"/>
  <c r="Q34" i="4"/>
  <c r="G35" i="4"/>
  <c r="G33" i="4"/>
  <c r="L34" i="4"/>
  <c r="L33" i="4"/>
  <c r="L35" i="4"/>
  <c r="L32" i="4"/>
  <c r="AE6" i="1"/>
  <c r="AE4" i="1"/>
  <c r="AF4" i="1" l="1"/>
  <c r="AE28" i="1"/>
  <c r="AF6" i="1"/>
  <c r="AE30" i="1"/>
  <c r="Y11" i="1"/>
  <c r="Z11" i="1" s="1"/>
  <c r="AA11" i="1" s="1"/>
  <c r="AB11" i="1" s="1"/>
  <c r="AC11" i="1" s="1"/>
  <c r="AD11" i="1" s="1"/>
  <c r="X11" i="1"/>
  <c r="Y19" i="1"/>
  <c r="AE5" i="1"/>
  <c r="AE29" i="1" s="1"/>
  <c r="AE32" i="1"/>
  <c r="AD9" i="1"/>
  <c r="AC9" i="1"/>
  <c r="AB9" i="1"/>
  <c r="AA9" i="1"/>
  <c r="AA10" i="1" s="1"/>
  <c r="Z9" i="1"/>
  <c r="Y9" i="1"/>
  <c r="X19" i="1"/>
  <c r="X17" i="1"/>
  <c r="X15" i="1"/>
  <c r="X13" i="1"/>
  <c r="X12" i="1"/>
  <c r="X5" i="1"/>
  <c r="X6" i="1"/>
  <c r="X7" i="1"/>
  <c r="X8" i="1"/>
  <c r="X4" i="1"/>
  <c r="W13" i="1"/>
  <c r="W12" i="1"/>
  <c r="W11" i="1"/>
  <c r="W10" i="1"/>
  <c r="W19" i="1"/>
  <c r="W17" i="1"/>
  <c r="W15" i="1"/>
  <c r="W5" i="1"/>
  <c r="W6" i="1"/>
  <c r="W7" i="1"/>
  <c r="W8" i="1"/>
  <c r="W4" i="1"/>
  <c r="Y17" i="1"/>
  <c r="Y15" i="1"/>
  <c r="Y12" i="1"/>
  <c r="Y13" i="1"/>
  <c r="Y10" i="1"/>
  <c r="D9" i="1"/>
  <c r="D14" i="1" s="1"/>
  <c r="D16" i="1" s="1"/>
  <c r="E9" i="1"/>
  <c r="F9" i="1"/>
  <c r="F14" i="1" s="1"/>
  <c r="F16" i="1" s="1"/>
  <c r="F18" i="1" s="1"/>
  <c r="G9" i="1"/>
  <c r="G14" i="1" s="1"/>
  <c r="H9" i="1"/>
  <c r="I9" i="1"/>
  <c r="J9" i="1"/>
  <c r="K9" i="1"/>
  <c r="L9" i="1"/>
  <c r="P25" i="1" s="1"/>
  <c r="M9" i="1"/>
  <c r="N9" i="1"/>
  <c r="N25" i="1" s="1"/>
  <c r="E14" i="1"/>
  <c r="E16" i="1" s="1"/>
  <c r="E18" i="1" s="1"/>
  <c r="N14" i="1"/>
  <c r="E20" i="1" l="1"/>
  <c r="E21" i="1" s="1"/>
  <c r="E71" i="1"/>
  <c r="F20" i="1"/>
  <c r="F21" i="1" s="1"/>
  <c r="F71" i="1"/>
  <c r="X32" i="1"/>
  <c r="Y32" i="1"/>
  <c r="X30" i="1"/>
  <c r="Y30" i="1"/>
  <c r="AG6" i="1"/>
  <c r="AF30" i="1"/>
  <c r="Y31" i="1"/>
  <c r="X31" i="1"/>
  <c r="Y29" i="1"/>
  <c r="X29" i="1"/>
  <c r="Y28" i="1"/>
  <c r="X28" i="1"/>
  <c r="AG4" i="1"/>
  <c r="AF28" i="1"/>
  <c r="AA14" i="1"/>
  <c r="AA16" i="1" s="1"/>
  <c r="AA18" i="1" s="1"/>
  <c r="AA19" i="1" s="1"/>
  <c r="AA20" i="1" s="1"/>
  <c r="AA21" i="1" s="1"/>
  <c r="F8" i="3" s="1"/>
  <c r="AC10" i="1"/>
  <c r="AC14" i="1" s="1"/>
  <c r="AC16" i="1" s="1"/>
  <c r="AC18" i="1" s="1"/>
  <c r="AC25" i="1"/>
  <c r="H14" i="1"/>
  <c r="H16" i="1" s="1"/>
  <c r="H25" i="1"/>
  <c r="M14" i="1"/>
  <c r="M16" i="1" s="1"/>
  <c r="M26" i="1" s="1"/>
  <c r="M25" i="1"/>
  <c r="AA25" i="1"/>
  <c r="K14" i="1"/>
  <c r="K25" i="1"/>
  <c r="J14" i="1"/>
  <c r="J16" i="1" s="1"/>
  <c r="J25" i="1"/>
  <c r="AD25" i="1"/>
  <c r="Y25" i="1"/>
  <c r="Z10" i="1"/>
  <c r="Z14" i="1" s="1"/>
  <c r="Z16" i="1" s="1"/>
  <c r="Z18" i="1" s="1"/>
  <c r="Z71" i="1" s="1"/>
  <c r="Z25" i="1"/>
  <c r="L25" i="1"/>
  <c r="W9" i="1"/>
  <c r="W14" i="1" s="1"/>
  <c r="W16" i="1" s="1"/>
  <c r="W18" i="1" s="1"/>
  <c r="W71" i="1" s="1"/>
  <c r="AB25" i="1"/>
  <c r="O25" i="1"/>
  <c r="I14" i="1"/>
  <c r="I16" i="1" s="1"/>
  <c r="I25" i="1"/>
  <c r="AD10" i="1"/>
  <c r="AD14" i="1" s="1"/>
  <c r="AD16" i="1" s="1"/>
  <c r="AF8" i="1"/>
  <c r="AE9" i="1"/>
  <c r="AE25" i="1" s="1"/>
  <c r="L14" i="1"/>
  <c r="L16" i="1" s="1"/>
  <c r="X9" i="1"/>
  <c r="AF5" i="1"/>
  <c r="AB10" i="1"/>
  <c r="AB14" i="1" s="1"/>
  <c r="AB16" i="1" s="1"/>
  <c r="AB18" i="1" s="1"/>
  <c r="AE11" i="1"/>
  <c r="AF11" i="1" s="1"/>
  <c r="Y14" i="1"/>
  <c r="Y16" i="1" s="1"/>
  <c r="Y18" i="1" s="1"/>
  <c r="D18" i="1"/>
  <c r="N67" i="1"/>
  <c r="N61" i="1"/>
  <c r="N55" i="1"/>
  <c r="N51" i="1"/>
  <c r="N44" i="1"/>
  <c r="N52" i="1" s="1"/>
  <c r="F26" i="1"/>
  <c r="E26" i="1"/>
  <c r="D26" i="1"/>
  <c r="N16" i="1"/>
  <c r="G16" i="1"/>
  <c r="B9" i="1"/>
  <c r="D20" i="1" l="1"/>
  <c r="D21" i="1" s="1"/>
  <c r="D71" i="1"/>
  <c r="Y20" i="1"/>
  <c r="Y21" i="1" s="1"/>
  <c r="Y71" i="1"/>
  <c r="AH4" i="1"/>
  <c r="AG28" i="1"/>
  <c r="AH6" i="1"/>
  <c r="AG30" i="1"/>
  <c r="AA26" i="1"/>
  <c r="AG8" i="1"/>
  <c r="AF32" i="1"/>
  <c r="AG5" i="1"/>
  <c r="AG29" i="1" s="1"/>
  <c r="AF29" i="1"/>
  <c r="AB26" i="1"/>
  <c r="X25" i="1"/>
  <c r="O14" i="1"/>
  <c r="O16" i="1" s="1"/>
  <c r="O26" i="1" s="1"/>
  <c r="G6" i="3"/>
  <c r="G7" i="3"/>
  <c r="F7" i="3"/>
  <c r="F6" i="3"/>
  <c r="E7" i="3"/>
  <c r="E6" i="3"/>
  <c r="AE10" i="1"/>
  <c r="AE14" i="1" s="1"/>
  <c r="AE16" i="1" s="1"/>
  <c r="AE18" i="1" s="1"/>
  <c r="N68" i="1"/>
  <c r="AC26" i="1"/>
  <c r="AF9" i="1"/>
  <c r="AD26" i="1"/>
  <c r="AD18" i="1"/>
  <c r="AB19" i="1"/>
  <c r="AB20" i="1" s="1"/>
  <c r="AB21" i="1" s="1"/>
  <c r="G8" i="3" s="1"/>
  <c r="Z19" i="1"/>
  <c r="Z20" i="1" s="1"/>
  <c r="Z21" i="1" s="1"/>
  <c r="E8" i="3" s="1"/>
  <c r="AC19" i="1"/>
  <c r="AC20" i="1" s="1"/>
  <c r="AC21" i="1" s="1"/>
  <c r="Z26" i="1"/>
  <c r="X14" i="1"/>
  <c r="X16" i="1" s="1"/>
  <c r="AG11" i="1"/>
  <c r="Y26" i="1"/>
  <c r="W26" i="1"/>
  <c r="N26" i="1"/>
  <c r="N18" i="1"/>
  <c r="N71" i="1" s="1"/>
  <c r="G26" i="1"/>
  <c r="G18" i="1"/>
  <c r="I18" i="1"/>
  <c r="I26" i="1"/>
  <c r="J18" i="1"/>
  <c r="J26" i="1"/>
  <c r="L26" i="1"/>
  <c r="L18" i="1"/>
  <c r="H26" i="1"/>
  <c r="H18" i="1"/>
  <c r="M18" i="1"/>
  <c r="K16" i="1"/>
  <c r="G20" i="1" l="1"/>
  <c r="G21" i="1" s="1"/>
  <c r="G71" i="1"/>
  <c r="H20" i="1"/>
  <c r="H21" i="1" s="1"/>
  <c r="H71" i="1"/>
  <c r="L20" i="1"/>
  <c r="L21" i="1" s="1"/>
  <c r="L71" i="1"/>
  <c r="J20" i="1"/>
  <c r="J21" i="1" s="1"/>
  <c r="J71" i="1"/>
  <c r="M20" i="1"/>
  <c r="M21" i="1" s="1"/>
  <c r="M71" i="1"/>
  <c r="I20" i="1"/>
  <c r="I21" i="1" s="1"/>
  <c r="I71" i="1"/>
  <c r="AI6" i="1"/>
  <c r="AH30" i="1"/>
  <c r="AH8" i="1"/>
  <c r="AG32" i="1"/>
  <c r="AG9" i="1"/>
  <c r="AG10" i="1" s="1"/>
  <c r="AG14" i="1" s="1"/>
  <c r="AG16" i="1" s="1"/>
  <c r="AG18" i="1" s="1"/>
  <c r="AG19" i="1" s="1"/>
  <c r="AG20" i="1" s="1"/>
  <c r="AG21" i="1" s="1"/>
  <c r="AH5" i="1"/>
  <c r="AH29" i="1" s="1"/>
  <c r="AI4" i="1"/>
  <c r="AH28" i="1"/>
  <c r="O18" i="1"/>
  <c r="AF10" i="1"/>
  <c r="AF14" i="1" s="1"/>
  <c r="AF16" i="1" s="1"/>
  <c r="AF26" i="1" s="1"/>
  <c r="AF25" i="1"/>
  <c r="AE26" i="1"/>
  <c r="AE19" i="1"/>
  <c r="AE20" i="1" s="1"/>
  <c r="AE21" i="1" s="1"/>
  <c r="AD19" i="1"/>
  <c r="AD20" i="1" s="1"/>
  <c r="X26" i="1"/>
  <c r="X18" i="1"/>
  <c r="AH11" i="1"/>
  <c r="K26" i="1"/>
  <c r="K18" i="1"/>
  <c r="N20" i="1"/>
  <c r="N21" i="1" s="1"/>
  <c r="O20" i="1" l="1"/>
  <c r="O21" i="1" s="1"/>
  <c r="O71" i="1"/>
  <c r="X20" i="1"/>
  <c r="X21" i="1" s="1"/>
  <c r="X71" i="1"/>
  <c r="K20" i="1"/>
  <c r="K21" i="1" s="1"/>
  <c r="K71" i="1"/>
  <c r="AH9" i="1"/>
  <c r="AH10" i="1" s="1"/>
  <c r="AH14" i="1" s="1"/>
  <c r="AH16" i="1" s="1"/>
  <c r="W20" i="1"/>
  <c r="W21" i="1" s="1"/>
  <c r="AI5" i="1"/>
  <c r="AI29" i="1" s="1"/>
  <c r="AJ4" i="1"/>
  <c r="AJ28" i="1" s="1"/>
  <c r="AI28" i="1"/>
  <c r="AG25" i="1"/>
  <c r="AI8" i="1"/>
  <c r="AH32" i="1"/>
  <c r="AJ6" i="1"/>
  <c r="AJ30" i="1" s="1"/>
  <c r="AI30" i="1"/>
  <c r="AF18" i="1"/>
  <c r="AF19" i="1" s="1"/>
  <c r="AF20" i="1" s="1"/>
  <c r="AF21" i="1" s="1"/>
  <c r="AD21" i="1"/>
  <c r="AG26" i="1"/>
  <c r="AJ5" i="1"/>
  <c r="AJ29" i="1" s="1"/>
  <c r="AI11" i="1"/>
  <c r="AH25" i="1" l="1"/>
  <c r="AI9" i="1"/>
  <c r="AI10" i="1" s="1"/>
  <c r="AI14" i="1" s="1"/>
  <c r="AI16" i="1" s="1"/>
  <c r="AJ8" i="1"/>
  <c r="AJ32" i="1" s="1"/>
  <c r="AI32" i="1"/>
  <c r="AH26" i="1"/>
  <c r="AH18" i="1"/>
  <c r="AJ9" i="1"/>
  <c r="AJ11" i="1"/>
  <c r="AI25" i="1" l="1"/>
  <c r="AJ10" i="1"/>
  <c r="AJ14" i="1" s="1"/>
  <c r="AJ16" i="1" s="1"/>
  <c r="AJ25" i="1"/>
  <c r="AI26" i="1"/>
  <c r="AI18" i="1"/>
  <c r="AH19" i="1"/>
  <c r="AH20" i="1" s="1"/>
  <c r="AJ26" i="1" l="1"/>
  <c r="AJ18" i="1"/>
  <c r="AH21" i="1"/>
  <c r="AI19" i="1"/>
  <c r="AI20" i="1" s="1"/>
  <c r="AI21" i="1" s="1"/>
  <c r="AJ19" i="1"/>
  <c r="AJ20" i="1" s="1"/>
  <c r="AK20" i="1" l="1"/>
  <c r="AJ21" i="1"/>
  <c r="AL20" i="1" l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AM27" i="1" l="1"/>
  <c r="AM28" i="1" l="1"/>
  <c r="AM30" i="1" s="1"/>
  <c r="AM31" i="1" s="1"/>
</calcChain>
</file>

<file path=xl/sharedStrings.xml><?xml version="1.0" encoding="utf-8"?>
<sst xmlns="http://schemas.openxmlformats.org/spreadsheetml/2006/main" count="235" uniqueCount="147">
  <si>
    <t>EUR million</t>
  </si>
  <si>
    <t>Kapitalstruktur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</si>
  <si>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</si>
  <si>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</si>
  <si>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</si>
  <si>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</si>
  <si>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</si>
  <si>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</si>
  <si>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</si>
  <si>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</si>
  <si>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</si>
  <si>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</si>
  <si>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</si>
  <si>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FY 2022</t>
  </si>
  <si>
    <t>FY 2023</t>
  </si>
  <si>
    <t>FY 2024</t>
  </si>
  <si>
    <t>FY 2025</t>
  </si>
  <si>
    <t>FY2026</t>
  </si>
  <si>
    <t>FY 2027</t>
  </si>
  <si>
    <t>FY 2028</t>
  </si>
  <si>
    <t>FY 2029</t>
  </si>
  <si>
    <t>FY 2030</t>
  </si>
  <si>
    <t>Pris</t>
  </si>
  <si>
    <t>Connectivity</t>
  </si>
  <si>
    <t>Electrification</t>
  </si>
  <si>
    <t>MC (NOKm)</t>
  </si>
  <si>
    <t>Industry</t>
  </si>
  <si>
    <t>Medical devices</t>
  </si>
  <si>
    <t>Defence/aerospace</t>
  </si>
  <si>
    <t>EV</t>
  </si>
  <si>
    <t>Revenues</t>
  </si>
  <si>
    <t>COGS</t>
  </si>
  <si>
    <t>Payroll expenses</t>
  </si>
  <si>
    <t>other opex</t>
  </si>
  <si>
    <t>Other gains /(Loss)</t>
  </si>
  <si>
    <t>Operating profit (EBITDA)</t>
  </si>
  <si>
    <t>Depreciation</t>
  </si>
  <si>
    <t>Operating profit (EBIT)</t>
  </si>
  <si>
    <t>Net financial items</t>
  </si>
  <si>
    <t>PTP</t>
  </si>
  <si>
    <t>Tax</t>
  </si>
  <si>
    <t>Net profit</t>
  </si>
  <si>
    <t>Share</t>
  </si>
  <si>
    <t>Revenue y/y</t>
  </si>
  <si>
    <t>Operating margin</t>
  </si>
  <si>
    <t>Balanse</t>
  </si>
  <si>
    <t>Goodwill</t>
  </si>
  <si>
    <t>Other Intang assets</t>
  </si>
  <si>
    <t>PP&amp;E</t>
  </si>
  <si>
    <t>Right-of-use assets</t>
  </si>
  <si>
    <t>Deferred tax assets</t>
  </si>
  <si>
    <t>Other receivables</t>
  </si>
  <si>
    <t>Inventory</t>
  </si>
  <si>
    <t>AR</t>
  </si>
  <si>
    <t>Contract assets</t>
  </si>
  <si>
    <t>cash</t>
  </si>
  <si>
    <t>Total current assets</t>
  </si>
  <si>
    <t>Total assets</t>
  </si>
  <si>
    <t>Equity</t>
  </si>
  <si>
    <t>Total equity</t>
  </si>
  <si>
    <t>Deferred tax liabilities</t>
  </si>
  <si>
    <t>Interest bearing debt</t>
  </si>
  <si>
    <t>Pension commitments</t>
  </si>
  <si>
    <t>Other liabilities</t>
  </si>
  <si>
    <t>Total non-current liabilities</t>
  </si>
  <si>
    <t>AP</t>
  </si>
  <si>
    <t>Other payables</t>
  </si>
  <si>
    <t>Tax payable</t>
  </si>
  <si>
    <t>Total current liabilities</t>
  </si>
  <si>
    <t>Total L/E</t>
  </si>
  <si>
    <t>CFFO</t>
  </si>
  <si>
    <t>Info om Kitron</t>
  </si>
  <si>
    <t>Electronics
manufacturing services (EMS)</t>
  </si>
  <si>
    <t>Delt inn i 5 segmenter:</t>
  </si>
  <si>
    <t>Topp 3 kunder står for underkant av 20% av salget til Kitron</t>
  </si>
  <si>
    <t xml:space="preserve">Dens største kunder inkluderer Kongsberg Gruppen, Husqvarna, Hitachi, HMS Networks, ABB og Inmotion. </t>
  </si>
  <si>
    <t>Selv om vi forstår at deres rangering kan variere, er de 5–6 største kundene stort sett uendret over tid</t>
  </si>
  <si>
    <t>Connectivity y/y</t>
  </si>
  <si>
    <t>Electrification y/y</t>
  </si>
  <si>
    <t>Industry y/y</t>
  </si>
  <si>
    <t>Medical devices y/y</t>
  </si>
  <si>
    <t>Defence/aerospace y/y</t>
  </si>
  <si>
    <t>FY 2031</t>
  </si>
  <si>
    <t>FY 2032</t>
  </si>
  <si>
    <t>FY 2033</t>
  </si>
  <si>
    <t>FY 2034</t>
  </si>
  <si>
    <t>FY 2035</t>
  </si>
  <si>
    <t>Guiding:</t>
  </si>
  <si>
    <t>Reduksjon på 7% i 25 og vekst på 25% i 26. Electricity transmission og maritim electrification fortsettter å vokse og står for over 50% av 25 salg</t>
  </si>
  <si>
    <t>Flat i 25 og 15% vekst i 26</t>
  </si>
  <si>
    <t>Sektorveksten blir påvirket av end-of-life av en stor produktloinje</t>
  </si>
  <si>
    <t>Forventer &gt; 10% vekst i 25 og 20% i 26 på bakgrunn av at markedet kommer bra tilbke</t>
  </si>
  <si>
    <t>Medium-term ambition</t>
  </si>
  <si>
    <t>1 milliard euro i inntekter</t>
  </si>
  <si>
    <t>EBIT-margin: 9%</t>
  </si>
  <si>
    <t>Euro/NOK</t>
  </si>
  <si>
    <t>Discount</t>
  </si>
  <si>
    <t>Maturity</t>
  </si>
  <si>
    <t>NNV</t>
  </si>
  <si>
    <t>Opp/nedside</t>
  </si>
  <si>
    <t>Shares (m)</t>
  </si>
  <si>
    <t>EV/EBITDA</t>
  </si>
  <si>
    <t>P/E</t>
  </si>
  <si>
    <t>EV/EBIT</t>
  </si>
  <si>
    <t>S/O</t>
  </si>
  <si>
    <t>NPV/Share</t>
  </si>
  <si>
    <t>Backlog EURm</t>
  </si>
  <si>
    <t>Total non-current assets</t>
  </si>
  <si>
    <t>CFFI</t>
  </si>
  <si>
    <t>CFFF</t>
  </si>
  <si>
    <t xml:space="preserve">Cash </t>
  </si>
  <si>
    <t xml:space="preserve">Debt </t>
  </si>
  <si>
    <t>EURm</t>
  </si>
  <si>
    <t>Aerospace/defence</t>
  </si>
  <si>
    <t>Revenue</t>
  </si>
  <si>
    <t>Order backlog</t>
  </si>
  <si>
    <t>Q324</t>
  </si>
  <si>
    <t>EPS EUR</t>
  </si>
  <si>
    <t>Q125</t>
  </si>
  <si>
    <t>Q225</t>
  </si>
  <si>
    <t>Q325</t>
  </si>
  <si>
    <t>Q425</t>
  </si>
  <si>
    <t>Q/Q</t>
  </si>
  <si>
    <t>Total % av total</t>
  </si>
  <si>
    <t>Model PTP</t>
  </si>
  <si>
    <t>Reported PTP</t>
  </si>
  <si>
    <t>Cash flow EURm</t>
  </si>
  <si>
    <t>Depreciations</t>
  </si>
  <si>
    <t>WC</t>
  </si>
  <si>
    <t>Change in other current assets</t>
  </si>
  <si>
    <t>CIC</t>
  </si>
  <si>
    <t>FCF</t>
  </si>
  <si>
    <t>FX</t>
  </si>
  <si>
    <t>Growth Y/Y</t>
  </si>
  <si>
    <t>NOKm</t>
  </si>
  <si>
    <t>Nordics and US</t>
  </si>
  <si>
    <t>Y/Y</t>
  </si>
  <si>
    <t>EBIT</t>
  </si>
  <si>
    <t>EBIT margin %</t>
  </si>
  <si>
    <t>CEE</t>
  </si>
  <si>
    <t>Asia</t>
  </si>
  <si>
    <t>Group and eli</t>
  </si>
  <si>
    <t>Guidance 2025:</t>
  </si>
  <si>
    <t>Revenue:</t>
  </si>
  <si>
    <t>640-710</t>
  </si>
  <si>
    <t xml:space="preserve">EBIT: </t>
  </si>
  <si>
    <t>47-65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</si>
</sst>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kr&quot;\ #,##0.00_);[Red]\(&quot;kr&quot;\ #,##0.00\)"/>
    <numFmt numFmtId="164" formatCode="0.0"/>
    <numFmt numFmtId="165" formatCode="0.0\ %"/>
  </numFmts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164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9" fontId="1" fillId="0" borderId="0" xfId="0" applyNumberFormat="1" applyFont="1"/>
    <xf numFmtId="9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4" fillId="0" borderId="0" xfId="0" applyFont="1"/>
    <xf numFmtId="164" fontId="1" fillId="0" borderId="1" xfId="0" applyNumberFormat="1" applyFont="1" applyBorder="1"/>
    <xf numFmtId="164" fontId="2" fillId="0" borderId="0" xfId="0" applyNumberFormat="1" applyFont="1"/>
    <xf numFmtId="9" fontId="2" fillId="0" borderId="0" xfId="0" applyNumberFormat="1" applyFont="1"/>
    <xf numFmtId="9" fontId="2" fillId="0" borderId="1" xfId="0" applyNumberFormat="1" applyFont="1" applyBorder="1"/>
    <xf numFmtId="165" fontId="2" fillId="0" borderId="0" xfId="0" applyNumberFormat="1" applyFont="1"/>
    <xf numFmtId="0" fontId="5" fillId="0" borderId="0" xfId="0" applyFont="1"/>
    <xf numFmtId="0" fontId="1" fillId="0" borderId="2" xfId="0" applyFont="1" applyBorder="1"/>
    <xf numFmtId="4" fontId="3" fillId="0" borderId="1" xfId="0" applyNumberFormat="1" applyFont="1" applyBorder="1"/>
    <xf numFmtId="4" fontId="4" fillId="0" borderId="1" xfId="0" applyNumberFormat="1" applyFont="1" applyBorder="1"/>
    <xf numFmtId="8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2" fontId="2" fillId="0" borderId="2" xfId="0" applyNumberFormat="1" applyFont="1" applyBorder="1"/>
    <xf numFmtId="164" fontId="6" fillId="0" borderId="3" xfId="0" applyNumberFormat="1" applyFont="1" applyBorder="1"/>
    <xf numFmtId="0" fontId="7" fillId="0" borderId="3" xfId="0" applyFont="1" applyBorder="1"/>
    <xf numFmtId="0" fontId="3" fillId="0" borderId="1" xfId="0" applyFont="1" applyBorder="1"/>
    <xf numFmtId="0" fontId="8" fillId="0" borderId="0" xfId="0" applyFont="1"/>
    <xf numFmtId="164" fontId="2" fillId="0" borderId="1" xfId="0" applyNumberFormat="1" applyFont="1" applyBorder="1"/>
    <xf numFmtId="10" fontId="3" fillId="0" borderId="0" xfId="0" applyNumberFormat="1" applyFont="1"/>
    <xf numFmtId="165" fontId="3" fillId="0" borderId="0" xfId="0" applyNumberFormat="1" applyFont="1"/>
    <xf numFmtId="0" fontId="1" fillId="0" borderId="6" xfId="0" applyFont="1" applyBorder="1"/>
    <xf numFmtId="0" fontId="2" fillId="0" borderId="6" xfId="0" applyFont="1" applyBorder="1"/>
    <xf numFmtId="0" fontId="1" fillId="0" borderId="5" xfId="0" applyFont="1" applyBorder="1"/>
    <xf numFmtId="0" fontId="3" fillId="0" borderId="8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6" xfId="0" applyFont="1" applyBorder="1"/>
    <xf numFmtId="165" fontId="1" fillId="0" borderId="2" xfId="0" applyNumberFormat="1" applyFont="1" applyBorder="1"/>
    <xf numFmtId="165" fontId="1" fillId="0" borderId="4" xfId="0" applyNumberFormat="1" applyFont="1" applyBorder="1"/>
    <xf numFmtId="1" fontId="2" fillId="0" borderId="10" xfId="0" applyNumberFormat="1" applyFont="1" applyBorder="1"/>
    <xf numFmtId="165" fontId="1" fillId="0" borderId="6" xfId="0" applyNumberFormat="1" applyFont="1" applyBorder="1"/>
    <xf numFmtId="165" fontId="1" fillId="0" borderId="5" xfId="0" applyNumberFormat="1" applyFont="1" applyBorder="1"/>
    <xf numFmtId="165" fontId="1" fillId="0" borderId="8" xfId="0" applyNumberFormat="1" applyFont="1" applyBorder="1"/>
    <xf numFmtId="0" fontId="1" fillId="0" borderId="12" xfId="0" applyFont="1" applyBorder="1"/>
    <xf numFmtId="0" fontId="3" fillId="0" borderId="2" xfId="0" applyFont="1" applyBorder="1"/>
    <xf numFmtId="165" fontId="3" fillId="0" borderId="2" xfId="0" applyNumberFormat="1" applyFont="1" applyBorder="1"/>
    <xf numFmtId="165" fontId="3" fillId="0" borderId="5" xfId="0" applyNumberFormat="1" applyFont="1" applyBorder="1"/>
    <xf numFmtId="0" fontId="3" fillId="0" borderId="5" xfId="0" applyFont="1" applyBorder="1"/>
    <xf numFmtId="165" fontId="3" fillId="0" borderId="7" xfId="0" applyNumberFormat="1" applyFont="1" applyBorder="1"/>
    <xf numFmtId="164" fontId="1" fillId="0" borderId="8" xfId="0" applyNumberFormat="1" applyFont="1" applyBorder="1"/>
    <xf numFmtId="164" fontId="2" fillId="0" borderId="8" xfId="0" applyNumberFormat="1" applyFont="1" applyBorder="1"/>
    <xf numFmtId="165" fontId="2" fillId="0" borderId="6" xfId="0" applyNumberFormat="1" applyFont="1" applyBorder="1"/>
    <xf numFmtId="165" fontId="2" fillId="0" borderId="5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165" fontId="1" fillId="0" borderId="9" xfId="0" applyNumberFormat="1" applyFont="1" applyBorder="1"/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10" fillId="0" borderId="0" xfId="0" applyFont="1"/>
    <xf numFmtId="3" fontId="1" fillId="0" borderId="2" xfId="0" applyNumberFormat="1" applyFont="1" applyBorder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7" fillId="0" borderId="0" xfId="0" applyFont="1"/>
    <xf numFmtId="0" fontId="6" fillId="0" borderId="0" xfId="0" applyFont="1"/>
    <xf numFmtId="0" fontId="11" fillId="0" borderId="2" xfId="0" applyFont="1" applyBorder="1"/>
    <xf numFmtId="10" fontId="4" fillId="0" borderId="6" xfId="0" applyNumberFormat="1" applyFont="1" applyBorder="1"/>
    <xf numFmtId="165" fontId="4" fillId="0" borderId="5" xfId="0" applyNumberFormat="1" applyFont="1" applyBorder="1"/>
    <xf numFmtId="0" fontId="9" fillId="0" borderId="6" xfId="0" applyFont="1" applyBorder="1"/>
    <xf numFmtId="10" fontId="13" fillId="0" borderId="6" xfId="0" applyNumberFormat="1" applyFont="1" applyBorder="1"/>
    <xf numFmtId="0" fontId="9" fillId="0" borderId="5" xfId="0" applyFont="1" applyBorder="1"/>
    <xf numFmtId="10" fontId="3" fillId="0" borderId="8" xfId="0" applyNumberFormat="1" applyFont="1" applyBorder="1"/>
    <xf numFmtId="0" fontId="11" fillId="0" borderId="8" xfId="0" applyFont="1" applyBorder="1"/>
    <xf numFmtId="10" fontId="12" fillId="0" borderId="8" xfId="0" applyNumberFormat="1" applyFont="1" applyBorder="1"/>
    <xf numFmtId="0" fontId="1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292100</xdr:colOff>
      <xdr:row>15</xdr:row>
      <xdr:rowOff>101600</xdr:rowOff>
    </xdr:from>
    <xdr:to>
      <xdr:col>11</xdr:col>
      <xdr:colOff>114300</xdr:colOff>
      <xdr:row>36</xdr:row>
      <xdr:rowOff>263878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CC3CF41-9A2D-7D4D-9EBC-685AF8089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0" y="3187700"/>
          <a:ext cx="8356600" cy="59563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15</xdr:row>
      <xdr:rowOff>101600</xdr:rowOff>
    </xdr:from>
    <xdr:to>
      <xdr:col>18</xdr:col>
      <xdr:colOff>3477985</xdr:colOff>
      <xdr:row>35</xdr:row>
      <xdr:rowOff>16392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E2438EFD-6876-6E48-AFB0-27656953E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3441700"/>
          <a:ext cx="10058400" cy="5429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380999</xdr:colOff>
      <xdr:row>37</xdr:row>
      <xdr:rowOff>84667</xdr:rowOff>
    </xdr:from>
    <xdr:to>
      <xdr:col>14</xdr:col>
      <xdr:colOff>1498091</xdr:colOff>
      <xdr:row>48</xdr:row>
      <xdr:rowOff>181429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1A2A51F-7B7B-6B4C-5724-FEF885BC0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570" y="10153953"/>
          <a:ext cx="12238664" cy="5757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36</xdr:row>
      <xdr:rowOff>70556</xdr:rowOff>
    </xdr:from>
    <xdr:to>
      <xdr:col>22</xdr:col>
      <xdr:colOff>774672</xdr:colOff>
      <xdr:row>55</xdr:row>
      <xdr:rowOff>183445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1DCFB57-FFF2-62CD-232C-5A981E7D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4445" y="8706556"/>
          <a:ext cx="7435116" cy="4670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C705-A85B-0142-A967-9B34D03DCC14}">
  <dimension ref="C3:T43"/>
  <sheetViews>
    <sheetView showGridLines="0" zoomScale="70" zoomScaleNormal="70" workbookViewId="0">
      <selection activeCell="V33" sqref="V33"/>
    </sheetView>
  </sheetViews>
  <sheetFormatPr baseColWidth="10" defaultRowHeight="21" x14ac:dyDescent="0.25"/>
  <cols>
    <col min="1" max="2" width="10.83203125" style="36"/>
    <col min="3" max="3" width="14.5" style="36" bestFit="1" customWidth="1"/>
    <col min="4" max="14" width="10.83203125" style="36"/>
    <col min="15" max="15" width="24.33203125" style="36" bestFit="1" customWidth="1"/>
    <col min="16" max="18" width="10.83203125" style="36"/>
    <col min="19" max="19" width="50.1640625" style="36" customWidth="1"/>
    <col min="20" max="20" width="10.83203125" style="36" customWidth="1"/>
    <col min="21" max="16384" width="10.83203125" style="36"/>
  </cols>
  <sheetData>
    <row r="3" spans="3:16" x14ac:dyDescent="0.25">
      <c r="C3" s="36" t="s">
        <v>71</v>
      </c>
      <c r="O3" s="22" t="s">
        <v>87</v>
      </c>
    </row>
    <row r="4" spans="3:16" x14ac:dyDescent="0.25">
      <c r="O4" s="36" t="s">
        <v>23</v>
      </c>
      <c r="P4" s="36" t="s">
        <v>91</v>
      </c>
    </row>
    <row r="5" spans="3:16" x14ac:dyDescent="0.25">
      <c r="C5" s="36" t="s">
        <v>72</v>
      </c>
      <c r="O5" s="36" t="s">
        <v>24</v>
      </c>
      <c r="P5" s="36" t="s">
        <v>88</v>
      </c>
    </row>
    <row r="6" spans="3:16" x14ac:dyDescent="0.25">
      <c r="C6" s="36" t="s">
        <v>73</v>
      </c>
      <c r="O6" s="36" t="s">
        <v>26</v>
      </c>
      <c r="P6" s="36" t="s">
        <v>89</v>
      </c>
    </row>
    <row r="7" spans="3:16" x14ac:dyDescent="0.25">
      <c r="C7" s="36" t="s">
        <v>23</v>
      </c>
      <c r="O7" s="36" t="s">
        <v>27</v>
      </c>
      <c r="P7" s="36" t="s">
        <v>90</v>
      </c>
    </row>
    <row r="8" spans="3:16" x14ac:dyDescent="0.25">
      <c r="C8" s="36" t="s">
        <v>24</v>
      </c>
      <c r="O8" s="36" t="s">
        <v>28</v>
      </c>
    </row>
    <row r="9" spans="3:16" x14ac:dyDescent="0.25">
      <c r="C9" s="36" t="s">
        <v>26</v>
      </c>
    </row>
    <row r="10" spans="3:16" x14ac:dyDescent="0.25">
      <c r="C10" s="36" t="s">
        <v>27</v>
      </c>
    </row>
    <row r="11" spans="3:16" x14ac:dyDescent="0.25">
      <c r="C11" s="36" t="s">
        <v>28</v>
      </c>
      <c r="O11" s="22" t="s">
        <v>92</v>
      </c>
    </row>
    <row r="13" spans="3:16" x14ac:dyDescent="0.25">
      <c r="C13" s="36" t="s">
        <v>74</v>
      </c>
      <c r="O13" s="36" t="s">
        <v>93</v>
      </c>
    </row>
    <row r="14" spans="3:16" x14ac:dyDescent="0.25">
      <c r="C14" s="36" t="s">
        <v>75</v>
      </c>
      <c r="O14" s="36" t="s">
        <v>94</v>
      </c>
    </row>
    <row r="15" spans="3:16" x14ac:dyDescent="0.25">
      <c r="C15" s="36" t="s">
        <v>76</v>
      </c>
    </row>
    <row r="41" spans="19:20" ht="92" x14ac:dyDescent="1">
      <c r="S41" s="76" t="s">
        <v>142</v>
      </c>
      <c r="T41" s="77"/>
    </row>
    <row r="42" spans="19:20" ht="92" x14ac:dyDescent="1">
      <c r="S42" s="76" t="s">
        <v>143</v>
      </c>
      <c r="T42" s="77" t="s">
        <v>144</v>
      </c>
    </row>
    <row r="43" spans="19:20" ht="92" x14ac:dyDescent="1">
      <c r="S43" s="76" t="s">
        <v>145</v>
      </c>
      <c r="T43" s="77" t="s">
        <v>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1529-E851-824B-8480-BA3178AB4817}">
  <dimension ref="A1:ED86"/>
  <sheetViews>
    <sheetView showGridLines="0" tabSelected="1" zoomScaleNormal="100" workbookViewId="0">
      <pane xSplit="3" ySplit="3" topLeftCell="T4" activePane="bottomRight" state="frozen"/>
      <selection pane="topRight" activeCell="D1" sqref="D1"/>
      <selection pane="bottomLeft" activeCell="A4" sqref="A4"/>
      <selection pane="bottomRight" activeCell="R75" sqref="R75"/>
    </sheetView>
  </sheetViews>
  <sheetFormatPr baseColWidth="10" defaultRowHeight="19" x14ac:dyDescent="0.25"/>
  <cols>
    <col min="1" max="1" width="16.33203125" style="1" bestFit="1" customWidth="1"/>
    <col min="2" max="2" width="14.6640625" style="2" bestFit="1" customWidth="1"/>
    <col min="3" max="3" width="30" style="1" customWidth="1"/>
    <col min="4" max="15" width="10.83203125" style="1"/>
    <col min="16" max="16" width="10.83203125" style="2"/>
    <col min="17" max="24" width="10.83203125" style="1"/>
    <col min="25" max="25" width="11.5" style="1" customWidth="1"/>
    <col min="26" max="26" width="10.83203125" style="2"/>
    <col min="27" max="27" width="10.83203125" style="1" customWidth="1"/>
    <col min="28" max="28" width="12" style="1" bestFit="1" customWidth="1"/>
    <col min="29" max="37" width="10.83203125" style="1"/>
    <col min="38" max="38" width="14" style="1" bestFit="1" customWidth="1"/>
    <col min="39" max="39" width="12.1640625" style="1" bestFit="1" customWidth="1"/>
    <col min="40" max="16384" width="10.83203125" style="1"/>
  </cols>
  <sheetData>
    <row r="1" spans="1:36" x14ac:dyDescent="0.25">
      <c r="C1" s="1" t="s">
        <v>0</v>
      </c>
    </row>
    <row r="3" spans="1:36" s="5" customFormat="1" x14ac:dyDescent="0.25">
      <c r="A3" s="3" t="s">
        <v>1</v>
      </c>
      <c r="B3" s="4"/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116</v>
      </c>
      <c r="O3" s="5" t="s">
        <v>12</v>
      </c>
      <c r="P3" s="4" t="s">
        <v>118</v>
      </c>
      <c r="Q3" s="5" t="s">
        <v>119</v>
      </c>
      <c r="R3" s="5" t="s">
        <v>120</v>
      </c>
      <c r="S3" s="5" t="s">
        <v>121</v>
      </c>
      <c r="W3" s="5" t="s">
        <v>13</v>
      </c>
      <c r="X3" s="5" t="s">
        <v>14</v>
      </c>
      <c r="Y3" s="5" t="s">
        <v>15</v>
      </c>
      <c r="Z3" s="4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21</v>
      </c>
      <c r="AF3" s="5" t="s">
        <v>82</v>
      </c>
      <c r="AG3" s="5" t="s">
        <v>83</v>
      </c>
      <c r="AH3" s="5" t="s">
        <v>84</v>
      </c>
      <c r="AI3" s="5" t="s">
        <v>85</v>
      </c>
      <c r="AJ3" s="5" t="s">
        <v>86</v>
      </c>
    </row>
    <row r="4" spans="1:36" x14ac:dyDescent="0.25">
      <c r="A4" s="6" t="s">
        <v>22</v>
      </c>
      <c r="B4" s="24">
        <v>57</v>
      </c>
      <c r="C4" s="1" t="s">
        <v>23</v>
      </c>
      <c r="D4" s="1">
        <v>31.69</v>
      </c>
      <c r="E4" s="1">
        <v>39.14</v>
      </c>
      <c r="F4" s="1">
        <v>36.700000000000003</v>
      </c>
      <c r="G4" s="1">
        <v>36.799999999999997</v>
      </c>
      <c r="H4" s="1">
        <v>34.1</v>
      </c>
      <c r="I4" s="1">
        <v>36</v>
      </c>
      <c r="J4" s="1">
        <v>37.6</v>
      </c>
      <c r="K4" s="1">
        <v>32.5</v>
      </c>
      <c r="L4" s="1">
        <v>27.7</v>
      </c>
      <c r="M4" s="1">
        <v>29.3</v>
      </c>
      <c r="N4" s="1">
        <v>33.299999999999997</v>
      </c>
      <c r="O4" s="9">
        <v>31</v>
      </c>
      <c r="P4" s="17">
        <v>26.5</v>
      </c>
      <c r="W4" s="28">
        <f>SUM(D4:G4)</f>
        <v>144.32999999999998</v>
      </c>
      <c r="X4" s="28">
        <f>SUM(H4:K4)</f>
        <v>140.19999999999999</v>
      </c>
      <c r="Y4" s="28">
        <v>124</v>
      </c>
      <c r="Z4" s="29">
        <v>134</v>
      </c>
      <c r="AA4" s="28">
        <v>156</v>
      </c>
      <c r="AB4" s="28">
        <v>174</v>
      </c>
      <c r="AC4" s="28">
        <v>200</v>
      </c>
      <c r="AD4" s="28">
        <v>220</v>
      </c>
      <c r="AE4" s="28">
        <f>AD4*1.09</f>
        <v>239.8</v>
      </c>
      <c r="AF4" s="28">
        <f t="shared" ref="AF4:AJ4" si="0">AE4*1.09</f>
        <v>261.38200000000001</v>
      </c>
      <c r="AG4" s="28">
        <f t="shared" si="0"/>
        <v>284.90638000000001</v>
      </c>
      <c r="AH4" s="28">
        <f t="shared" si="0"/>
        <v>310.54795420000005</v>
      </c>
      <c r="AI4" s="28">
        <f t="shared" si="0"/>
        <v>338.4972700780001</v>
      </c>
      <c r="AJ4" s="28">
        <f t="shared" si="0"/>
        <v>368.96202438502013</v>
      </c>
    </row>
    <row r="5" spans="1:36" x14ac:dyDescent="0.25">
      <c r="A5" s="6" t="s">
        <v>100</v>
      </c>
      <c r="B5" s="24">
        <v>198.91716099999999</v>
      </c>
      <c r="C5" s="1" t="s">
        <v>24</v>
      </c>
      <c r="D5" s="1">
        <v>25.71</v>
      </c>
      <c r="E5" s="1">
        <v>23.46</v>
      </c>
      <c r="F5" s="1">
        <v>27.2</v>
      </c>
      <c r="G5" s="1">
        <v>37.4</v>
      </c>
      <c r="H5" s="1">
        <v>57.4</v>
      </c>
      <c r="I5" s="1">
        <v>63.7</v>
      </c>
      <c r="J5" s="1">
        <v>60.2</v>
      </c>
      <c r="K5" s="1">
        <v>63.9</v>
      </c>
      <c r="L5" s="1">
        <v>51.2</v>
      </c>
      <c r="M5" s="1">
        <v>47.3</v>
      </c>
      <c r="N5" s="1">
        <v>36.9</v>
      </c>
      <c r="O5" s="9">
        <v>43.7</v>
      </c>
      <c r="P5" s="17">
        <v>41.8</v>
      </c>
      <c r="W5" s="28">
        <f>SUM(D5:G5)</f>
        <v>113.77000000000001</v>
      </c>
      <c r="X5" s="28">
        <f>SUM(H5:K5)</f>
        <v>245.20000000000002</v>
      </c>
      <c r="Y5" s="28">
        <v>175</v>
      </c>
      <c r="Z5" s="29">
        <v>177</v>
      </c>
      <c r="AA5" s="28">
        <v>210</v>
      </c>
      <c r="AB5" s="28">
        <v>238</v>
      </c>
      <c r="AC5" s="28">
        <v>260</v>
      </c>
      <c r="AD5" s="28">
        <v>285</v>
      </c>
      <c r="AE5" s="28">
        <f>AD5*1.07</f>
        <v>304.95000000000005</v>
      </c>
      <c r="AF5" s="28">
        <f t="shared" ref="AF5:AJ5" si="1">AE5*1.07</f>
        <v>326.29650000000009</v>
      </c>
      <c r="AG5" s="28">
        <f t="shared" si="1"/>
        <v>349.1372550000001</v>
      </c>
      <c r="AH5" s="28">
        <f t="shared" si="1"/>
        <v>373.57686285000011</v>
      </c>
      <c r="AI5" s="28">
        <f t="shared" si="1"/>
        <v>399.72724324950013</v>
      </c>
      <c r="AJ5" s="28">
        <f t="shared" si="1"/>
        <v>427.70815027696517</v>
      </c>
    </row>
    <row r="6" spans="1:36" x14ac:dyDescent="0.25">
      <c r="A6" s="6" t="s">
        <v>25</v>
      </c>
      <c r="B6" s="24">
        <f>B4*B5</f>
        <v>11338.278177</v>
      </c>
      <c r="C6" s="1" t="s">
        <v>26</v>
      </c>
      <c r="D6" s="1">
        <v>33.479999999999997</v>
      </c>
      <c r="E6" s="1">
        <v>39.26</v>
      </c>
      <c r="F6" s="1">
        <v>45.8</v>
      </c>
      <c r="G6" s="1">
        <v>43.8</v>
      </c>
      <c r="H6" s="1">
        <v>53.8</v>
      </c>
      <c r="I6" s="1">
        <v>62.6</v>
      </c>
      <c r="J6" s="1">
        <v>44</v>
      </c>
      <c r="K6" s="1">
        <v>50.8</v>
      </c>
      <c r="L6" s="1">
        <v>45.6</v>
      </c>
      <c r="M6" s="1">
        <v>38.5</v>
      </c>
      <c r="N6" s="1">
        <v>32.6</v>
      </c>
      <c r="O6" s="9">
        <v>33.9</v>
      </c>
      <c r="P6" s="17">
        <v>41.1</v>
      </c>
      <c r="W6" s="28">
        <f>SUM(D6:G6)</f>
        <v>162.33999999999997</v>
      </c>
      <c r="X6" s="28">
        <f>SUM(H6:K6)</f>
        <v>211.2</v>
      </c>
      <c r="Y6" s="28">
        <v>150</v>
      </c>
      <c r="Z6" s="29">
        <v>140</v>
      </c>
      <c r="AA6" s="28">
        <v>178</v>
      </c>
      <c r="AB6" s="28">
        <v>193</v>
      </c>
      <c r="AC6" s="28">
        <v>210</v>
      </c>
      <c r="AD6" s="28">
        <v>230</v>
      </c>
      <c r="AE6" s="28">
        <f>AD6*1.05</f>
        <v>241.5</v>
      </c>
      <c r="AF6" s="28">
        <f t="shared" ref="AF6:AJ6" si="2">AE6*1.05</f>
        <v>253.57500000000002</v>
      </c>
      <c r="AG6" s="28">
        <f t="shared" si="2"/>
        <v>266.25375000000003</v>
      </c>
      <c r="AH6" s="28">
        <f t="shared" si="2"/>
        <v>279.56643750000006</v>
      </c>
      <c r="AI6" s="28">
        <f t="shared" si="2"/>
        <v>293.54475937500007</v>
      </c>
      <c r="AJ6" s="28">
        <f t="shared" si="2"/>
        <v>308.2219973437501</v>
      </c>
    </row>
    <row r="7" spans="1:36" x14ac:dyDescent="0.25">
      <c r="A7" s="6" t="s">
        <v>110</v>
      </c>
      <c r="B7" s="24">
        <v>581.4</v>
      </c>
      <c r="C7" s="1" t="s">
        <v>27</v>
      </c>
      <c r="D7" s="9">
        <v>13.81</v>
      </c>
      <c r="E7" s="9">
        <v>17.66</v>
      </c>
      <c r="F7" s="9">
        <v>17.399999999999999</v>
      </c>
      <c r="G7" s="9">
        <v>15.5</v>
      </c>
      <c r="H7" s="9">
        <v>19.399999999999999</v>
      </c>
      <c r="I7" s="9">
        <v>17.600000000000001</v>
      </c>
      <c r="J7" s="9">
        <v>13.9</v>
      </c>
      <c r="K7" s="9">
        <v>15.7</v>
      </c>
      <c r="L7" s="9">
        <v>15.3</v>
      </c>
      <c r="M7" s="9">
        <v>15.5</v>
      </c>
      <c r="N7" s="9">
        <v>14.9</v>
      </c>
      <c r="O7" s="9">
        <v>13.8</v>
      </c>
      <c r="P7" s="17">
        <v>11.4</v>
      </c>
      <c r="W7" s="28">
        <f>SUM(D7:G7)</f>
        <v>64.37</v>
      </c>
      <c r="X7" s="28">
        <f>SUM(H7:K7)</f>
        <v>66.599999999999994</v>
      </c>
      <c r="Y7" s="28">
        <v>55</v>
      </c>
      <c r="Z7" s="29">
        <v>43</v>
      </c>
      <c r="AA7" s="28">
        <v>44</v>
      </c>
      <c r="AB7" s="28">
        <v>45</v>
      </c>
      <c r="AC7" s="28">
        <v>43</v>
      </c>
      <c r="AD7" s="28">
        <v>43</v>
      </c>
      <c r="AE7" s="28">
        <v>43</v>
      </c>
      <c r="AF7" s="28">
        <v>43</v>
      </c>
      <c r="AG7" s="28">
        <v>43</v>
      </c>
      <c r="AH7" s="28">
        <v>43</v>
      </c>
      <c r="AI7" s="28">
        <v>43</v>
      </c>
      <c r="AJ7" s="28">
        <v>43</v>
      </c>
    </row>
    <row r="8" spans="1:36" x14ac:dyDescent="0.25">
      <c r="A8" s="6" t="s">
        <v>111</v>
      </c>
      <c r="B8" s="24">
        <v>1866.7</v>
      </c>
      <c r="C8" s="1" t="s">
        <v>28</v>
      </c>
      <c r="D8" s="9">
        <v>17.02</v>
      </c>
      <c r="E8" s="9">
        <v>15.26</v>
      </c>
      <c r="F8" s="9">
        <v>14.7</v>
      </c>
      <c r="G8" s="9">
        <v>21</v>
      </c>
      <c r="H8" s="9">
        <v>25.9</v>
      </c>
      <c r="I8" s="9">
        <v>26.4</v>
      </c>
      <c r="J8" s="9">
        <v>23.4</v>
      </c>
      <c r="K8" s="9">
        <v>36.1</v>
      </c>
      <c r="L8" s="9">
        <v>34</v>
      </c>
      <c r="M8" s="9">
        <v>37</v>
      </c>
      <c r="N8" s="9">
        <v>27.4</v>
      </c>
      <c r="O8" s="9">
        <v>38.299999999999997</v>
      </c>
      <c r="P8" s="17">
        <v>43.8</v>
      </c>
      <c r="W8" s="28">
        <f>SUM(D8:G8)</f>
        <v>67.98</v>
      </c>
      <c r="X8" s="28">
        <f>SUM(H8:K8)</f>
        <v>111.79999999999998</v>
      </c>
      <c r="Y8" s="28">
        <v>138</v>
      </c>
      <c r="Z8" s="29">
        <v>189</v>
      </c>
      <c r="AA8" s="28">
        <v>236</v>
      </c>
      <c r="AB8" s="28">
        <v>286</v>
      </c>
      <c r="AC8" s="28">
        <f>AB8*1.15</f>
        <v>328.9</v>
      </c>
      <c r="AD8" s="28">
        <f>AC8*1.1</f>
        <v>361.79</v>
      </c>
      <c r="AE8" s="28">
        <f>AD8*1.1</f>
        <v>397.96900000000005</v>
      </c>
      <c r="AF8" s="28">
        <f>AE8*1.1</f>
        <v>437.7659000000001</v>
      </c>
      <c r="AG8" s="28">
        <f t="shared" ref="AG8:AJ8" si="3">AF8*1.1</f>
        <v>481.54249000000016</v>
      </c>
      <c r="AH8" s="28">
        <f t="shared" si="3"/>
        <v>529.69673900000021</v>
      </c>
      <c r="AI8" s="28">
        <f t="shared" si="3"/>
        <v>582.6664129000003</v>
      </c>
      <c r="AJ8" s="28">
        <f t="shared" si="3"/>
        <v>640.93305419000035</v>
      </c>
    </row>
    <row r="9" spans="1:36" s="7" customFormat="1" x14ac:dyDescent="0.25">
      <c r="A9" s="16" t="s">
        <v>29</v>
      </c>
      <c r="B9" s="25">
        <f>B6-B7+B8</f>
        <v>12623.578177000001</v>
      </c>
      <c r="C9" s="7" t="s">
        <v>30</v>
      </c>
      <c r="D9" s="18">
        <f t="shared" ref="D9:N9" si="4">SUM(D4:D8)</f>
        <v>121.71</v>
      </c>
      <c r="E9" s="18">
        <f t="shared" si="4"/>
        <v>134.78</v>
      </c>
      <c r="F9" s="18">
        <f t="shared" si="4"/>
        <v>141.79999999999998</v>
      </c>
      <c r="G9" s="18">
        <f t="shared" si="4"/>
        <v>154.5</v>
      </c>
      <c r="H9" s="18">
        <f t="shared" si="4"/>
        <v>190.60000000000002</v>
      </c>
      <c r="I9" s="18">
        <f t="shared" si="4"/>
        <v>206.3</v>
      </c>
      <c r="J9" s="18">
        <f t="shared" si="4"/>
        <v>179.10000000000002</v>
      </c>
      <c r="K9" s="18">
        <f t="shared" si="4"/>
        <v>198.99999999999997</v>
      </c>
      <c r="L9" s="18">
        <f t="shared" si="4"/>
        <v>173.8</v>
      </c>
      <c r="M9" s="18">
        <f t="shared" si="4"/>
        <v>167.6</v>
      </c>
      <c r="N9" s="18">
        <f t="shared" si="4"/>
        <v>145.1</v>
      </c>
      <c r="O9" s="18">
        <f>SUM(O4:O8)</f>
        <v>160.69999999999999</v>
      </c>
      <c r="P9" s="37">
        <f>SUM(P4:P8)</f>
        <v>164.60000000000002</v>
      </c>
      <c r="W9" s="30">
        <f>SUM(W4:W8)</f>
        <v>552.79</v>
      </c>
      <c r="X9" s="30">
        <f>SUM(X4:X8)</f>
        <v>774.99999999999989</v>
      </c>
      <c r="Y9" s="30">
        <f>SUM(Y4:Y8)</f>
        <v>642</v>
      </c>
      <c r="Z9" s="31">
        <f t="shared" ref="Z9:AF9" si="5">SUM(Z4:Z8)</f>
        <v>683</v>
      </c>
      <c r="AA9" s="30">
        <f t="shared" si="5"/>
        <v>824</v>
      </c>
      <c r="AB9" s="30">
        <f t="shared" si="5"/>
        <v>936</v>
      </c>
      <c r="AC9" s="30">
        <f t="shared" si="5"/>
        <v>1041.9000000000001</v>
      </c>
      <c r="AD9" s="30">
        <f t="shared" si="5"/>
        <v>1139.79</v>
      </c>
      <c r="AE9" s="30">
        <f t="shared" si="5"/>
        <v>1227.2190000000001</v>
      </c>
      <c r="AF9" s="30">
        <f t="shared" si="5"/>
        <v>1322.0194000000001</v>
      </c>
      <c r="AG9" s="30">
        <f t="shared" ref="AG9" si="6">SUM(AG4:AG8)</f>
        <v>1424.8398750000001</v>
      </c>
      <c r="AH9" s="30">
        <f t="shared" ref="AH9" si="7">SUM(AH4:AH8)</f>
        <v>1536.3879935500004</v>
      </c>
      <c r="AI9" s="30">
        <f t="shared" ref="AI9" si="8">SUM(AI4:AI8)</f>
        <v>1657.4356856025006</v>
      </c>
      <c r="AJ9" s="30">
        <f t="shared" ref="AJ9" si="9">SUM(AJ4:AJ8)</f>
        <v>1788.8252261957359</v>
      </c>
    </row>
    <row r="10" spans="1:36" x14ac:dyDescent="0.25">
      <c r="C10" s="1" t="s">
        <v>31</v>
      </c>
      <c r="D10" s="9">
        <v>-84.54</v>
      </c>
      <c r="E10" s="9">
        <v>-92.34</v>
      </c>
      <c r="F10" s="9">
        <v>-97.9</v>
      </c>
      <c r="G10" s="9">
        <v>-103.8</v>
      </c>
      <c r="H10" s="9">
        <v>-129.6</v>
      </c>
      <c r="I10" s="9">
        <v>-141.30000000000001</v>
      </c>
      <c r="J10" s="9">
        <v>-122.7</v>
      </c>
      <c r="K10" s="9">
        <v>-134.69999999999999</v>
      </c>
      <c r="L10" s="9">
        <v>-113.9</v>
      </c>
      <c r="M10" s="9">
        <v>-111.8</v>
      </c>
      <c r="N10" s="9">
        <v>-96.7</v>
      </c>
      <c r="O10" s="9">
        <v>-110.3</v>
      </c>
      <c r="P10" s="17">
        <v>-110.2</v>
      </c>
      <c r="W10" s="28">
        <f>SUM(D10:G10)</f>
        <v>-378.58</v>
      </c>
      <c r="X10" s="28">
        <v>-528.29999999999995</v>
      </c>
      <c r="Y10" s="28">
        <f>SUM(L10:O10)</f>
        <v>-432.7</v>
      </c>
      <c r="Z10" s="29">
        <f>Z9*(-0.65)</f>
        <v>-443.95</v>
      </c>
      <c r="AA10" s="28">
        <f t="shared" ref="AA10" si="10">AA9*(-0.67)</f>
        <v>-552.08000000000004</v>
      </c>
      <c r="AB10" s="28">
        <f>AB9*(-0.68)</f>
        <v>-636.48</v>
      </c>
      <c r="AC10" s="28">
        <f>AC9*(-0.69)</f>
        <v>-718.91100000000006</v>
      </c>
      <c r="AD10" s="28">
        <f t="shared" ref="AD10:AJ10" si="11">AD9*(-0.69)</f>
        <v>-786.4550999999999</v>
      </c>
      <c r="AE10" s="28">
        <f t="shared" si="11"/>
        <v>-846.78111000000001</v>
      </c>
      <c r="AF10" s="28">
        <f t="shared" si="11"/>
        <v>-912.19338600000003</v>
      </c>
      <c r="AG10" s="28">
        <f t="shared" si="11"/>
        <v>-983.13951374999999</v>
      </c>
      <c r="AH10" s="28">
        <f t="shared" si="11"/>
        <v>-1060.1077155495002</v>
      </c>
      <c r="AI10" s="28">
        <f t="shared" si="11"/>
        <v>-1143.6306230657253</v>
      </c>
      <c r="AJ10" s="28">
        <f t="shared" si="11"/>
        <v>-1234.2894060750577</v>
      </c>
    </row>
    <row r="11" spans="1:36" x14ac:dyDescent="0.25">
      <c r="A11" s="1" t="s">
        <v>95</v>
      </c>
      <c r="B11" s="2">
        <v>11.89</v>
      </c>
      <c r="C11" s="1" t="s">
        <v>32</v>
      </c>
      <c r="D11" s="9">
        <v>-21.23</v>
      </c>
      <c r="E11" s="9">
        <v>-22.66</v>
      </c>
      <c r="F11" s="9">
        <v>-21.6</v>
      </c>
      <c r="G11" s="9">
        <v>-27.5</v>
      </c>
      <c r="H11" s="9">
        <v>-31.2</v>
      </c>
      <c r="I11" s="9">
        <v>-31.6</v>
      </c>
      <c r="J11" s="9">
        <v>-28</v>
      </c>
      <c r="K11" s="9">
        <v>-31.6</v>
      </c>
      <c r="L11" s="9">
        <v>-34.299999999999997</v>
      </c>
      <c r="M11" s="9">
        <v>-28.1</v>
      </c>
      <c r="N11" s="9">
        <v>-25.1</v>
      </c>
      <c r="O11" s="9">
        <v>-28</v>
      </c>
      <c r="P11" s="17">
        <v>-28.9</v>
      </c>
      <c r="W11" s="28">
        <f>SUM(D11:G11)</f>
        <v>-92.990000000000009</v>
      </c>
      <c r="X11" s="28">
        <f>SUM(H11:K11)</f>
        <v>-122.4</v>
      </c>
      <c r="Y11" s="28">
        <f>SUM(L11:O11)</f>
        <v>-115.5</v>
      </c>
      <c r="Z11" s="29">
        <f>Y11*1.05</f>
        <v>-121.27500000000001</v>
      </c>
      <c r="AA11" s="28">
        <f t="shared" ref="AA11" si="12">Z11*1.05</f>
        <v>-127.33875</v>
      </c>
      <c r="AB11" s="28">
        <f>AA11*1.1</f>
        <v>-140.07262500000002</v>
      </c>
      <c r="AC11" s="28">
        <f t="shared" ref="AC11:AJ11" si="13">AB11*1.1</f>
        <v>-154.07988750000004</v>
      </c>
      <c r="AD11" s="28">
        <f t="shared" si="13"/>
        <v>-169.48787625000006</v>
      </c>
      <c r="AE11" s="28">
        <f t="shared" si="13"/>
        <v>-186.43666387500008</v>
      </c>
      <c r="AF11" s="28">
        <f t="shared" si="13"/>
        <v>-205.0803302625001</v>
      </c>
      <c r="AG11" s="28">
        <f t="shared" si="13"/>
        <v>-225.58836328875012</v>
      </c>
      <c r="AH11" s="28">
        <f t="shared" si="13"/>
        <v>-248.14719961762515</v>
      </c>
      <c r="AI11" s="28">
        <f t="shared" si="13"/>
        <v>-272.96191957938771</v>
      </c>
      <c r="AJ11" s="28">
        <f t="shared" si="13"/>
        <v>-300.2581115373265</v>
      </c>
    </row>
    <row r="12" spans="1:36" x14ac:dyDescent="0.25">
      <c r="C12" s="1" t="s">
        <v>33</v>
      </c>
      <c r="D12" s="9">
        <v>-6.1</v>
      </c>
      <c r="E12" s="9">
        <v>-6.69</v>
      </c>
      <c r="F12" s="9">
        <v>-7.1</v>
      </c>
      <c r="G12" s="9">
        <v>-8.3000000000000007</v>
      </c>
      <c r="H12" s="9">
        <v>-9.1999999999999993</v>
      </c>
      <c r="I12" s="9">
        <v>-9.8000000000000007</v>
      </c>
      <c r="J12" s="9">
        <v>-8.3000000000000007</v>
      </c>
      <c r="K12" s="9">
        <v>-9.9</v>
      </c>
      <c r="L12" s="9">
        <v>-10.4</v>
      </c>
      <c r="M12" s="9">
        <v>-8.1999999999999993</v>
      </c>
      <c r="N12" s="9">
        <v>-8.4</v>
      </c>
      <c r="O12" s="9">
        <v>-5.3</v>
      </c>
      <c r="P12" s="17">
        <v>-7.9</v>
      </c>
      <c r="W12" s="28">
        <f>SUM(D12:G12)</f>
        <v>-28.19</v>
      </c>
      <c r="X12" s="28">
        <f>SUM(H12:K12)</f>
        <v>-37.200000000000003</v>
      </c>
      <c r="Y12" s="28">
        <f>SUM(L12:O12)</f>
        <v>-32.299999999999997</v>
      </c>
      <c r="Z12" s="29">
        <v>-35</v>
      </c>
      <c r="AA12" s="28">
        <v>-35</v>
      </c>
      <c r="AB12" s="28">
        <v>-35</v>
      </c>
      <c r="AC12" s="28">
        <v>-35</v>
      </c>
      <c r="AD12" s="28">
        <v>-35</v>
      </c>
      <c r="AE12" s="28">
        <v>-35</v>
      </c>
      <c r="AF12" s="28">
        <v>-35</v>
      </c>
      <c r="AG12" s="28">
        <v>-35</v>
      </c>
      <c r="AH12" s="28">
        <v>-35</v>
      </c>
      <c r="AI12" s="28">
        <v>-35</v>
      </c>
      <c r="AJ12" s="28">
        <v>-35</v>
      </c>
    </row>
    <row r="13" spans="1:36" x14ac:dyDescent="0.25">
      <c r="C13" s="1" t="s">
        <v>34</v>
      </c>
      <c r="D13" s="9">
        <v>0.22</v>
      </c>
      <c r="E13" s="9">
        <v>-0.78</v>
      </c>
      <c r="F13" s="9">
        <v>-1.6</v>
      </c>
      <c r="G13" s="9">
        <v>2.4</v>
      </c>
      <c r="H13" s="9">
        <v>0.8</v>
      </c>
      <c r="I13" s="9">
        <v>-0.2</v>
      </c>
      <c r="J13" s="9">
        <v>0.5</v>
      </c>
      <c r="K13" s="9">
        <v>-0.1</v>
      </c>
      <c r="L13" s="9">
        <v>0</v>
      </c>
      <c r="M13" s="9">
        <v>0</v>
      </c>
      <c r="N13" s="9">
        <v>0.4</v>
      </c>
      <c r="O13" s="9">
        <v>-0.3</v>
      </c>
      <c r="P13" s="17">
        <v>-0.4</v>
      </c>
      <c r="W13" s="28">
        <f>SUM(D13:G13)</f>
        <v>0.23999999999999977</v>
      </c>
      <c r="X13" s="28">
        <f>SUM(H13:K13)</f>
        <v>1</v>
      </c>
      <c r="Y13" s="28">
        <f>SUM(L13:O13)</f>
        <v>0.10000000000000003</v>
      </c>
      <c r="Z13" s="29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>
        <v>1</v>
      </c>
      <c r="AJ13" s="28">
        <v>1</v>
      </c>
    </row>
    <row r="14" spans="1:36" s="7" customFormat="1" x14ac:dyDescent="0.25">
      <c r="A14" s="18"/>
      <c r="B14" s="8"/>
      <c r="C14" s="7" t="s">
        <v>35</v>
      </c>
      <c r="D14" s="18">
        <f t="shared" ref="D14:N14" si="14">SUM(D9:D13)</f>
        <v>10.059999999999988</v>
      </c>
      <c r="E14" s="18">
        <f t="shared" si="14"/>
        <v>12.309999999999997</v>
      </c>
      <c r="F14" s="18">
        <f t="shared" si="14"/>
        <v>13.599999999999977</v>
      </c>
      <c r="G14" s="18">
        <f t="shared" si="14"/>
        <v>17.3</v>
      </c>
      <c r="H14" s="18">
        <f t="shared" si="14"/>
        <v>21.400000000000031</v>
      </c>
      <c r="I14" s="18">
        <f t="shared" si="14"/>
        <v>23.4</v>
      </c>
      <c r="J14" s="18">
        <f t="shared" si="14"/>
        <v>20.600000000000019</v>
      </c>
      <c r="K14" s="18">
        <f t="shared" si="14"/>
        <v>22.699999999999982</v>
      </c>
      <c r="L14" s="18">
        <f t="shared" si="14"/>
        <v>15.200000000000008</v>
      </c>
      <c r="M14" s="18">
        <f t="shared" si="14"/>
        <v>19.499999999999996</v>
      </c>
      <c r="N14" s="18">
        <f t="shared" si="14"/>
        <v>15.29999999999999</v>
      </c>
      <c r="O14" s="18">
        <f>SUM(O9:O13)</f>
        <v>16.79999999999999</v>
      </c>
      <c r="P14" s="37">
        <f>SUM(P9:P13)</f>
        <v>17.200000000000024</v>
      </c>
      <c r="W14" s="30">
        <f>SUM(W9:W13)</f>
        <v>53.269999999999975</v>
      </c>
      <c r="X14" s="30">
        <f>SUM(X9:X13)</f>
        <v>88.099999999999923</v>
      </c>
      <c r="Y14" s="30">
        <f>SUM(Y9:Y13)</f>
        <v>61.600000000000016</v>
      </c>
      <c r="Z14" s="31">
        <f>SUM(Z9:Z13)</f>
        <v>83.775000000000006</v>
      </c>
      <c r="AA14" s="30">
        <f t="shared" ref="AA14:AJ14" si="15">SUM(AA9:AA13)</f>
        <v>110.58124999999995</v>
      </c>
      <c r="AB14" s="30">
        <f t="shared" si="15"/>
        <v>125.44737499999997</v>
      </c>
      <c r="AC14" s="30">
        <f t="shared" si="15"/>
        <v>134.90911249999999</v>
      </c>
      <c r="AD14" s="30">
        <f t="shared" si="15"/>
        <v>149.84702375000001</v>
      </c>
      <c r="AE14" s="30">
        <f t="shared" si="15"/>
        <v>160.00122612499996</v>
      </c>
      <c r="AF14" s="30">
        <f t="shared" si="15"/>
        <v>170.7456837375</v>
      </c>
      <c r="AG14" s="30">
        <f t="shared" si="15"/>
        <v>182.11199796125001</v>
      </c>
      <c r="AH14" s="30">
        <f t="shared" si="15"/>
        <v>194.13307838287503</v>
      </c>
      <c r="AI14" s="30">
        <f t="shared" si="15"/>
        <v>206.84314295738756</v>
      </c>
      <c r="AJ14" s="30">
        <f t="shared" si="15"/>
        <v>220.27770858335168</v>
      </c>
    </row>
    <row r="15" spans="1:36" x14ac:dyDescent="0.25">
      <c r="A15" s="9"/>
      <c r="C15" s="1" t="s">
        <v>36</v>
      </c>
      <c r="D15" s="9">
        <v>-3.25</v>
      </c>
      <c r="E15" s="9">
        <v>-3.62</v>
      </c>
      <c r="F15" s="9">
        <v>-3.6</v>
      </c>
      <c r="G15" s="9">
        <v>-3.3</v>
      </c>
      <c r="H15" s="9">
        <v>-4.0999999999999996</v>
      </c>
      <c r="I15" s="9">
        <v>-4.3</v>
      </c>
      <c r="J15" s="9">
        <v>-4.5</v>
      </c>
      <c r="K15" s="9">
        <v>-4.8</v>
      </c>
      <c r="L15" s="9">
        <v>-4.7</v>
      </c>
      <c r="M15" s="9">
        <v>-4.5999999999999996</v>
      </c>
      <c r="N15" s="9">
        <v>-4.5999999999999996</v>
      </c>
      <c r="O15" s="9">
        <v>-4.8</v>
      </c>
      <c r="P15" s="17">
        <v>-4.5999999999999996</v>
      </c>
      <c r="W15" s="28">
        <f>SUM(J15:M15)</f>
        <v>-18.600000000000001</v>
      </c>
      <c r="X15" s="28">
        <f>SUM(H15:K15)</f>
        <v>-17.7</v>
      </c>
      <c r="Y15" s="28">
        <f>SUM(L15:O15)</f>
        <v>-18.7</v>
      </c>
      <c r="Z15" s="29">
        <v>-20</v>
      </c>
      <c r="AA15" s="28">
        <v>-20</v>
      </c>
      <c r="AB15" s="28">
        <v>-20</v>
      </c>
      <c r="AC15" s="28">
        <v>-20</v>
      </c>
      <c r="AD15" s="28">
        <v>-20</v>
      </c>
      <c r="AE15" s="28">
        <v>-20</v>
      </c>
      <c r="AF15" s="28">
        <v>-20</v>
      </c>
      <c r="AG15" s="28">
        <v>-20</v>
      </c>
      <c r="AH15" s="28">
        <v>-20</v>
      </c>
      <c r="AI15" s="28">
        <v>-20</v>
      </c>
      <c r="AJ15" s="28">
        <v>-20</v>
      </c>
    </row>
    <row r="16" spans="1:36" s="7" customFormat="1" x14ac:dyDescent="0.25">
      <c r="A16" s="18"/>
      <c r="B16" s="8"/>
      <c r="C16" s="7" t="s">
        <v>37</v>
      </c>
      <c r="D16" s="18">
        <f t="shared" ref="D16:O16" si="16">SUM(D14:D15)</f>
        <v>6.8099999999999881</v>
      </c>
      <c r="E16" s="18">
        <f t="shared" si="16"/>
        <v>8.6899999999999977</v>
      </c>
      <c r="F16" s="18">
        <f t="shared" si="16"/>
        <v>9.9999999999999769</v>
      </c>
      <c r="G16" s="18">
        <f t="shared" si="16"/>
        <v>14</v>
      </c>
      <c r="H16" s="18">
        <f t="shared" si="16"/>
        <v>17.300000000000033</v>
      </c>
      <c r="I16" s="18">
        <f t="shared" si="16"/>
        <v>19.099999999999998</v>
      </c>
      <c r="J16" s="18">
        <f t="shared" si="16"/>
        <v>16.100000000000019</v>
      </c>
      <c r="K16" s="18">
        <f t="shared" si="16"/>
        <v>17.899999999999981</v>
      </c>
      <c r="L16" s="18">
        <f t="shared" si="16"/>
        <v>10.500000000000007</v>
      </c>
      <c r="M16" s="18">
        <f t="shared" si="16"/>
        <v>14.899999999999997</v>
      </c>
      <c r="N16" s="18">
        <f t="shared" si="16"/>
        <v>10.69999999999999</v>
      </c>
      <c r="O16" s="18">
        <f t="shared" si="16"/>
        <v>11.999999999999989</v>
      </c>
      <c r="P16" s="37">
        <f t="shared" ref="P16" si="17">SUM(P14:P15)</f>
        <v>12.600000000000025</v>
      </c>
      <c r="W16" s="30">
        <f>SUM(W14:W15)</f>
        <v>34.669999999999973</v>
      </c>
      <c r="X16" s="30">
        <f>SUM(X14:X15)</f>
        <v>70.39999999999992</v>
      </c>
      <c r="Y16" s="30">
        <f>SUM(Y14:Y15)</f>
        <v>42.90000000000002</v>
      </c>
      <c r="Z16" s="31">
        <f>SUM(Z14:Z15)</f>
        <v>63.775000000000006</v>
      </c>
      <c r="AA16" s="30">
        <f t="shared" ref="AA16:AJ16" si="18">SUM(AA14:AA15)</f>
        <v>90.581249999999955</v>
      </c>
      <c r="AB16" s="30">
        <f t="shared" si="18"/>
        <v>105.44737499999997</v>
      </c>
      <c r="AC16" s="30">
        <f t="shared" si="18"/>
        <v>114.90911249999999</v>
      </c>
      <c r="AD16" s="30">
        <f>SUM(AD14:AD15)</f>
        <v>129.84702375000001</v>
      </c>
      <c r="AE16" s="30">
        <f t="shared" si="18"/>
        <v>140.00122612499996</v>
      </c>
      <c r="AF16" s="30">
        <f t="shared" si="18"/>
        <v>150.7456837375</v>
      </c>
      <c r="AG16" s="30">
        <f t="shared" si="18"/>
        <v>162.11199796125001</v>
      </c>
      <c r="AH16" s="30">
        <f t="shared" si="18"/>
        <v>174.13307838287503</v>
      </c>
      <c r="AI16" s="30">
        <f t="shared" si="18"/>
        <v>186.84314295738756</v>
      </c>
      <c r="AJ16" s="30">
        <f t="shared" si="18"/>
        <v>200.27770858335168</v>
      </c>
    </row>
    <row r="17" spans="1:134" x14ac:dyDescent="0.25">
      <c r="A17" s="9"/>
      <c r="C17" s="1" t="s">
        <v>38</v>
      </c>
      <c r="D17" s="9">
        <v>-2.0099999999999998</v>
      </c>
      <c r="E17" s="9">
        <v>-1.51</v>
      </c>
      <c r="F17" s="9">
        <v>-1.1000000000000001</v>
      </c>
      <c r="G17" s="9">
        <v>-1.2</v>
      </c>
      <c r="H17" s="9">
        <v>-1</v>
      </c>
      <c r="I17" s="9">
        <v>0.1</v>
      </c>
      <c r="J17" s="9">
        <v>-3.9</v>
      </c>
      <c r="K17" s="9">
        <v>-1.2</v>
      </c>
      <c r="L17" s="9">
        <v>-1.9</v>
      </c>
      <c r="M17" s="9">
        <v>-2.4</v>
      </c>
      <c r="N17" s="9">
        <v>-2.2999999999999998</v>
      </c>
      <c r="O17" s="9">
        <v>-1.5</v>
      </c>
      <c r="P17" s="17">
        <v>-2.5</v>
      </c>
      <c r="W17" s="28">
        <f>SUM(J17:M17)</f>
        <v>-9.4</v>
      </c>
      <c r="X17" s="28">
        <f>SUM(H17:K17)</f>
        <v>-6</v>
      </c>
      <c r="Y17" s="28">
        <f>SUM(L17:O17)</f>
        <v>-8.1</v>
      </c>
      <c r="Z17" s="29">
        <v>-10</v>
      </c>
      <c r="AA17" s="28">
        <v>-10</v>
      </c>
      <c r="AB17" s="28">
        <v>-10</v>
      </c>
      <c r="AC17" s="28">
        <v>-10</v>
      </c>
      <c r="AD17" s="28">
        <v>-10</v>
      </c>
      <c r="AE17" s="28">
        <v>-10</v>
      </c>
      <c r="AF17" s="28">
        <v>-10</v>
      </c>
      <c r="AG17" s="28">
        <v>-10</v>
      </c>
      <c r="AH17" s="28">
        <v>-10</v>
      </c>
      <c r="AI17" s="28">
        <v>-10</v>
      </c>
      <c r="AJ17" s="28">
        <v>-10</v>
      </c>
    </row>
    <row r="18" spans="1:134" x14ac:dyDescent="0.25">
      <c r="A18" s="9"/>
      <c r="C18" s="1" t="s">
        <v>39</v>
      </c>
      <c r="D18" s="9">
        <f t="shared" ref="D18:O18" si="19">SUM(D16:D17)</f>
        <v>4.7999999999999883</v>
      </c>
      <c r="E18" s="9">
        <f t="shared" si="19"/>
        <v>7.1799999999999979</v>
      </c>
      <c r="F18" s="9">
        <f t="shared" si="19"/>
        <v>8.8999999999999773</v>
      </c>
      <c r="G18" s="9">
        <f t="shared" si="19"/>
        <v>12.8</v>
      </c>
      <c r="H18" s="9">
        <f t="shared" si="19"/>
        <v>16.300000000000033</v>
      </c>
      <c r="I18" s="9">
        <f t="shared" si="19"/>
        <v>19.2</v>
      </c>
      <c r="J18" s="9">
        <f t="shared" si="19"/>
        <v>12.200000000000019</v>
      </c>
      <c r="K18" s="9">
        <f t="shared" si="19"/>
        <v>16.699999999999982</v>
      </c>
      <c r="L18" s="9">
        <f t="shared" si="19"/>
        <v>8.6000000000000068</v>
      </c>
      <c r="M18" s="9">
        <f t="shared" si="19"/>
        <v>12.499999999999996</v>
      </c>
      <c r="N18" s="9">
        <f t="shared" si="19"/>
        <v>8.3999999999999915</v>
      </c>
      <c r="O18" s="9">
        <f t="shared" si="19"/>
        <v>10.499999999999989</v>
      </c>
      <c r="P18" s="17">
        <f t="shared" ref="P18" si="20">SUM(P16:P17)</f>
        <v>10.100000000000025</v>
      </c>
      <c r="W18" s="28">
        <f>SUM(W16:W17)</f>
        <v>25.269999999999975</v>
      </c>
      <c r="X18" s="28">
        <f>SUM(X16:X17)</f>
        <v>64.39999999999992</v>
      </c>
      <c r="Y18" s="28">
        <f>SUM(Y16:Y17)</f>
        <v>34.800000000000018</v>
      </c>
      <c r="Z18" s="29">
        <f>SUM(Z16:Z17)</f>
        <v>53.775000000000006</v>
      </c>
      <c r="AA18" s="28">
        <f t="shared" ref="AA18:AJ18" si="21">SUM(AA16:AA17)</f>
        <v>80.581249999999955</v>
      </c>
      <c r="AB18" s="28">
        <f t="shared" si="21"/>
        <v>95.447374999999965</v>
      </c>
      <c r="AC18" s="28">
        <f t="shared" si="21"/>
        <v>104.90911249999999</v>
      </c>
      <c r="AD18" s="28">
        <f t="shared" si="21"/>
        <v>119.84702375000001</v>
      </c>
      <c r="AE18" s="28">
        <f t="shared" si="21"/>
        <v>130.00122612499996</v>
      </c>
      <c r="AF18" s="28">
        <f t="shared" si="21"/>
        <v>140.7456837375</v>
      </c>
      <c r="AG18" s="28">
        <f t="shared" si="21"/>
        <v>152.11199796125001</v>
      </c>
      <c r="AH18" s="28">
        <f t="shared" si="21"/>
        <v>164.13307838287503</v>
      </c>
      <c r="AI18" s="28">
        <f t="shared" si="21"/>
        <v>176.84314295738756</v>
      </c>
      <c r="AJ18" s="28">
        <f t="shared" si="21"/>
        <v>190.27770858335168</v>
      </c>
    </row>
    <row r="19" spans="1:134" x14ac:dyDescent="0.25">
      <c r="A19" s="9"/>
      <c r="C19" s="1" t="s">
        <v>40</v>
      </c>
      <c r="D19" s="9">
        <v>-0.85</v>
      </c>
      <c r="E19" s="9">
        <v>-1.37</v>
      </c>
      <c r="F19" s="9">
        <v>-2.4</v>
      </c>
      <c r="G19" s="9">
        <v>-4.3</v>
      </c>
      <c r="H19" s="9">
        <v>-3</v>
      </c>
      <c r="I19" s="9">
        <v>-3.6</v>
      </c>
      <c r="J19" s="9">
        <v>-2.6</v>
      </c>
      <c r="K19" s="9">
        <v>-4.5</v>
      </c>
      <c r="L19" s="9">
        <v>-2.1</v>
      </c>
      <c r="M19" s="9">
        <v>-2.2000000000000002</v>
      </c>
      <c r="N19" s="9">
        <v>-2.2999999999999998</v>
      </c>
      <c r="O19" s="9">
        <v>-5.3</v>
      </c>
      <c r="P19" s="17">
        <v>-2.4</v>
      </c>
      <c r="W19" s="28">
        <f>SUM(J19:M19)</f>
        <v>-11.399999999999999</v>
      </c>
      <c r="X19" s="28">
        <f>SUM(H19:K19)</f>
        <v>-13.7</v>
      </c>
      <c r="Y19" s="28">
        <f>SUM(L19:O19)</f>
        <v>-11.9</v>
      </c>
      <c r="Z19" s="29">
        <f>Z18*-0.23</f>
        <v>-12.368250000000002</v>
      </c>
      <c r="AA19" s="28">
        <f t="shared" ref="AA19:AJ19" si="22">AA18*-0.23</f>
        <v>-18.533687499999992</v>
      </c>
      <c r="AB19" s="28">
        <f t="shared" si="22"/>
        <v>-21.952896249999991</v>
      </c>
      <c r="AC19" s="28">
        <f t="shared" si="22"/>
        <v>-24.129095875000001</v>
      </c>
      <c r="AD19" s="28">
        <f t="shared" si="22"/>
        <v>-27.564815462500004</v>
      </c>
      <c r="AE19" s="28">
        <f t="shared" si="22"/>
        <v>-29.900282008749993</v>
      </c>
      <c r="AF19" s="28">
        <f t="shared" si="22"/>
        <v>-32.371507259625005</v>
      </c>
      <c r="AG19" s="28">
        <f t="shared" si="22"/>
        <v>-34.985759531087503</v>
      </c>
      <c r="AH19" s="28">
        <f t="shared" si="22"/>
        <v>-37.750608028061258</v>
      </c>
      <c r="AI19" s="28">
        <f t="shared" si="22"/>
        <v>-40.673922880199143</v>
      </c>
      <c r="AJ19" s="28">
        <f t="shared" si="22"/>
        <v>-43.763872974170887</v>
      </c>
    </row>
    <row r="20" spans="1:134" s="7" customFormat="1" x14ac:dyDescent="0.25">
      <c r="B20" s="8"/>
      <c r="C20" s="7" t="s">
        <v>41</v>
      </c>
      <c r="D20" s="18">
        <f t="shared" ref="D20:O20" si="23">SUM(D18:D19)</f>
        <v>3.9499999999999882</v>
      </c>
      <c r="E20" s="18">
        <f t="shared" si="23"/>
        <v>5.8099999999999978</v>
      </c>
      <c r="F20" s="18">
        <f t="shared" si="23"/>
        <v>6.4999999999999769</v>
      </c>
      <c r="G20" s="18">
        <f t="shared" si="23"/>
        <v>8.5</v>
      </c>
      <c r="H20" s="18">
        <f t="shared" si="23"/>
        <v>13.300000000000033</v>
      </c>
      <c r="I20" s="18">
        <f t="shared" si="23"/>
        <v>15.6</v>
      </c>
      <c r="J20" s="18">
        <f t="shared" si="23"/>
        <v>9.6000000000000192</v>
      </c>
      <c r="K20" s="18">
        <f t="shared" si="23"/>
        <v>12.199999999999982</v>
      </c>
      <c r="L20" s="18">
        <f t="shared" si="23"/>
        <v>6.5000000000000071</v>
      </c>
      <c r="M20" s="18">
        <f t="shared" si="23"/>
        <v>10.299999999999997</v>
      </c>
      <c r="N20" s="18">
        <f t="shared" si="23"/>
        <v>6.0999999999999917</v>
      </c>
      <c r="O20" s="18">
        <f t="shared" si="23"/>
        <v>5.1999999999999895</v>
      </c>
      <c r="P20" s="37">
        <f t="shared" ref="P20" si="24">SUM(P18:P19)</f>
        <v>7.7000000000000242</v>
      </c>
      <c r="W20" s="30">
        <f>SUM(J20:M20)</f>
        <v>38.600000000000009</v>
      </c>
      <c r="X20" s="30">
        <f>SUM(X18:X19)</f>
        <v>50.699999999999918</v>
      </c>
      <c r="Y20" s="30">
        <f>SUM(Y18:Y19)</f>
        <v>22.90000000000002</v>
      </c>
      <c r="Z20" s="31">
        <f>SUM(Z18:Z19)</f>
        <v>41.406750000000002</v>
      </c>
      <c r="AA20" s="30">
        <f t="shared" ref="AA20:AI20" si="25">SUM(AA18:AA19)</f>
        <v>62.047562499999962</v>
      </c>
      <c r="AB20" s="30">
        <f t="shared" si="25"/>
        <v>73.494478749999971</v>
      </c>
      <c r="AC20" s="30">
        <f t="shared" si="25"/>
        <v>80.780016624999988</v>
      </c>
      <c r="AD20" s="30">
        <f t="shared" si="25"/>
        <v>92.282208287499998</v>
      </c>
      <c r="AE20" s="30">
        <f t="shared" si="25"/>
        <v>100.10094411624996</v>
      </c>
      <c r="AF20" s="30">
        <f t="shared" si="25"/>
        <v>108.374176477875</v>
      </c>
      <c r="AG20" s="30">
        <f t="shared" si="25"/>
        <v>117.12623843016252</v>
      </c>
      <c r="AH20" s="30">
        <f t="shared" si="25"/>
        <v>126.38247035481376</v>
      </c>
      <c r="AI20" s="30">
        <f t="shared" si="25"/>
        <v>136.16922007718841</v>
      </c>
      <c r="AJ20" s="30">
        <f>SUM(AJ18:AJ19)</f>
        <v>146.5138356091808</v>
      </c>
      <c r="AK20" s="30">
        <f>+AJ20*(1+$AM$26)</f>
        <v>145.04869725308899</v>
      </c>
      <c r="AL20" s="30">
        <f t="shared" ref="AL20:CW20" si="26">+AK20*(1+$AM$26)</f>
        <v>143.59821028055811</v>
      </c>
      <c r="AM20" s="30">
        <f t="shared" si="26"/>
        <v>142.16222817775252</v>
      </c>
      <c r="AN20" s="30">
        <f t="shared" si="26"/>
        <v>140.74060589597499</v>
      </c>
      <c r="AO20" s="30">
        <f t="shared" si="26"/>
        <v>139.33319983701523</v>
      </c>
      <c r="AP20" s="30">
        <f t="shared" si="26"/>
        <v>137.93986783864509</v>
      </c>
      <c r="AQ20" s="30">
        <f t="shared" si="26"/>
        <v>136.56046916025863</v>
      </c>
      <c r="AR20" s="30">
        <f t="shared" si="26"/>
        <v>135.19486446865605</v>
      </c>
      <c r="AS20" s="30">
        <f t="shared" si="26"/>
        <v>133.84291582396949</v>
      </c>
      <c r="AT20" s="30">
        <f t="shared" si="26"/>
        <v>132.50448666572979</v>
      </c>
      <c r="AU20" s="30">
        <f t="shared" si="26"/>
        <v>131.17944179907249</v>
      </c>
      <c r="AV20" s="30">
        <f t="shared" si="26"/>
        <v>129.86764738108175</v>
      </c>
      <c r="AW20" s="30">
        <f t="shared" si="26"/>
        <v>128.56897090727094</v>
      </c>
      <c r="AX20" s="30">
        <f t="shared" si="26"/>
        <v>127.28328119819822</v>
      </c>
      <c r="AY20" s="30">
        <f t="shared" si="26"/>
        <v>126.01044838621624</v>
      </c>
      <c r="AZ20" s="30">
        <f t="shared" si="26"/>
        <v>124.75034390235407</v>
      </c>
      <c r="BA20" s="30">
        <f t="shared" si="26"/>
        <v>123.50284046333053</v>
      </c>
      <c r="BB20" s="30">
        <f t="shared" si="26"/>
        <v>122.26781205869722</v>
      </c>
      <c r="BC20" s="30">
        <f t="shared" si="26"/>
        <v>121.04513393811024</v>
      </c>
      <c r="BD20" s="30">
        <f t="shared" si="26"/>
        <v>119.83468259872913</v>
      </c>
      <c r="BE20" s="30">
        <f t="shared" si="26"/>
        <v>118.63633577274184</v>
      </c>
      <c r="BF20" s="30">
        <f t="shared" si="26"/>
        <v>117.44997241501443</v>
      </c>
      <c r="BG20" s="30">
        <f t="shared" si="26"/>
        <v>116.27547269086428</v>
      </c>
      <c r="BH20" s="30">
        <f t="shared" si="26"/>
        <v>115.11271796395563</v>
      </c>
      <c r="BI20" s="30">
        <f t="shared" si="26"/>
        <v>113.96159078431607</v>
      </c>
      <c r="BJ20" s="30">
        <f t="shared" si="26"/>
        <v>112.82197487647291</v>
      </c>
      <c r="BK20" s="30">
        <f t="shared" si="26"/>
        <v>111.69375512770817</v>
      </c>
      <c r="BL20" s="30">
        <f t="shared" si="26"/>
        <v>110.5768175764311</v>
      </c>
      <c r="BM20" s="30">
        <f t="shared" si="26"/>
        <v>109.47104940066679</v>
      </c>
      <c r="BN20" s="30">
        <f t="shared" si="26"/>
        <v>108.37633890666012</v>
      </c>
      <c r="BO20" s="30">
        <f t="shared" si="26"/>
        <v>107.29257551759352</v>
      </c>
      <c r="BP20" s="30">
        <f t="shared" si="26"/>
        <v>106.21964976241759</v>
      </c>
      <c r="BQ20" s="30">
        <f t="shared" si="26"/>
        <v>105.15745326479342</v>
      </c>
      <c r="BR20" s="30">
        <f t="shared" si="26"/>
        <v>104.10587873214548</v>
      </c>
      <c r="BS20" s="30">
        <f t="shared" si="26"/>
        <v>103.06481994482402</v>
      </c>
      <c r="BT20" s="30">
        <f t="shared" si="26"/>
        <v>102.03417174537579</v>
      </c>
      <c r="BU20" s="30">
        <f t="shared" si="26"/>
        <v>101.01383002792203</v>
      </c>
      <c r="BV20" s="30">
        <f t="shared" si="26"/>
        <v>100.0036917276428</v>
      </c>
      <c r="BW20" s="30">
        <f t="shared" si="26"/>
        <v>99.00365481036637</v>
      </c>
      <c r="BX20" s="30">
        <f t="shared" si="26"/>
        <v>98.01361826226271</v>
      </c>
      <c r="BY20" s="30">
        <f t="shared" si="26"/>
        <v>97.033482079640081</v>
      </c>
      <c r="BZ20" s="30">
        <f t="shared" si="26"/>
        <v>96.063147258843685</v>
      </c>
      <c r="CA20" s="30">
        <f t="shared" si="26"/>
        <v>95.102515786255253</v>
      </c>
      <c r="CB20" s="30">
        <f t="shared" si="26"/>
        <v>94.151490628392693</v>
      </c>
      <c r="CC20" s="30">
        <f t="shared" si="26"/>
        <v>93.209975722108766</v>
      </c>
      <c r="CD20" s="30">
        <f t="shared" si="26"/>
        <v>92.277875964887684</v>
      </c>
      <c r="CE20" s="30">
        <f t="shared" si="26"/>
        <v>91.355097205238806</v>
      </c>
      <c r="CF20" s="30">
        <f t="shared" si="26"/>
        <v>90.441546233186415</v>
      </c>
      <c r="CG20" s="30">
        <f t="shared" si="26"/>
        <v>89.537130770854546</v>
      </c>
      <c r="CH20" s="30">
        <f t="shared" si="26"/>
        <v>88.641759463146002</v>
      </c>
      <c r="CI20" s="30">
        <f t="shared" si="26"/>
        <v>87.755341868514535</v>
      </c>
      <c r="CJ20" s="30">
        <f t="shared" si="26"/>
        <v>86.877788449829382</v>
      </c>
      <c r="CK20" s="30">
        <f t="shared" si="26"/>
        <v>86.009010565331081</v>
      </c>
      <c r="CL20" s="30">
        <f t="shared" si="26"/>
        <v>85.148920459677768</v>
      </c>
      <c r="CM20" s="30">
        <f t="shared" si="26"/>
        <v>84.297431255080994</v>
      </c>
      <c r="CN20" s="30">
        <f t="shared" si="26"/>
        <v>83.454456942530186</v>
      </c>
      <c r="CO20" s="30">
        <f t="shared" si="26"/>
        <v>82.619912373104881</v>
      </c>
      <c r="CP20" s="30">
        <f t="shared" si="26"/>
        <v>81.793713249373837</v>
      </c>
      <c r="CQ20" s="30">
        <f t="shared" si="26"/>
        <v>80.975776116880098</v>
      </c>
      <c r="CR20" s="30">
        <f t="shared" si="26"/>
        <v>80.166018355711302</v>
      </c>
      <c r="CS20" s="30">
        <f t="shared" si="26"/>
        <v>79.364358172154184</v>
      </c>
      <c r="CT20" s="30">
        <f t="shared" si="26"/>
        <v>78.570714590432644</v>
      </c>
      <c r="CU20" s="30">
        <f t="shared" si="26"/>
        <v>77.785007444528318</v>
      </c>
      <c r="CV20" s="30">
        <f t="shared" si="26"/>
        <v>77.007157370083036</v>
      </c>
      <c r="CW20" s="30">
        <f t="shared" si="26"/>
        <v>76.237085796382203</v>
      </c>
      <c r="CX20" s="30">
        <f t="shared" ref="CX20:ED20" si="27">+CW20*(1+$AM$26)</f>
        <v>75.474714938418387</v>
      </c>
      <c r="CY20" s="30">
        <f t="shared" si="27"/>
        <v>74.7199677890342</v>
      </c>
      <c r="CZ20" s="30">
        <f t="shared" si="27"/>
        <v>73.972768111143864</v>
      </c>
      <c r="DA20" s="30">
        <f t="shared" si="27"/>
        <v>73.233040430032432</v>
      </c>
      <c r="DB20" s="30">
        <f t="shared" si="27"/>
        <v>72.500710025732104</v>
      </c>
      <c r="DC20" s="30">
        <f t="shared" si="27"/>
        <v>71.775702925474789</v>
      </c>
      <c r="DD20" s="30">
        <f t="shared" si="27"/>
        <v>71.057945896220048</v>
      </c>
      <c r="DE20" s="30">
        <f t="shared" si="27"/>
        <v>70.347366437257847</v>
      </c>
      <c r="DF20" s="30">
        <f t="shared" si="27"/>
        <v>69.643892772885266</v>
      </c>
      <c r="DG20" s="30">
        <f t="shared" si="27"/>
        <v>68.947453845156417</v>
      </c>
      <c r="DH20" s="30">
        <f t="shared" si="27"/>
        <v>68.257979306704854</v>
      </c>
      <c r="DI20" s="30">
        <f t="shared" si="27"/>
        <v>67.575399513637805</v>
      </c>
      <c r="DJ20" s="30">
        <f t="shared" si="27"/>
        <v>66.89964551850143</v>
      </c>
      <c r="DK20" s="30">
        <f t="shared" si="27"/>
        <v>66.23064906331642</v>
      </c>
      <c r="DL20" s="30">
        <f t="shared" si="27"/>
        <v>65.56834257268325</v>
      </c>
      <c r="DM20" s="30">
        <f t="shared" si="27"/>
        <v>64.912659146956415</v>
      </c>
      <c r="DN20" s="30">
        <f t="shared" si="27"/>
        <v>64.263532555486847</v>
      </c>
      <c r="DO20" s="30">
        <f t="shared" si="27"/>
        <v>63.620897229931977</v>
      </c>
      <c r="DP20" s="30">
        <f t="shared" si="27"/>
        <v>62.984688257632655</v>
      </c>
      <c r="DQ20" s="30">
        <f t="shared" si="27"/>
        <v>62.354841375056331</v>
      </c>
      <c r="DR20" s="30">
        <f t="shared" si="27"/>
        <v>61.731292961305769</v>
      </c>
      <c r="DS20" s="30">
        <f t="shared" si="27"/>
        <v>61.113980031692712</v>
      </c>
      <c r="DT20" s="30">
        <f t="shared" si="27"/>
        <v>60.502840231375785</v>
      </c>
      <c r="DU20" s="30">
        <f t="shared" si="27"/>
        <v>59.897811829062029</v>
      </c>
      <c r="DV20" s="30">
        <f t="shared" si="27"/>
        <v>59.298833710771405</v>
      </c>
      <c r="DW20" s="30">
        <f t="shared" si="27"/>
        <v>58.705845373663692</v>
      </c>
      <c r="DX20" s="30">
        <f t="shared" si="27"/>
        <v>58.118786919927054</v>
      </c>
      <c r="DY20" s="30">
        <f t="shared" si="27"/>
        <v>57.537599050727785</v>
      </c>
      <c r="DZ20" s="30">
        <f t="shared" si="27"/>
        <v>56.962223060220509</v>
      </c>
      <c r="EA20" s="30">
        <f t="shared" si="27"/>
        <v>56.392600829618303</v>
      </c>
      <c r="EB20" s="30">
        <f t="shared" si="27"/>
        <v>55.828674821322117</v>
      </c>
      <c r="EC20" s="30">
        <f t="shared" si="27"/>
        <v>55.270388073108897</v>
      </c>
      <c r="ED20" s="30">
        <f t="shared" si="27"/>
        <v>54.71768419237781</v>
      </c>
    </row>
    <row r="21" spans="1:134" x14ac:dyDescent="0.25">
      <c r="C21" s="1" t="s">
        <v>117</v>
      </c>
      <c r="D21" s="10">
        <f t="shared" ref="D21:O21" si="28">D20/D22</f>
        <v>1.9857508551296661E-2</v>
      </c>
      <c r="E21" s="10">
        <f t="shared" si="28"/>
        <v>2.9208132831147822E-2</v>
      </c>
      <c r="F21" s="10">
        <f t="shared" si="28"/>
        <v>3.2676912805931192E-2</v>
      </c>
      <c r="G21" s="10">
        <f t="shared" si="28"/>
        <v>4.2731347515448638E-2</v>
      </c>
      <c r="H21" s="10">
        <f t="shared" si="28"/>
        <v>6.686199081829039E-2</v>
      </c>
      <c r="I21" s="10">
        <f t="shared" si="28"/>
        <v>7.8424590734235147E-2</v>
      </c>
      <c r="J21" s="10">
        <f t="shared" si="28"/>
        <v>4.8261286605683261E-2</v>
      </c>
      <c r="K21" s="10">
        <f t="shared" si="28"/>
        <v>6.13320517280556E-2</v>
      </c>
      <c r="L21" s="10">
        <f t="shared" si="28"/>
        <v>3.2676912805931345E-2</v>
      </c>
      <c r="M21" s="10">
        <f t="shared" si="28"/>
        <v>5.1780338754014214E-2</v>
      </c>
      <c r="N21" s="10">
        <f t="shared" si="28"/>
        <v>3.0666025864027804E-2</v>
      </c>
      <c r="O21" s="10">
        <f t="shared" si="28"/>
        <v>2.6141530244744995E-2</v>
      </c>
      <c r="P21" s="11">
        <f t="shared" ref="P21" si="29">P20/P22</f>
        <v>3.8709573631641826E-2</v>
      </c>
      <c r="Q21" s="10"/>
      <c r="R21" s="10"/>
      <c r="S21" s="10"/>
      <c r="T21" s="10"/>
      <c r="U21" s="10"/>
      <c r="W21" s="10">
        <f>W20/W22</f>
        <v>0.19405058989368446</v>
      </c>
      <c r="X21" s="10">
        <f>X20/X22</f>
        <v>0.25487991988626379</v>
      </c>
      <c r="Y21" s="10">
        <f>Y20/Y22</f>
        <v>0.11512327742397349</v>
      </c>
      <c r="Z21" s="11">
        <f>Z20/Z22</f>
        <v>0.20816073220415329</v>
      </c>
      <c r="AA21" s="10">
        <f t="shared" ref="AA21:AJ21" si="30">AA20/AA22</f>
        <v>0.31192658302047266</v>
      </c>
      <c r="AB21" s="10">
        <f t="shared" si="30"/>
        <v>0.36947271905094164</v>
      </c>
      <c r="AC21" s="10">
        <f t="shared" si="30"/>
        <v>0.4060987014948933</v>
      </c>
      <c r="AD21" s="10">
        <f t="shared" si="30"/>
        <v>0.46392271903837373</v>
      </c>
      <c r="AE21" s="10">
        <f t="shared" si="30"/>
        <v>0.50322920348893896</v>
      </c>
      <c r="AF21" s="10">
        <f t="shared" si="30"/>
        <v>0.54482054079725128</v>
      </c>
      <c r="AG21" s="10">
        <f t="shared" si="30"/>
        <v>0.58881905853371408</v>
      </c>
      <c r="AH21" s="10">
        <f t="shared" si="30"/>
        <v>0.63535214830499198</v>
      </c>
      <c r="AI21" s="10">
        <f t="shared" si="30"/>
        <v>0.68455226635599342</v>
      </c>
      <c r="AJ21" s="10">
        <f t="shared" si="30"/>
        <v>0.73655689708673155</v>
      </c>
      <c r="AM21" s="7"/>
    </row>
    <row r="22" spans="1:134" x14ac:dyDescent="0.25">
      <c r="C22" s="1" t="s">
        <v>42</v>
      </c>
      <c r="D22" s="10">
        <v>198.91720000000001</v>
      </c>
      <c r="E22" s="10">
        <v>198.91720000000001</v>
      </c>
      <c r="F22" s="10">
        <v>198.91720000000001</v>
      </c>
      <c r="G22" s="10">
        <v>198.91720000000001</v>
      </c>
      <c r="H22" s="10">
        <v>198.91720000000001</v>
      </c>
      <c r="I22" s="10">
        <v>198.91720000000001</v>
      </c>
      <c r="J22" s="10">
        <v>198.91720000000001</v>
      </c>
      <c r="K22" s="10">
        <v>198.91720000000001</v>
      </c>
      <c r="L22" s="10">
        <v>198.91720000000001</v>
      </c>
      <c r="M22" s="10">
        <v>198.91720000000001</v>
      </c>
      <c r="N22" s="10">
        <v>198.91720000000001</v>
      </c>
      <c r="O22" s="10">
        <v>198.91720000000001</v>
      </c>
      <c r="P22" s="11">
        <v>198.91720000000001</v>
      </c>
      <c r="W22" s="10">
        <v>198.91720000000001</v>
      </c>
      <c r="X22" s="10">
        <v>198.91720000000001</v>
      </c>
      <c r="Y22" s="10">
        <v>198.91720000000001</v>
      </c>
      <c r="Z22" s="11">
        <v>198.91720000000001</v>
      </c>
      <c r="AA22" s="10">
        <v>198.91720000000001</v>
      </c>
      <c r="AB22" s="10">
        <v>198.91720000000001</v>
      </c>
      <c r="AC22" s="10">
        <v>198.91720000000001</v>
      </c>
      <c r="AD22" s="10">
        <v>198.91720000000001</v>
      </c>
      <c r="AE22" s="10">
        <v>198.91720000000001</v>
      </c>
      <c r="AF22" s="10">
        <v>198.91720000000001</v>
      </c>
      <c r="AG22" s="10">
        <v>198.91720000000001</v>
      </c>
      <c r="AH22" s="10">
        <v>198.91720000000001</v>
      </c>
      <c r="AI22" s="10">
        <v>198.91720000000001</v>
      </c>
      <c r="AJ22" s="10">
        <v>198.91720000000001</v>
      </c>
    </row>
    <row r="25" spans="1:134" s="7" customFormat="1" x14ac:dyDescent="0.25">
      <c r="B25" s="8"/>
      <c r="C25" s="7" t="s">
        <v>43</v>
      </c>
      <c r="D25" s="19">
        <v>0.52370000000000005</v>
      </c>
      <c r="E25" s="19">
        <v>0.58989999999999998</v>
      </c>
      <c r="F25" s="19">
        <v>1.0019</v>
      </c>
      <c r="G25" s="19">
        <v>0.91169999999999995</v>
      </c>
      <c r="H25" s="19">
        <f>(H9-D9)/D9</f>
        <v>0.56601758277873659</v>
      </c>
      <c r="I25" s="19">
        <f t="shared" ref="I25:N25" si="31">(I9-E9)/E9</f>
        <v>0.5306425285650691</v>
      </c>
      <c r="J25" s="19">
        <f t="shared" si="31"/>
        <v>0.26304654442877323</v>
      </c>
      <c r="K25" s="19">
        <f t="shared" si="31"/>
        <v>0.28802588996763734</v>
      </c>
      <c r="L25" s="19">
        <f>(L9-H9)/H9</f>
        <v>-8.8142707240293855E-2</v>
      </c>
      <c r="M25" s="19">
        <f t="shared" si="31"/>
        <v>-0.18759088705768306</v>
      </c>
      <c r="N25" s="19">
        <f t="shared" si="31"/>
        <v>-0.1898380792853156</v>
      </c>
      <c r="O25" s="19">
        <f>(O9-K9)/K9</f>
        <v>-0.1924623115577889</v>
      </c>
      <c r="P25" s="20">
        <f>(P9-L9)/L9</f>
        <v>-5.2934407364787044E-2</v>
      </c>
      <c r="Q25" s="19"/>
      <c r="R25" s="19"/>
      <c r="S25" s="19"/>
      <c r="T25" s="19"/>
      <c r="U25" s="19"/>
      <c r="V25" s="19"/>
      <c r="W25" s="19"/>
      <c r="X25" s="19">
        <f>(X9-W9)/W9</f>
        <v>0.40197905171945936</v>
      </c>
      <c r="Y25" s="19">
        <f>(Y9-X9)/X9</f>
        <v>-0.17161290322580633</v>
      </c>
      <c r="Z25" s="20">
        <f>(Z9-Y9)/Y9</f>
        <v>6.3862928348909651E-2</v>
      </c>
      <c r="AA25" s="19">
        <f t="shared" ref="AA25:AJ25" si="32">(AA9-Z9)/Z9</f>
        <v>0.20644216691068815</v>
      </c>
      <c r="AB25" s="19">
        <f t="shared" si="32"/>
        <v>0.13592233009708737</v>
      </c>
      <c r="AC25" s="19">
        <f t="shared" si="32"/>
        <v>0.11314102564102574</v>
      </c>
      <c r="AD25" s="19">
        <f t="shared" si="32"/>
        <v>9.3953354448603379E-2</v>
      </c>
      <c r="AE25" s="19">
        <f t="shared" si="32"/>
        <v>7.6706235359145183E-2</v>
      </c>
      <c r="AF25" s="19">
        <f t="shared" si="32"/>
        <v>7.7248152122807806E-2</v>
      </c>
      <c r="AG25" s="19">
        <f t="shared" si="32"/>
        <v>7.7775314794926595E-2</v>
      </c>
      <c r="AH25" s="19">
        <f t="shared" si="32"/>
        <v>7.8288178557608265E-2</v>
      </c>
      <c r="AI25" s="19">
        <f t="shared" si="32"/>
        <v>7.8787189538500405E-2</v>
      </c>
      <c r="AJ25" s="19">
        <f t="shared" si="32"/>
        <v>7.9272783695056873E-2</v>
      </c>
      <c r="AL25" s="7" t="s">
        <v>96</v>
      </c>
      <c r="AM25" s="19">
        <v>0.1</v>
      </c>
      <c r="AP25" s="1"/>
      <c r="AQ25" s="1"/>
    </row>
    <row r="26" spans="1:134" s="7" customFormat="1" x14ac:dyDescent="0.25">
      <c r="B26" s="8"/>
      <c r="C26" s="1" t="s">
        <v>44</v>
      </c>
      <c r="D26" s="14">
        <f t="shared" ref="D26:K26" si="33">D16/D9</f>
        <v>5.5952674389943211E-2</v>
      </c>
      <c r="E26" s="14">
        <f t="shared" si="33"/>
        <v>6.4475441460157282E-2</v>
      </c>
      <c r="F26" s="14">
        <f t="shared" si="33"/>
        <v>7.0521861777150766E-2</v>
      </c>
      <c r="G26" s="14">
        <f>G16/G9</f>
        <v>9.0614886731391592E-2</v>
      </c>
      <c r="H26" s="14">
        <f t="shared" si="33"/>
        <v>9.0766002098636042E-2</v>
      </c>
      <c r="I26" s="14">
        <f t="shared" si="33"/>
        <v>9.2583616093068338E-2</v>
      </c>
      <c r="J26" s="14">
        <f t="shared" si="33"/>
        <v>8.9893914014517129E-2</v>
      </c>
      <c r="K26" s="14">
        <f t="shared" si="33"/>
        <v>8.9949748743718513E-2</v>
      </c>
      <c r="L26" s="14">
        <f>L16/L9</f>
        <v>6.0414269275028805E-2</v>
      </c>
      <c r="M26" s="14">
        <f>M16/M9</f>
        <v>8.8902147971360368E-2</v>
      </c>
      <c r="N26" s="14">
        <f>N16/N9</f>
        <v>7.3742246726395524E-2</v>
      </c>
      <c r="O26" s="14">
        <f>O16/O9</f>
        <v>7.4673304293714937E-2</v>
      </c>
      <c r="P26" s="15">
        <f>P16/P9</f>
        <v>7.6549210206561497E-2</v>
      </c>
      <c r="Q26" s="21"/>
      <c r="R26" s="21"/>
      <c r="S26" s="21"/>
      <c r="T26" s="21"/>
      <c r="U26" s="21"/>
      <c r="V26" s="21"/>
      <c r="W26" s="14">
        <f t="shared" ref="W26" si="34">W16/W9</f>
        <v>6.2718211255630485E-2</v>
      </c>
      <c r="X26" s="14">
        <f>X16/X9</f>
        <v>9.0838709677419263E-2</v>
      </c>
      <c r="Y26" s="14">
        <f>Y16/Y9</f>
        <v>6.682242990654208E-2</v>
      </c>
      <c r="Z26" s="15">
        <f t="shared" ref="Z26:AE26" si="35">Z16/Z9</f>
        <v>9.337481698389459E-2</v>
      </c>
      <c r="AA26" s="14">
        <f t="shared" si="35"/>
        <v>0.10992870145631062</v>
      </c>
      <c r="AB26" s="14">
        <f t="shared" si="35"/>
        <v>0.11265745192307688</v>
      </c>
      <c r="AC26" s="14">
        <f t="shared" si="35"/>
        <v>0.11028804347826085</v>
      </c>
      <c r="AD26" s="14">
        <f t="shared" si="35"/>
        <v>0.11392188363645936</v>
      </c>
      <c r="AE26" s="14">
        <f t="shared" si="35"/>
        <v>0.11408006731072445</v>
      </c>
      <c r="AF26" s="14">
        <f t="shared" ref="AF26:AJ26" si="36">AF16/AF9</f>
        <v>0.11402683178287701</v>
      </c>
      <c r="AG26" s="14">
        <f t="shared" si="36"/>
        <v>0.11377559037028634</v>
      </c>
      <c r="AH26" s="14">
        <f t="shared" si="36"/>
        <v>0.11333926007877776</v>
      </c>
      <c r="AI26" s="14">
        <f t="shared" si="36"/>
        <v>0.11273025226886406</v>
      </c>
      <c r="AJ26" s="14">
        <f t="shared" si="36"/>
        <v>0.11196046749031982</v>
      </c>
      <c r="AL26" s="7" t="s">
        <v>97</v>
      </c>
      <c r="AM26" s="19">
        <v>-0.01</v>
      </c>
      <c r="AP26" s="18"/>
    </row>
    <row r="27" spans="1:134" x14ac:dyDescent="0.25">
      <c r="Q27" s="14"/>
      <c r="R27" s="14"/>
      <c r="S27" s="14"/>
      <c r="T27" s="14"/>
      <c r="U27" s="14"/>
      <c r="V27" s="14"/>
      <c r="W27" s="14"/>
      <c r="AL27" s="1" t="s">
        <v>98</v>
      </c>
      <c r="AM27" s="9">
        <f>NPV(AM25,Z20:ED20)</f>
        <v>1042.9750465346638</v>
      </c>
      <c r="AN27" s="1" t="s">
        <v>112</v>
      </c>
      <c r="AQ27" s="12"/>
    </row>
    <row r="28" spans="1:134" x14ac:dyDescent="0.25">
      <c r="C28" s="44" t="s">
        <v>77</v>
      </c>
      <c r="D28" s="23"/>
      <c r="E28" s="23"/>
      <c r="F28" s="23"/>
      <c r="G28" s="23"/>
      <c r="H28" s="47">
        <f t="shared" ref="H28:N31" si="37">(H4-D4)/D4</f>
        <v>7.604922688545282E-2</v>
      </c>
      <c r="I28" s="47">
        <f t="shared" si="37"/>
        <v>-8.0224833929483916E-2</v>
      </c>
      <c r="J28" s="47">
        <f t="shared" si="37"/>
        <v>2.4523160762942739E-2</v>
      </c>
      <c r="K28" s="47">
        <f t="shared" si="37"/>
        <v>-0.11684782608695646</v>
      </c>
      <c r="L28" s="47">
        <f t="shared" si="37"/>
        <v>-0.18768328445747806</v>
      </c>
      <c r="M28" s="47">
        <f t="shared" si="37"/>
        <v>-0.18611111111111109</v>
      </c>
      <c r="N28" s="47">
        <f t="shared" si="37"/>
        <v>-0.11436170212765968</v>
      </c>
      <c r="O28" s="47">
        <f>(O4-K4)/K4</f>
        <v>-4.6153846153846156E-2</v>
      </c>
      <c r="P28" s="48">
        <f>(P4-L4)/L4</f>
        <v>-4.3321299638989147E-2</v>
      </c>
      <c r="Q28" s="14"/>
      <c r="R28" s="14"/>
      <c r="S28" s="14"/>
      <c r="T28" s="14"/>
      <c r="U28" s="14"/>
      <c r="V28" s="14"/>
      <c r="W28" s="14"/>
      <c r="X28" s="14">
        <f>(X4-W4)/W4</f>
        <v>-2.8614979560728858E-2</v>
      </c>
      <c r="Y28" s="14">
        <f t="shared" ref="Y28:AJ28" si="38">(Y4-X4)/X4</f>
        <v>-0.11554921540656199</v>
      </c>
      <c r="Z28" s="15">
        <f>(Z4-Y4)/Y4</f>
        <v>8.0645161290322578E-2</v>
      </c>
      <c r="AA28" s="14">
        <f t="shared" si="38"/>
        <v>0.16417910447761194</v>
      </c>
      <c r="AB28" s="14">
        <f t="shared" si="38"/>
        <v>0.11538461538461539</v>
      </c>
      <c r="AC28" s="14">
        <f t="shared" si="38"/>
        <v>0.14942528735632185</v>
      </c>
      <c r="AD28" s="14">
        <f t="shared" si="38"/>
        <v>0.1</v>
      </c>
      <c r="AE28" s="14">
        <f t="shared" si="38"/>
        <v>9.0000000000000052E-2</v>
      </c>
      <c r="AF28" s="14">
        <f t="shared" si="38"/>
        <v>8.9999999999999969E-2</v>
      </c>
      <c r="AG28" s="14">
        <f t="shared" si="38"/>
        <v>9.0000000000000024E-2</v>
      </c>
      <c r="AH28" s="14">
        <f t="shared" si="38"/>
        <v>9.0000000000000122E-2</v>
      </c>
      <c r="AI28" s="14">
        <f t="shared" si="38"/>
        <v>9.0000000000000149E-2</v>
      </c>
      <c r="AJ28" s="14">
        <f t="shared" si="38"/>
        <v>9.0000000000000066E-2</v>
      </c>
      <c r="AL28" s="23"/>
      <c r="AM28" s="72">
        <f>AM27*B11</f>
        <v>12400.973303297153</v>
      </c>
      <c r="AN28" s="23" t="s">
        <v>134</v>
      </c>
      <c r="AQ28" s="12"/>
    </row>
    <row r="29" spans="1:134" x14ac:dyDescent="0.25">
      <c r="C29" s="63" t="s">
        <v>78</v>
      </c>
      <c r="D29" s="64"/>
      <c r="E29" s="64"/>
      <c r="F29" s="64"/>
      <c r="G29" s="64"/>
      <c r="H29" s="65">
        <f t="shared" si="37"/>
        <v>1.232594321275768</v>
      </c>
      <c r="I29" s="65">
        <f t="shared" si="37"/>
        <v>1.7152600170502985</v>
      </c>
      <c r="J29" s="65">
        <f t="shared" si="37"/>
        <v>1.2132352941176472</v>
      </c>
      <c r="K29" s="65">
        <f t="shared" si="37"/>
        <v>0.70855614973262038</v>
      </c>
      <c r="L29" s="65">
        <f t="shared" si="37"/>
        <v>-0.1080139372822299</v>
      </c>
      <c r="M29" s="65">
        <f t="shared" si="37"/>
        <v>-0.25745682888540039</v>
      </c>
      <c r="N29" s="65">
        <f t="shared" si="37"/>
        <v>-0.3870431893687708</v>
      </c>
      <c r="O29" s="65">
        <f t="shared" ref="O29:P31" si="39">(O5-K5)/K5</f>
        <v>-0.31611893583724565</v>
      </c>
      <c r="P29" s="66">
        <f>(P5-L5)/L5</f>
        <v>-0.18359375000000011</v>
      </c>
      <c r="Q29" s="14"/>
      <c r="R29" s="14"/>
      <c r="S29" s="14"/>
      <c r="T29" s="14"/>
      <c r="U29" s="14"/>
      <c r="V29" s="14"/>
      <c r="W29" s="14"/>
      <c r="X29" s="14">
        <f>(X5-W5)/W5</f>
        <v>1.1552254548650787</v>
      </c>
      <c r="Y29" s="14">
        <f t="shared" ref="Y29:AJ29" si="40">(Y5-X5)/X5</f>
        <v>-0.28629690048939643</v>
      </c>
      <c r="Z29" s="15">
        <f t="shared" si="40"/>
        <v>1.1428571428571429E-2</v>
      </c>
      <c r="AA29" s="14">
        <f t="shared" si="40"/>
        <v>0.1864406779661017</v>
      </c>
      <c r="AB29" s="14">
        <f t="shared" si="40"/>
        <v>0.13333333333333333</v>
      </c>
      <c r="AC29" s="14">
        <f t="shared" si="40"/>
        <v>9.2436974789915971E-2</v>
      </c>
      <c r="AD29" s="14">
        <f t="shared" si="40"/>
        <v>9.6153846153846159E-2</v>
      </c>
      <c r="AE29" s="14">
        <f t="shared" si="40"/>
        <v>7.0000000000000159E-2</v>
      </c>
      <c r="AF29" s="14">
        <f t="shared" si="40"/>
        <v>7.0000000000000145E-2</v>
      </c>
      <c r="AG29" s="14">
        <f t="shared" si="40"/>
        <v>6.9999999999999979E-2</v>
      </c>
      <c r="AH29" s="14">
        <f t="shared" si="40"/>
        <v>7.0000000000000021E-2</v>
      </c>
      <c r="AI29" s="14">
        <f t="shared" si="40"/>
        <v>7.0000000000000034E-2</v>
      </c>
      <c r="AJ29" s="14">
        <f t="shared" si="40"/>
        <v>7.0000000000000062E-2</v>
      </c>
      <c r="AL29" s="1" t="s">
        <v>104</v>
      </c>
      <c r="AM29" s="10">
        <v>198.91720000000001</v>
      </c>
    </row>
    <row r="30" spans="1:134" x14ac:dyDescent="0.25">
      <c r="C30" s="63" t="s">
        <v>79</v>
      </c>
      <c r="D30" s="64"/>
      <c r="E30" s="64"/>
      <c r="F30" s="64"/>
      <c r="G30" s="64"/>
      <c r="H30" s="65">
        <f t="shared" si="37"/>
        <v>0.60692951015531671</v>
      </c>
      <c r="I30" s="65">
        <f t="shared" si="37"/>
        <v>0.59449821701477346</v>
      </c>
      <c r="J30" s="65">
        <f t="shared" si="37"/>
        <v>-3.9301310043668061E-2</v>
      </c>
      <c r="K30" s="65">
        <f t="shared" si="37"/>
        <v>0.15981735159817353</v>
      </c>
      <c r="L30" s="65">
        <f t="shared" si="37"/>
        <v>-0.15241635687732336</v>
      </c>
      <c r="M30" s="65">
        <f t="shared" si="37"/>
        <v>-0.38498402555910544</v>
      </c>
      <c r="N30" s="65">
        <f t="shared" si="37"/>
        <v>-0.25909090909090904</v>
      </c>
      <c r="O30" s="65">
        <f t="shared" si="39"/>
        <v>-0.33267716535433067</v>
      </c>
      <c r="P30" s="66">
        <f>(P6-L6)/L6</f>
        <v>-9.8684210526315791E-2</v>
      </c>
      <c r="Q30" s="14"/>
      <c r="R30" s="14"/>
      <c r="S30" s="14"/>
      <c r="T30" s="14"/>
      <c r="U30" s="14"/>
      <c r="V30" s="14"/>
      <c r="W30" s="14"/>
      <c r="X30" s="14">
        <f t="shared" ref="X30:AJ32" si="41">(X6-W6)/W6</f>
        <v>0.30097326598496993</v>
      </c>
      <c r="Y30" s="14">
        <f t="shared" si="41"/>
        <v>-0.28977272727272724</v>
      </c>
      <c r="Z30" s="15">
        <f t="shared" si="41"/>
        <v>-6.6666666666666666E-2</v>
      </c>
      <c r="AA30" s="14">
        <f t="shared" si="41"/>
        <v>0.27142857142857141</v>
      </c>
      <c r="AB30" s="14">
        <f t="shared" si="41"/>
        <v>8.4269662921348312E-2</v>
      </c>
      <c r="AC30" s="14">
        <f t="shared" si="41"/>
        <v>8.8082901554404139E-2</v>
      </c>
      <c r="AD30" s="14">
        <f t="shared" si="41"/>
        <v>9.5238095238095233E-2</v>
      </c>
      <c r="AE30" s="14">
        <f t="shared" si="41"/>
        <v>0.05</v>
      </c>
      <c r="AF30" s="14">
        <f t="shared" si="41"/>
        <v>5.0000000000000072E-2</v>
      </c>
      <c r="AG30" s="14">
        <f t="shared" si="41"/>
        <v>5.0000000000000031E-2</v>
      </c>
      <c r="AH30" s="14">
        <f t="shared" si="41"/>
        <v>5.0000000000000142E-2</v>
      </c>
      <c r="AI30" s="14">
        <f t="shared" si="41"/>
        <v>5.000000000000001E-2</v>
      </c>
      <c r="AJ30" s="14">
        <f t="shared" si="41"/>
        <v>5.0000000000000107E-2</v>
      </c>
      <c r="AL30" s="23" t="s">
        <v>105</v>
      </c>
      <c r="AM30" s="32">
        <f>AM28/AM29</f>
        <v>62.342388206234311</v>
      </c>
    </row>
    <row r="31" spans="1:134" x14ac:dyDescent="0.25">
      <c r="C31" s="63" t="s">
        <v>80</v>
      </c>
      <c r="D31" s="64"/>
      <c r="E31" s="64"/>
      <c r="F31" s="64"/>
      <c r="G31" s="64"/>
      <c r="H31" s="65">
        <f t="shared" si="37"/>
        <v>0.40477914554670513</v>
      </c>
      <c r="I31" s="65">
        <f t="shared" si="37"/>
        <v>-3.397508493771162E-3</v>
      </c>
      <c r="J31" s="65">
        <f t="shared" si="37"/>
        <v>-0.20114942528735624</v>
      </c>
      <c r="K31" s="65">
        <f t="shared" si="37"/>
        <v>1.2903225806451568E-2</v>
      </c>
      <c r="L31" s="65">
        <f t="shared" si="37"/>
        <v>-0.21134020618556693</v>
      </c>
      <c r="M31" s="65">
        <f t="shared" si="37"/>
        <v>-0.11931818181818189</v>
      </c>
      <c r="N31" s="65">
        <f t="shared" si="37"/>
        <v>7.1942446043165464E-2</v>
      </c>
      <c r="O31" s="65">
        <f t="shared" si="39"/>
        <v>-0.12101910828025469</v>
      </c>
      <c r="P31" s="66">
        <f t="shared" si="39"/>
        <v>-0.25490196078431376</v>
      </c>
      <c r="Q31" s="14"/>
      <c r="R31" s="14"/>
      <c r="S31" s="14"/>
      <c r="T31" s="14"/>
      <c r="U31" s="14"/>
      <c r="V31" s="14"/>
      <c r="W31" s="14"/>
      <c r="X31" s="14">
        <f t="shared" si="41"/>
        <v>3.4643467453782655E-2</v>
      </c>
      <c r="Y31" s="14">
        <f t="shared" si="41"/>
        <v>-0.17417417417417411</v>
      </c>
      <c r="Z31" s="15">
        <f t="shared" si="41"/>
        <v>-0.21818181818181817</v>
      </c>
      <c r="AA31" s="14">
        <f t="shared" si="41"/>
        <v>2.3255813953488372E-2</v>
      </c>
      <c r="AB31" s="14">
        <f t="shared" si="41"/>
        <v>2.2727272727272728E-2</v>
      </c>
      <c r="AC31" s="14">
        <f t="shared" si="41"/>
        <v>-4.4444444444444446E-2</v>
      </c>
      <c r="AD31" s="14">
        <f t="shared" si="41"/>
        <v>0</v>
      </c>
      <c r="AE31" s="14">
        <f t="shared" si="41"/>
        <v>0</v>
      </c>
      <c r="AF31" s="14">
        <f t="shared" si="41"/>
        <v>0</v>
      </c>
      <c r="AG31" s="14">
        <f t="shared" si="41"/>
        <v>0</v>
      </c>
      <c r="AH31" s="14">
        <f t="shared" si="41"/>
        <v>0</v>
      </c>
      <c r="AI31" s="14">
        <f t="shared" si="41"/>
        <v>0</v>
      </c>
      <c r="AJ31" s="14">
        <f t="shared" si="41"/>
        <v>0</v>
      </c>
      <c r="AL31" s="7" t="s">
        <v>99</v>
      </c>
      <c r="AM31" s="19">
        <f>(AM30-B4)/B4</f>
        <v>9.3726108881303699E-2</v>
      </c>
      <c r="AP31" s="26"/>
    </row>
    <row r="32" spans="1:134" x14ac:dyDescent="0.25">
      <c r="C32" s="44" t="s">
        <v>81</v>
      </c>
      <c r="D32" s="23"/>
      <c r="E32" s="23"/>
      <c r="F32" s="23"/>
      <c r="G32" s="23"/>
      <c r="H32" s="47">
        <f t="shared" ref="H32:N32" si="42">(H8-D8)/D8</f>
        <v>0.52173913043478259</v>
      </c>
      <c r="I32" s="47">
        <f t="shared" si="42"/>
        <v>0.73001310615989512</v>
      </c>
      <c r="J32" s="47">
        <f t="shared" si="42"/>
        <v>0.59183673469387754</v>
      </c>
      <c r="K32" s="47">
        <f t="shared" si="42"/>
        <v>0.71904761904761916</v>
      </c>
      <c r="L32" s="47">
        <f t="shared" si="42"/>
        <v>0.31274131274131284</v>
      </c>
      <c r="M32" s="47">
        <f t="shared" si="42"/>
        <v>0.4015151515151516</v>
      </c>
      <c r="N32" s="47">
        <f t="shared" si="42"/>
        <v>0.17094017094017094</v>
      </c>
      <c r="O32" s="47">
        <f>(O8-K8)/K8</f>
        <v>6.0941828254847522E-2</v>
      </c>
      <c r="P32" s="48">
        <f>(P8-L8)/L8</f>
        <v>0.28823529411764698</v>
      </c>
      <c r="X32" s="14">
        <f t="shared" si="41"/>
        <v>0.64460135333921709</v>
      </c>
      <c r="Y32" s="14">
        <f t="shared" si="41"/>
        <v>0.23434704830053685</v>
      </c>
      <c r="Z32" s="15">
        <f>(Z8-Y8)/Y8</f>
        <v>0.36956521739130432</v>
      </c>
      <c r="AA32" s="14">
        <f t="shared" si="41"/>
        <v>0.24867724867724866</v>
      </c>
      <c r="AB32" s="14">
        <f t="shared" si="41"/>
        <v>0.21186440677966101</v>
      </c>
      <c r="AC32" s="14">
        <f t="shared" si="41"/>
        <v>0.14999999999999991</v>
      </c>
      <c r="AD32" s="14">
        <f t="shared" si="41"/>
        <v>0.10000000000000014</v>
      </c>
      <c r="AE32" s="14">
        <f t="shared" si="41"/>
        <v>0.10000000000000007</v>
      </c>
      <c r="AF32" s="14">
        <f t="shared" si="41"/>
        <v>0.10000000000000012</v>
      </c>
      <c r="AG32" s="14">
        <f t="shared" si="41"/>
        <v>0.1000000000000001</v>
      </c>
      <c r="AH32" s="14">
        <f t="shared" si="41"/>
        <v>0.10000000000000007</v>
      </c>
      <c r="AI32" s="14">
        <f t="shared" si="41"/>
        <v>0.10000000000000013</v>
      </c>
      <c r="AJ32" s="14">
        <f t="shared" si="41"/>
        <v>0.10000000000000003</v>
      </c>
    </row>
    <row r="33" spans="3:36" x14ac:dyDescent="0.25">
      <c r="O33" s="14"/>
      <c r="Y33" s="7"/>
    </row>
    <row r="34" spans="3:36" x14ac:dyDescent="0.25">
      <c r="C34" s="1" t="s">
        <v>106</v>
      </c>
      <c r="D34" s="1">
        <v>434.8</v>
      </c>
      <c r="E34" s="1">
        <v>471.4</v>
      </c>
      <c r="F34" s="1">
        <v>458.1</v>
      </c>
      <c r="G34" s="1">
        <v>580.20000000000005</v>
      </c>
      <c r="H34" s="1">
        <v>585.9</v>
      </c>
      <c r="I34" s="1">
        <v>534.9</v>
      </c>
      <c r="J34" s="1">
        <v>502.1</v>
      </c>
      <c r="K34" s="1">
        <v>493.6</v>
      </c>
      <c r="L34" s="1">
        <v>445</v>
      </c>
      <c r="M34" s="1">
        <v>454.5</v>
      </c>
      <c r="N34" s="1">
        <v>457.7</v>
      </c>
      <c r="O34" s="1">
        <v>471.9</v>
      </c>
      <c r="P34" s="2">
        <v>524.6</v>
      </c>
      <c r="Y34" s="12"/>
      <c r="Z34" s="13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3:36" x14ac:dyDescent="0.25">
      <c r="C35" s="1" t="s">
        <v>122</v>
      </c>
      <c r="D35" s="14"/>
      <c r="E35" s="14">
        <f t="shared" ref="E35:O35" si="43">(E34-D34)/D34</f>
        <v>8.4176632934682527E-2</v>
      </c>
      <c r="F35" s="14">
        <f t="shared" si="43"/>
        <v>-2.8213831141281193E-2</v>
      </c>
      <c r="G35" s="14">
        <f t="shared" si="43"/>
        <v>0.26653569089718404</v>
      </c>
      <c r="H35" s="14">
        <f t="shared" si="43"/>
        <v>9.8241985522232525E-3</v>
      </c>
      <c r="I35" s="14">
        <f t="shared" si="43"/>
        <v>-8.7045570916538667E-2</v>
      </c>
      <c r="J35" s="14">
        <f t="shared" si="43"/>
        <v>-6.1319872873434204E-2</v>
      </c>
      <c r="K35" s="14">
        <f t="shared" si="43"/>
        <v>-1.6928898625771759E-2</v>
      </c>
      <c r="L35" s="14">
        <f t="shared" si="43"/>
        <v>-9.8460291734197777E-2</v>
      </c>
      <c r="M35" s="14">
        <f t="shared" si="43"/>
        <v>2.1348314606741574E-2</v>
      </c>
      <c r="N35" s="14">
        <f t="shared" si="43"/>
        <v>7.0407040704070153E-3</v>
      </c>
      <c r="O35" s="14">
        <f t="shared" si="43"/>
        <v>3.1024688660694754E-2</v>
      </c>
      <c r="P35" s="15">
        <f>(P34-O34)/O34</f>
        <v>0.11167620258529359</v>
      </c>
      <c r="Y35" s="12"/>
      <c r="Z35" s="13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3:36" x14ac:dyDescent="0.25">
      <c r="Y36" s="12"/>
      <c r="Z36" s="13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3:36" x14ac:dyDescent="0.25">
      <c r="C37" s="16" t="s">
        <v>45</v>
      </c>
      <c r="Y37" s="12"/>
      <c r="Z37" s="13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3:36" x14ac:dyDescent="0.25">
      <c r="C38" s="1" t="s">
        <v>46</v>
      </c>
      <c r="D38" s="1">
        <v>28.1</v>
      </c>
      <c r="E38" s="1">
        <v>27</v>
      </c>
      <c r="F38" s="1">
        <v>26.9</v>
      </c>
      <c r="G38" s="1">
        <v>45</v>
      </c>
      <c r="H38" s="1">
        <v>44.8</v>
      </c>
      <c r="I38" s="1">
        <v>44.6</v>
      </c>
      <c r="J38" s="1">
        <v>44.8</v>
      </c>
      <c r="K38" s="1">
        <v>44.8</v>
      </c>
      <c r="L38" s="1">
        <v>44.7</v>
      </c>
      <c r="M38" s="1">
        <v>44.7</v>
      </c>
      <c r="N38" s="1">
        <v>44.6</v>
      </c>
      <c r="O38" s="1">
        <v>44.4</v>
      </c>
      <c r="P38" s="2">
        <v>44.8</v>
      </c>
      <c r="Y38" s="12"/>
      <c r="Z38" s="13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3:36" x14ac:dyDescent="0.25">
      <c r="C39" s="1" t="s">
        <v>47</v>
      </c>
      <c r="D39" s="1">
        <v>57.1</v>
      </c>
      <c r="E39" s="1">
        <v>55</v>
      </c>
      <c r="F39" s="1">
        <v>54.1</v>
      </c>
      <c r="G39" s="1">
        <v>30.3</v>
      </c>
      <c r="H39" s="1">
        <v>25.8</v>
      </c>
      <c r="I39" s="1">
        <v>27.7</v>
      </c>
      <c r="J39" s="1">
        <v>27.4</v>
      </c>
      <c r="K39" s="1">
        <v>27.2</v>
      </c>
      <c r="L39" s="1">
        <v>27.3</v>
      </c>
      <c r="M39" s="1">
        <v>27</v>
      </c>
      <c r="N39" s="1">
        <v>26.5</v>
      </c>
      <c r="O39" s="1">
        <v>26.3</v>
      </c>
      <c r="P39" s="2">
        <v>26.2</v>
      </c>
      <c r="Y39" s="12"/>
      <c r="Z39" s="13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3:36" x14ac:dyDescent="0.25">
      <c r="C40" s="1" t="s">
        <v>48</v>
      </c>
      <c r="D40" s="1">
        <v>33.1</v>
      </c>
      <c r="E40" s="1">
        <v>33.5</v>
      </c>
      <c r="F40" s="1">
        <v>32.700000000000003</v>
      </c>
      <c r="G40" s="1">
        <v>34.200000000000003</v>
      </c>
      <c r="H40" s="1">
        <v>35.1</v>
      </c>
      <c r="I40" s="1">
        <v>36.9</v>
      </c>
      <c r="J40" s="1">
        <v>38.4</v>
      </c>
      <c r="K40" s="1">
        <v>47.8</v>
      </c>
      <c r="L40" s="1">
        <v>49.7</v>
      </c>
      <c r="M40" s="1">
        <v>50.8</v>
      </c>
      <c r="N40" s="1">
        <v>49.1</v>
      </c>
      <c r="O40" s="1">
        <v>47.2</v>
      </c>
      <c r="P40" s="2">
        <v>46.9</v>
      </c>
      <c r="Y40" s="12"/>
      <c r="Z40" s="13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3:36" x14ac:dyDescent="0.25">
      <c r="C41" s="1" t="s">
        <v>49</v>
      </c>
      <c r="D41" s="1">
        <v>25.8</v>
      </c>
      <c r="E41" s="1">
        <v>24.1</v>
      </c>
      <c r="F41" s="1">
        <v>22.8</v>
      </c>
      <c r="G41" s="1">
        <v>24.2</v>
      </c>
      <c r="H41" s="1">
        <v>22.6</v>
      </c>
      <c r="I41" s="1">
        <v>24.3</v>
      </c>
      <c r="J41" s="1">
        <v>21.9</v>
      </c>
      <c r="K41" s="1">
        <v>26.9</v>
      </c>
      <c r="L41" s="1">
        <v>25.5</v>
      </c>
      <c r="M41" s="1">
        <v>23.9</v>
      </c>
      <c r="N41" s="1">
        <v>22</v>
      </c>
      <c r="O41" s="1">
        <v>27.9</v>
      </c>
      <c r="P41" s="2">
        <v>27.1</v>
      </c>
    </row>
    <row r="42" spans="3:36" x14ac:dyDescent="0.25">
      <c r="C42" s="1" t="s">
        <v>50</v>
      </c>
      <c r="D42" s="1">
        <v>8.4</v>
      </c>
      <c r="E42" s="1">
        <v>9.3000000000000007</v>
      </c>
      <c r="F42" s="1">
        <v>8.8000000000000007</v>
      </c>
      <c r="G42" s="1">
        <v>8.6999999999999993</v>
      </c>
      <c r="H42" s="1">
        <v>8.6</v>
      </c>
      <c r="I42" s="1">
        <v>8.1999999999999993</v>
      </c>
      <c r="J42" s="1">
        <v>8.3000000000000007</v>
      </c>
      <c r="K42" s="1">
        <v>6.2</v>
      </c>
      <c r="L42" s="1">
        <v>6.5</v>
      </c>
      <c r="M42" s="1">
        <v>6.1</v>
      </c>
      <c r="N42" s="1">
        <v>5.7</v>
      </c>
      <c r="O42" s="1">
        <v>7.1</v>
      </c>
      <c r="P42" s="2">
        <v>6.1</v>
      </c>
    </row>
    <row r="43" spans="3:36" x14ac:dyDescent="0.25">
      <c r="C43" s="1" t="s">
        <v>51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0.9</v>
      </c>
      <c r="K43" s="1">
        <v>0.9</v>
      </c>
      <c r="L43" s="1">
        <v>0.9</v>
      </c>
      <c r="M43" s="1">
        <v>0.9</v>
      </c>
      <c r="N43" s="1">
        <v>0.9</v>
      </c>
      <c r="O43" s="1">
        <v>0.9</v>
      </c>
      <c r="P43" s="2">
        <v>0.9</v>
      </c>
    </row>
    <row r="44" spans="3:36" x14ac:dyDescent="0.25">
      <c r="C44" s="6" t="s">
        <v>107</v>
      </c>
      <c r="D44" s="6">
        <f t="shared" ref="D44:M44" si="44">SUM(D38:D43)</f>
        <v>153.50000000000003</v>
      </c>
      <c r="E44" s="6">
        <f t="shared" si="44"/>
        <v>149.9</v>
      </c>
      <c r="F44" s="6">
        <f t="shared" si="44"/>
        <v>146.30000000000001</v>
      </c>
      <c r="G44" s="6">
        <f>SUM(G38:G43)</f>
        <v>143.39999999999998</v>
      </c>
      <c r="H44" s="6">
        <f>SUM(H38:H43)</f>
        <v>137.89999999999998</v>
      </c>
      <c r="I44" s="6">
        <f t="shared" si="44"/>
        <v>142.69999999999999</v>
      </c>
      <c r="J44" s="6">
        <f t="shared" si="44"/>
        <v>141.70000000000002</v>
      </c>
      <c r="K44" s="6">
        <f t="shared" si="44"/>
        <v>153.79999999999998</v>
      </c>
      <c r="L44" s="6">
        <f t="shared" si="44"/>
        <v>154.6</v>
      </c>
      <c r="M44" s="6">
        <f t="shared" si="44"/>
        <v>153.4</v>
      </c>
      <c r="N44" s="6">
        <f>SUM(N38:N43)</f>
        <v>148.79999999999998</v>
      </c>
      <c r="O44" s="6">
        <f>SUM(O38:O43)</f>
        <v>153.80000000000001</v>
      </c>
      <c r="P44" s="35">
        <f>SUM(P38:P43)</f>
        <v>152</v>
      </c>
    </row>
    <row r="46" spans="3:36" x14ac:dyDescent="0.25">
      <c r="C46" s="1" t="s">
        <v>52</v>
      </c>
      <c r="D46" s="1">
        <v>153.9</v>
      </c>
      <c r="E46" s="1">
        <v>161.80000000000001</v>
      </c>
      <c r="F46" s="1">
        <v>172.6</v>
      </c>
      <c r="G46" s="1">
        <v>172.7</v>
      </c>
      <c r="H46" s="1">
        <v>188.7</v>
      </c>
      <c r="I46" s="1">
        <v>183.1</v>
      </c>
      <c r="J46" s="1">
        <v>184.4</v>
      </c>
      <c r="K46" s="1">
        <v>166.4</v>
      </c>
      <c r="L46" s="1">
        <v>155.5</v>
      </c>
      <c r="M46" s="1">
        <v>148.6</v>
      </c>
      <c r="N46" s="1">
        <v>145.9</v>
      </c>
      <c r="O46" s="1">
        <v>141.4</v>
      </c>
      <c r="P46" s="2">
        <v>151.30000000000001</v>
      </c>
    </row>
    <row r="47" spans="3:36" x14ac:dyDescent="0.25">
      <c r="C47" s="1" t="s">
        <v>53</v>
      </c>
      <c r="D47" s="1">
        <v>117.1</v>
      </c>
      <c r="E47" s="1">
        <v>131.69999999999999</v>
      </c>
      <c r="F47" s="1">
        <v>131.19999999999999</v>
      </c>
      <c r="G47" s="1">
        <v>143.5</v>
      </c>
      <c r="H47" s="1">
        <v>152</v>
      </c>
      <c r="I47" s="1">
        <v>154.1</v>
      </c>
      <c r="J47" s="1">
        <v>146.1</v>
      </c>
      <c r="K47" s="1">
        <v>131.4</v>
      </c>
      <c r="L47" s="1">
        <v>123.8</v>
      </c>
      <c r="M47" s="1">
        <v>126</v>
      </c>
      <c r="N47" s="1">
        <v>115.9</v>
      </c>
      <c r="O47" s="1">
        <v>124.1</v>
      </c>
      <c r="P47" s="2">
        <v>129.4</v>
      </c>
    </row>
    <row r="48" spans="3:36" x14ac:dyDescent="0.25">
      <c r="C48" s="1" t="s">
        <v>54</v>
      </c>
      <c r="D48" s="1">
        <v>56.9</v>
      </c>
      <c r="E48" s="1">
        <v>55.3</v>
      </c>
      <c r="F48" s="1">
        <v>59.7</v>
      </c>
      <c r="G48" s="1">
        <v>59.4</v>
      </c>
      <c r="H48" s="1">
        <v>59.4</v>
      </c>
      <c r="I48" s="1">
        <v>66.900000000000006</v>
      </c>
      <c r="J48" s="1">
        <v>68</v>
      </c>
      <c r="K48" s="1">
        <v>77.900000000000006</v>
      </c>
      <c r="L48" s="1">
        <v>75.8</v>
      </c>
      <c r="M48" s="1">
        <v>72.5</v>
      </c>
      <c r="N48" s="1">
        <v>73.2</v>
      </c>
      <c r="O48" s="1">
        <v>77.599999999999994</v>
      </c>
      <c r="P48" s="2">
        <v>79.400000000000006</v>
      </c>
    </row>
    <row r="49" spans="3:16" x14ac:dyDescent="0.25">
      <c r="C49" s="1" t="s">
        <v>51</v>
      </c>
      <c r="D49" s="1">
        <v>15.7</v>
      </c>
      <c r="E49" s="1">
        <v>17.2</v>
      </c>
      <c r="F49" s="1">
        <v>18.3</v>
      </c>
      <c r="G49" s="1">
        <v>13.9</v>
      </c>
      <c r="H49" s="1">
        <v>17.899999999999999</v>
      </c>
      <c r="I49" s="1">
        <v>13.5</v>
      </c>
      <c r="J49" s="1">
        <v>12.7</v>
      </c>
      <c r="K49" s="1">
        <v>12.2</v>
      </c>
      <c r="L49" s="1">
        <v>11.6</v>
      </c>
      <c r="M49" s="1">
        <v>10.5</v>
      </c>
      <c r="N49" s="1">
        <v>15.2</v>
      </c>
      <c r="O49" s="1">
        <v>10.4</v>
      </c>
      <c r="P49" s="2">
        <v>13.3</v>
      </c>
    </row>
    <row r="50" spans="3:16" x14ac:dyDescent="0.25">
      <c r="C50" s="1" t="s">
        <v>55</v>
      </c>
      <c r="D50" s="1">
        <v>14.6</v>
      </c>
      <c r="E50" s="1">
        <v>20.8</v>
      </c>
      <c r="F50" s="1">
        <v>32.700000000000003</v>
      </c>
      <c r="G50" s="1">
        <v>25.9</v>
      </c>
      <c r="H50" s="1">
        <v>26</v>
      </c>
      <c r="I50" s="1">
        <v>20.8</v>
      </c>
      <c r="J50" s="1">
        <v>31.7</v>
      </c>
      <c r="K50" s="1">
        <v>39</v>
      </c>
      <c r="L50" s="1">
        <v>47.6</v>
      </c>
      <c r="M50" s="1">
        <v>40.799999999999997</v>
      </c>
      <c r="N50" s="1">
        <v>48.7</v>
      </c>
      <c r="O50" s="1">
        <v>48.7</v>
      </c>
      <c r="P50" s="2">
        <v>48.9</v>
      </c>
    </row>
    <row r="51" spans="3:16" x14ac:dyDescent="0.25">
      <c r="C51" s="6" t="s">
        <v>56</v>
      </c>
      <c r="D51" s="6">
        <f t="shared" ref="D51:M51" si="45">SUM(D46:D50)</f>
        <v>358.2</v>
      </c>
      <c r="E51" s="6">
        <f t="shared" si="45"/>
        <v>386.8</v>
      </c>
      <c r="F51" s="6">
        <f t="shared" si="45"/>
        <v>414.49999999999994</v>
      </c>
      <c r="G51" s="6">
        <f t="shared" si="45"/>
        <v>415.39999999999992</v>
      </c>
      <c r="H51" s="6">
        <f t="shared" si="45"/>
        <v>443.99999999999994</v>
      </c>
      <c r="I51" s="6">
        <f t="shared" si="45"/>
        <v>438.40000000000003</v>
      </c>
      <c r="J51" s="6">
        <f t="shared" si="45"/>
        <v>442.9</v>
      </c>
      <c r="K51" s="6">
        <f t="shared" si="45"/>
        <v>426.90000000000003</v>
      </c>
      <c r="L51" s="6">
        <f t="shared" si="45"/>
        <v>414.30000000000007</v>
      </c>
      <c r="M51" s="6">
        <f t="shared" si="45"/>
        <v>398.40000000000003</v>
      </c>
      <c r="N51" s="6">
        <f>SUM(N46:N50)</f>
        <v>398.9</v>
      </c>
      <c r="O51" s="6">
        <f>SUM(O46:O50)</f>
        <v>402.2</v>
      </c>
      <c r="P51" s="35">
        <f>SUM(P46:P50)</f>
        <v>422.3</v>
      </c>
    </row>
    <row r="52" spans="3:16" x14ac:dyDescent="0.25">
      <c r="C52" s="7" t="s">
        <v>57</v>
      </c>
      <c r="D52" s="7">
        <f t="shared" ref="D52:M52" si="46">D44+D51</f>
        <v>511.70000000000005</v>
      </c>
      <c r="E52" s="7">
        <f t="shared" si="46"/>
        <v>536.70000000000005</v>
      </c>
      <c r="F52" s="7">
        <f t="shared" si="46"/>
        <v>560.79999999999995</v>
      </c>
      <c r="G52" s="7">
        <f t="shared" si="46"/>
        <v>558.79999999999995</v>
      </c>
      <c r="H52" s="7">
        <f t="shared" si="46"/>
        <v>581.89999999999986</v>
      </c>
      <c r="I52" s="7">
        <f t="shared" si="46"/>
        <v>581.1</v>
      </c>
      <c r="J52" s="7">
        <f t="shared" si="46"/>
        <v>584.6</v>
      </c>
      <c r="K52" s="7">
        <f t="shared" si="46"/>
        <v>580.70000000000005</v>
      </c>
      <c r="L52" s="7">
        <f t="shared" si="46"/>
        <v>568.90000000000009</v>
      </c>
      <c r="M52" s="7">
        <f t="shared" si="46"/>
        <v>551.80000000000007</v>
      </c>
      <c r="N52" s="7">
        <f>N44+N51</f>
        <v>547.69999999999993</v>
      </c>
      <c r="O52" s="7">
        <f>O44+O51</f>
        <v>556</v>
      </c>
      <c r="P52" s="8">
        <f>P44+P51</f>
        <v>574.29999999999995</v>
      </c>
    </row>
    <row r="54" spans="3:16" x14ac:dyDescent="0.25">
      <c r="C54" s="1" t="s">
        <v>58</v>
      </c>
      <c r="D54" s="1">
        <v>129</v>
      </c>
      <c r="E54" s="1">
        <v>130.30000000000001</v>
      </c>
      <c r="F54" s="1">
        <v>138.30000000000001</v>
      </c>
      <c r="G54" s="1">
        <v>143.30000000000001</v>
      </c>
      <c r="H54" s="1">
        <v>154.30000000000001</v>
      </c>
      <c r="I54" s="1">
        <v>157</v>
      </c>
      <c r="J54" s="1">
        <v>167.5</v>
      </c>
      <c r="K54" s="1">
        <v>183.5</v>
      </c>
      <c r="L54" s="1">
        <v>189</v>
      </c>
      <c r="M54" s="1">
        <v>187</v>
      </c>
      <c r="N54" s="1">
        <v>192.9</v>
      </c>
      <c r="O54" s="1">
        <v>198.9</v>
      </c>
      <c r="P54" s="2">
        <v>207.8</v>
      </c>
    </row>
    <row r="55" spans="3:16" x14ac:dyDescent="0.25">
      <c r="C55" s="7" t="s">
        <v>59</v>
      </c>
      <c r="D55" s="7">
        <f t="shared" ref="D55:M55" si="47">D54</f>
        <v>129</v>
      </c>
      <c r="E55" s="7">
        <f t="shared" si="47"/>
        <v>130.30000000000001</v>
      </c>
      <c r="F55" s="7">
        <f t="shared" si="47"/>
        <v>138.30000000000001</v>
      </c>
      <c r="G55" s="7">
        <f t="shared" si="47"/>
        <v>143.30000000000001</v>
      </c>
      <c r="H55" s="7">
        <f t="shared" si="47"/>
        <v>154.30000000000001</v>
      </c>
      <c r="I55" s="7">
        <f t="shared" si="47"/>
        <v>157</v>
      </c>
      <c r="J55" s="7">
        <f t="shared" si="47"/>
        <v>167.5</v>
      </c>
      <c r="K55" s="7">
        <f t="shared" si="47"/>
        <v>183.5</v>
      </c>
      <c r="L55" s="7">
        <f t="shared" si="47"/>
        <v>189</v>
      </c>
      <c r="M55" s="7">
        <f t="shared" si="47"/>
        <v>187</v>
      </c>
      <c r="N55" s="7">
        <f>N54</f>
        <v>192.9</v>
      </c>
      <c r="O55" s="7">
        <f>O54</f>
        <v>198.9</v>
      </c>
      <c r="P55" s="8">
        <f>P54</f>
        <v>207.8</v>
      </c>
    </row>
    <row r="57" spans="3:16" x14ac:dyDescent="0.25">
      <c r="C57" s="1" t="s">
        <v>60</v>
      </c>
      <c r="D57" s="1">
        <v>12</v>
      </c>
      <c r="E57" s="1">
        <v>11.9</v>
      </c>
      <c r="F57" s="1">
        <v>11.8</v>
      </c>
      <c r="G57" s="1">
        <v>6.3</v>
      </c>
      <c r="H57" s="1">
        <v>5.4</v>
      </c>
      <c r="I57" s="1">
        <v>5.9</v>
      </c>
      <c r="J57" s="1">
        <v>5.7</v>
      </c>
      <c r="K57" s="1">
        <v>5.4</v>
      </c>
      <c r="L57" s="1">
        <v>5.5</v>
      </c>
      <c r="M57" s="1">
        <v>5.3</v>
      </c>
      <c r="N57" s="1">
        <v>5.3</v>
      </c>
      <c r="O57" s="1">
        <v>8.6</v>
      </c>
      <c r="P57" s="2">
        <v>7.8</v>
      </c>
    </row>
    <row r="58" spans="3:16" x14ac:dyDescent="0.25">
      <c r="C58" s="1" t="s">
        <v>61</v>
      </c>
      <c r="D58" s="1">
        <v>116.3</v>
      </c>
      <c r="E58" s="1">
        <v>115.3</v>
      </c>
      <c r="F58" s="1">
        <v>119.8</v>
      </c>
      <c r="G58" s="1">
        <v>119.4</v>
      </c>
      <c r="H58" s="1">
        <v>110.9</v>
      </c>
      <c r="I58" s="1">
        <v>116.6</v>
      </c>
      <c r="J58" s="1">
        <v>115.7</v>
      </c>
      <c r="K58" s="1">
        <v>113.3</v>
      </c>
      <c r="L58" s="1">
        <v>108.8</v>
      </c>
      <c r="M58" s="1">
        <v>114.9</v>
      </c>
      <c r="N58" s="1">
        <v>107.2</v>
      </c>
      <c r="O58" s="1">
        <v>108.2</v>
      </c>
      <c r="P58" s="2">
        <v>106.9</v>
      </c>
    </row>
    <row r="59" spans="3:16" x14ac:dyDescent="0.25">
      <c r="C59" s="1" t="s">
        <v>62</v>
      </c>
      <c r="D59" s="1">
        <v>0.6</v>
      </c>
      <c r="E59" s="1">
        <v>0.5</v>
      </c>
      <c r="F59" s="1">
        <v>0.5</v>
      </c>
      <c r="G59" s="1">
        <v>0.5</v>
      </c>
      <c r="H59" s="1">
        <v>0.5</v>
      </c>
      <c r="I59" s="1">
        <v>0.5</v>
      </c>
      <c r="J59" s="1">
        <v>0.5</v>
      </c>
      <c r="K59" s="1">
        <v>0.5</v>
      </c>
      <c r="L59" s="1">
        <v>0.4</v>
      </c>
      <c r="M59" s="1">
        <v>0.5</v>
      </c>
      <c r="N59" s="1">
        <v>0.4</v>
      </c>
      <c r="O59" s="1">
        <v>0.4</v>
      </c>
      <c r="P59" s="2">
        <v>0.5</v>
      </c>
    </row>
    <row r="60" spans="3:16" x14ac:dyDescent="0.25">
      <c r="C60" s="1" t="s">
        <v>63</v>
      </c>
      <c r="D60" s="1">
        <v>1.2</v>
      </c>
      <c r="E60" s="1">
        <v>1.2</v>
      </c>
      <c r="F60" s="1">
        <v>1.2</v>
      </c>
      <c r="G60" s="1">
        <v>1.2</v>
      </c>
      <c r="H60" s="1">
        <v>1.2</v>
      </c>
      <c r="I60" s="1">
        <v>1.1000000000000001</v>
      </c>
      <c r="J60" s="1">
        <v>1.2</v>
      </c>
      <c r="K60" s="1">
        <v>1.1000000000000001</v>
      </c>
      <c r="L60" s="1">
        <v>1.1000000000000001</v>
      </c>
      <c r="M60" s="1">
        <v>1.1000000000000001</v>
      </c>
      <c r="N60" s="9">
        <v>1</v>
      </c>
      <c r="O60" s="1">
        <v>1</v>
      </c>
      <c r="P60" s="2">
        <v>1</v>
      </c>
    </row>
    <row r="61" spans="3:16" x14ac:dyDescent="0.25">
      <c r="C61" s="6" t="s">
        <v>64</v>
      </c>
      <c r="D61" s="6">
        <f t="shared" ref="D61:M61" si="48">SUM(D57:D60)</f>
        <v>130.1</v>
      </c>
      <c r="E61" s="6">
        <f t="shared" si="48"/>
        <v>128.9</v>
      </c>
      <c r="F61" s="6">
        <f t="shared" si="48"/>
        <v>133.29999999999998</v>
      </c>
      <c r="G61" s="6">
        <f t="shared" si="48"/>
        <v>127.4</v>
      </c>
      <c r="H61" s="6">
        <f t="shared" si="48"/>
        <v>118.00000000000001</v>
      </c>
      <c r="I61" s="6">
        <f t="shared" si="48"/>
        <v>124.1</v>
      </c>
      <c r="J61" s="6">
        <f t="shared" si="48"/>
        <v>123.10000000000001</v>
      </c>
      <c r="K61" s="6">
        <f t="shared" si="48"/>
        <v>120.3</v>
      </c>
      <c r="L61" s="6">
        <f t="shared" si="48"/>
        <v>115.8</v>
      </c>
      <c r="M61" s="6">
        <f t="shared" si="48"/>
        <v>121.8</v>
      </c>
      <c r="N61" s="6">
        <f>SUM(N57:N60)</f>
        <v>113.9</v>
      </c>
      <c r="O61" s="6">
        <f>SUM(O57:O60)</f>
        <v>118.2</v>
      </c>
      <c r="P61" s="35">
        <f>SUM(P57:P60)</f>
        <v>116.2</v>
      </c>
    </row>
    <row r="63" spans="3:16" x14ac:dyDescent="0.25">
      <c r="C63" s="1" t="s">
        <v>65</v>
      </c>
      <c r="D63" s="1">
        <v>160.6</v>
      </c>
      <c r="E63" s="1">
        <v>175.9</v>
      </c>
      <c r="F63" s="1">
        <v>195.5</v>
      </c>
      <c r="G63" s="1">
        <v>192.1</v>
      </c>
      <c r="H63" s="1">
        <v>216.6</v>
      </c>
      <c r="I63" s="1">
        <v>214.9</v>
      </c>
      <c r="J63" s="1">
        <v>198.5</v>
      </c>
      <c r="K63" s="1">
        <v>181.9</v>
      </c>
      <c r="L63" s="1">
        <v>158.30000000000001</v>
      </c>
      <c r="M63" s="1">
        <v>159</v>
      </c>
      <c r="N63" s="1">
        <v>151.9</v>
      </c>
      <c r="O63" s="1">
        <v>155.1</v>
      </c>
      <c r="P63" s="2">
        <v>170.3</v>
      </c>
    </row>
    <row r="64" spans="3:16" x14ac:dyDescent="0.25">
      <c r="C64" s="1" t="s">
        <v>66</v>
      </c>
      <c r="D64" s="1">
        <v>22.9</v>
      </c>
      <c r="E64" s="1">
        <v>22.3</v>
      </c>
      <c r="F64" s="1">
        <v>21.7</v>
      </c>
      <c r="G64" s="1">
        <v>28.6</v>
      </c>
      <c r="H64" s="1">
        <v>30.5</v>
      </c>
      <c r="I64" s="1">
        <v>31.5</v>
      </c>
      <c r="J64" s="1">
        <v>29.8</v>
      </c>
      <c r="K64" s="1">
        <v>33.799999999999997</v>
      </c>
      <c r="L64" s="1">
        <v>37.9</v>
      </c>
      <c r="M64" s="1">
        <v>29.6</v>
      </c>
      <c r="N64" s="1">
        <v>24.9</v>
      </c>
      <c r="O64" s="1">
        <v>27.6</v>
      </c>
      <c r="P64" s="2">
        <v>28.7</v>
      </c>
    </row>
    <row r="65" spans="3:26" x14ac:dyDescent="0.25">
      <c r="C65" s="1" t="s">
        <v>67</v>
      </c>
      <c r="D65" s="1">
        <v>2.4</v>
      </c>
      <c r="E65" s="1">
        <v>3</v>
      </c>
      <c r="F65" s="1">
        <v>2.9</v>
      </c>
      <c r="G65" s="1">
        <v>6.2</v>
      </c>
      <c r="H65" s="1">
        <v>6.9</v>
      </c>
      <c r="I65" s="1">
        <v>7.2</v>
      </c>
      <c r="J65" s="1">
        <v>8.1999999999999993</v>
      </c>
      <c r="K65" s="1">
        <v>6.3</v>
      </c>
      <c r="L65" s="1">
        <v>5.2</v>
      </c>
      <c r="M65" s="1">
        <v>5.6</v>
      </c>
      <c r="N65" s="1">
        <v>4.2</v>
      </c>
      <c r="O65" s="1">
        <v>2.1</v>
      </c>
      <c r="P65" s="2">
        <v>1.3</v>
      </c>
    </row>
    <row r="66" spans="3:26" x14ac:dyDescent="0.25">
      <c r="C66" s="1" t="s">
        <v>61</v>
      </c>
      <c r="D66" s="1">
        <v>66.599999999999994</v>
      </c>
      <c r="E66" s="1">
        <v>76.3</v>
      </c>
      <c r="F66" s="1">
        <v>69.2</v>
      </c>
      <c r="G66" s="1">
        <v>61.3</v>
      </c>
      <c r="H66" s="1">
        <v>55.9</v>
      </c>
      <c r="I66" s="1">
        <v>46.7</v>
      </c>
      <c r="J66" s="1">
        <v>57.6</v>
      </c>
      <c r="K66" s="1">
        <v>55.1</v>
      </c>
      <c r="L66" s="1">
        <v>61.9</v>
      </c>
      <c r="M66" s="1">
        <v>48.8</v>
      </c>
      <c r="N66" s="1">
        <v>59.9</v>
      </c>
      <c r="O66" s="1">
        <v>54</v>
      </c>
      <c r="P66" s="2">
        <v>50.1</v>
      </c>
    </row>
    <row r="67" spans="3:26" x14ac:dyDescent="0.25">
      <c r="C67" s="6" t="s">
        <v>68</v>
      </c>
      <c r="D67" s="6">
        <f t="shared" ref="D67:M67" si="49">SUM(D63:D66)</f>
        <v>252.5</v>
      </c>
      <c r="E67" s="6">
        <f t="shared" si="49"/>
        <v>277.5</v>
      </c>
      <c r="F67" s="6">
        <f t="shared" si="49"/>
        <v>289.3</v>
      </c>
      <c r="G67" s="6">
        <f t="shared" si="49"/>
        <v>288.2</v>
      </c>
      <c r="H67" s="6">
        <f t="shared" si="49"/>
        <v>309.89999999999998</v>
      </c>
      <c r="I67" s="6">
        <f t="shared" si="49"/>
        <v>300.3</v>
      </c>
      <c r="J67" s="6">
        <f t="shared" si="49"/>
        <v>294.10000000000002</v>
      </c>
      <c r="K67" s="6">
        <f t="shared" si="49"/>
        <v>277.10000000000002</v>
      </c>
      <c r="L67" s="6">
        <f t="shared" si="49"/>
        <v>263.3</v>
      </c>
      <c r="M67" s="6">
        <f t="shared" si="49"/>
        <v>243</v>
      </c>
      <c r="N67" s="6">
        <f>SUM(N63:N66)</f>
        <v>240.9</v>
      </c>
      <c r="O67" s="6">
        <f>SUM(O63:O66)</f>
        <v>238.79999999999998</v>
      </c>
      <c r="P67" s="35">
        <f>SUM(P63:P66)</f>
        <v>250.4</v>
      </c>
    </row>
    <row r="68" spans="3:26" x14ac:dyDescent="0.25">
      <c r="C68" s="7" t="s">
        <v>69</v>
      </c>
      <c r="D68" s="7">
        <f t="shared" ref="D68:L68" si="50">D55+D61+D67</f>
        <v>511.6</v>
      </c>
      <c r="E68" s="7">
        <f t="shared" si="50"/>
        <v>536.70000000000005</v>
      </c>
      <c r="F68" s="7">
        <f t="shared" si="50"/>
        <v>560.90000000000009</v>
      </c>
      <c r="G68" s="7">
        <f t="shared" si="50"/>
        <v>558.90000000000009</v>
      </c>
      <c r="H68" s="7">
        <f t="shared" si="50"/>
        <v>582.20000000000005</v>
      </c>
      <c r="I68" s="7">
        <f t="shared" si="50"/>
        <v>581.40000000000009</v>
      </c>
      <c r="J68" s="7">
        <f t="shared" si="50"/>
        <v>584.70000000000005</v>
      </c>
      <c r="K68" s="7">
        <f t="shared" si="50"/>
        <v>580.90000000000009</v>
      </c>
      <c r="L68" s="7">
        <f t="shared" si="50"/>
        <v>568.1</v>
      </c>
      <c r="M68" s="7">
        <f>M55+M61+M67</f>
        <v>551.79999999999995</v>
      </c>
      <c r="N68" s="7">
        <f>N55+N61+N67</f>
        <v>547.70000000000005</v>
      </c>
      <c r="O68" s="7">
        <f>O55+O61+O67</f>
        <v>555.9</v>
      </c>
      <c r="P68" s="8">
        <f>P55+P61+P67</f>
        <v>574.4</v>
      </c>
    </row>
    <row r="70" spans="3:26" x14ac:dyDescent="0.25">
      <c r="C70" s="16" t="s">
        <v>126</v>
      </c>
    </row>
    <row r="71" spans="3:26" x14ac:dyDescent="0.25">
      <c r="C71" s="1" t="s">
        <v>124</v>
      </c>
      <c r="D71" s="9">
        <f t="shared" ref="D71:O71" si="51">D18</f>
        <v>4.7999999999999883</v>
      </c>
      <c r="E71" s="9">
        <f t="shared" si="51"/>
        <v>7.1799999999999979</v>
      </c>
      <c r="F71" s="9">
        <f t="shared" si="51"/>
        <v>8.8999999999999773</v>
      </c>
      <c r="G71" s="9">
        <f t="shared" si="51"/>
        <v>12.8</v>
      </c>
      <c r="H71" s="9">
        <f t="shared" si="51"/>
        <v>16.300000000000033</v>
      </c>
      <c r="I71" s="9">
        <f t="shared" si="51"/>
        <v>19.2</v>
      </c>
      <c r="J71" s="9">
        <f t="shared" si="51"/>
        <v>12.200000000000019</v>
      </c>
      <c r="K71" s="9">
        <f t="shared" si="51"/>
        <v>16.699999999999982</v>
      </c>
      <c r="L71" s="9">
        <f t="shared" si="51"/>
        <v>8.6000000000000068</v>
      </c>
      <c r="M71" s="9">
        <f t="shared" si="51"/>
        <v>12.499999999999996</v>
      </c>
      <c r="N71" s="9">
        <f t="shared" si="51"/>
        <v>8.3999999999999915</v>
      </c>
      <c r="O71" s="9">
        <f t="shared" si="51"/>
        <v>10.499999999999989</v>
      </c>
      <c r="P71" s="17">
        <f>P18</f>
        <v>10.100000000000025</v>
      </c>
      <c r="V71" s="28"/>
      <c r="W71" s="28">
        <f t="shared" ref="W71:X71" si="52">W18</f>
        <v>25.269999999999975</v>
      </c>
      <c r="X71" s="28">
        <f t="shared" si="52"/>
        <v>64.39999999999992</v>
      </c>
      <c r="Y71" s="28">
        <f>Y18</f>
        <v>34.800000000000018</v>
      </c>
      <c r="Z71" s="29">
        <f>Z18</f>
        <v>53.775000000000006</v>
      </c>
    </row>
    <row r="72" spans="3:26" x14ac:dyDescent="0.25">
      <c r="C72" s="1" t="s">
        <v>125</v>
      </c>
      <c r="D72" s="1">
        <v>5.5</v>
      </c>
      <c r="E72" s="1">
        <v>8.1</v>
      </c>
      <c r="F72" s="1">
        <v>10.3</v>
      </c>
      <c r="G72" s="1">
        <v>14.6</v>
      </c>
      <c r="H72" s="1">
        <v>16.3</v>
      </c>
      <c r="I72" s="1">
        <v>19.2</v>
      </c>
      <c r="J72" s="1">
        <v>12.3</v>
      </c>
      <c r="K72" s="1">
        <v>16.899999999999999</v>
      </c>
      <c r="L72" s="1">
        <v>8.6</v>
      </c>
      <c r="M72" s="1">
        <v>12.6</v>
      </c>
      <c r="N72" s="1">
        <v>8.4</v>
      </c>
      <c r="O72" s="1">
        <v>10.3</v>
      </c>
      <c r="P72" s="2">
        <v>10</v>
      </c>
    </row>
    <row r="73" spans="3:26" x14ac:dyDescent="0.25">
      <c r="C73" s="1" t="s">
        <v>127</v>
      </c>
      <c r="D73" s="1">
        <v>3.8</v>
      </c>
      <c r="E73" s="1">
        <v>4.2</v>
      </c>
      <c r="F73" s="1">
        <v>4.2</v>
      </c>
      <c r="G73" s="1">
        <v>3.7</v>
      </c>
      <c r="H73" s="1">
        <v>4.0999999999999996</v>
      </c>
      <c r="I73" s="1">
        <v>4.3</v>
      </c>
      <c r="J73" s="1">
        <v>4.5</v>
      </c>
      <c r="K73" s="1">
        <v>4.8</v>
      </c>
      <c r="L73" s="1">
        <v>4.7</v>
      </c>
      <c r="M73" s="1">
        <v>4.5999999999999996</v>
      </c>
      <c r="N73" s="1">
        <v>4.5999999999999996</v>
      </c>
      <c r="O73" s="1">
        <v>4.8</v>
      </c>
      <c r="P73" s="2">
        <v>4.5999999999999996</v>
      </c>
    </row>
    <row r="74" spans="3:26" x14ac:dyDescent="0.25">
      <c r="C74" s="1" t="s">
        <v>128</v>
      </c>
      <c r="D74" s="1">
        <v>-17.8</v>
      </c>
      <c r="E74" s="1">
        <v>-2.4</v>
      </c>
      <c r="F74" s="1">
        <v>4.2</v>
      </c>
      <c r="G74" s="1">
        <v>-16.100000000000001</v>
      </c>
      <c r="H74" s="1">
        <v>0.1</v>
      </c>
      <c r="I74" s="1">
        <v>-5.7</v>
      </c>
      <c r="J74" s="1">
        <v>-11.1</v>
      </c>
      <c r="K74" s="1">
        <v>6.6</v>
      </c>
      <c r="L74" s="1">
        <v>-3.1</v>
      </c>
      <c r="M74" s="1">
        <v>8.9</v>
      </c>
      <c r="N74" s="1">
        <v>3.9</v>
      </c>
      <c r="O74" s="1">
        <v>-4.9000000000000004</v>
      </c>
      <c r="P74" s="2">
        <v>-2</v>
      </c>
    </row>
    <row r="75" spans="3:26" x14ac:dyDescent="0.25">
      <c r="C75" s="1" t="s">
        <v>129</v>
      </c>
      <c r="D75" s="1">
        <f>3.5-6</f>
        <v>-2.5</v>
      </c>
      <c r="E75" s="1">
        <f>-9.3+3.3</f>
        <v>-6.0000000000000009</v>
      </c>
      <c r="F75" s="1">
        <f>-3.5-0.7</f>
        <v>-4.2</v>
      </c>
      <c r="G75" s="1">
        <v>5</v>
      </c>
      <c r="H75" s="1">
        <f>-10-0.1</f>
        <v>-10.1</v>
      </c>
      <c r="I75" s="1">
        <v>-5.0999999999999996</v>
      </c>
      <c r="J75" s="1">
        <f>-3.1+2.5</f>
        <v>-0.60000000000000009</v>
      </c>
      <c r="K75" s="1">
        <v>5.0999999999999996</v>
      </c>
      <c r="L75" s="1">
        <v>-1.7</v>
      </c>
      <c r="M75" s="1">
        <v>-7.3</v>
      </c>
      <c r="N75" s="1">
        <v>-14.7</v>
      </c>
      <c r="O75" s="1">
        <v>4</v>
      </c>
      <c r="P75" s="2">
        <v>-0.5</v>
      </c>
    </row>
    <row r="76" spans="3:26" x14ac:dyDescent="0.25">
      <c r="C76" s="7" t="s">
        <v>70</v>
      </c>
      <c r="D76" s="7">
        <f t="shared" ref="D76:O76" si="53">SUM(D72:D75)</f>
        <v>-11</v>
      </c>
      <c r="E76" s="7">
        <f t="shared" si="53"/>
        <v>3.8999999999999995</v>
      </c>
      <c r="F76" s="7">
        <f t="shared" si="53"/>
        <v>14.5</v>
      </c>
      <c r="G76" s="7">
        <f t="shared" si="53"/>
        <v>7.1999999999999993</v>
      </c>
      <c r="H76" s="7">
        <f t="shared" si="53"/>
        <v>10.4</v>
      </c>
      <c r="I76" s="7">
        <f t="shared" si="53"/>
        <v>12.700000000000001</v>
      </c>
      <c r="J76" s="7">
        <f t="shared" si="53"/>
        <v>5.1000000000000014</v>
      </c>
      <c r="K76" s="7">
        <f t="shared" si="53"/>
        <v>33.4</v>
      </c>
      <c r="L76" s="7">
        <f t="shared" si="53"/>
        <v>8.5000000000000018</v>
      </c>
      <c r="M76" s="7">
        <f t="shared" si="53"/>
        <v>18.8</v>
      </c>
      <c r="N76" s="7">
        <f t="shared" si="53"/>
        <v>2.1999999999999993</v>
      </c>
      <c r="O76" s="7">
        <f t="shared" si="53"/>
        <v>14.200000000000001</v>
      </c>
      <c r="P76" s="8">
        <f>SUM(P72:P75)</f>
        <v>12.1</v>
      </c>
    </row>
    <row r="77" spans="3:26" x14ac:dyDescent="0.25">
      <c r="C77" s="7"/>
      <c r="H77" s="7"/>
      <c r="I77" s="7"/>
      <c r="J77" s="7"/>
      <c r="K77" s="7"/>
      <c r="L77" s="7"/>
      <c r="M77" s="7"/>
      <c r="N77" s="7"/>
    </row>
    <row r="78" spans="3:26" x14ac:dyDescent="0.25">
      <c r="C78" s="7" t="s">
        <v>108</v>
      </c>
      <c r="D78" s="7">
        <v>-89</v>
      </c>
      <c r="E78" s="7">
        <v>-3.3</v>
      </c>
      <c r="F78" s="7">
        <v>-1.5</v>
      </c>
      <c r="G78" s="7">
        <v>-2.6</v>
      </c>
      <c r="H78" s="7">
        <v>-3.4</v>
      </c>
      <c r="I78" s="7">
        <v>-3.6</v>
      </c>
      <c r="J78" s="7">
        <v>-1.6</v>
      </c>
      <c r="K78" s="7">
        <v>-7.6</v>
      </c>
      <c r="L78" s="7">
        <v>-2.6</v>
      </c>
      <c r="M78" s="7">
        <v>-2.1</v>
      </c>
      <c r="N78" s="7">
        <v>0.2</v>
      </c>
      <c r="O78" s="7">
        <v>-4.0999999999999996</v>
      </c>
      <c r="P78" s="8">
        <v>-1.6</v>
      </c>
    </row>
    <row r="80" spans="3:26" x14ac:dyDescent="0.25">
      <c r="C80" s="7" t="s">
        <v>109</v>
      </c>
      <c r="D80" s="7">
        <v>71.8</v>
      </c>
      <c r="E80" s="7">
        <v>4.8</v>
      </c>
      <c r="F80" s="7">
        <v>-0.4</v>
      </c>
      <c r="G80" s="7">
        <v>-12.6</v>
      </c>
      <c r="H80" s="7">
        <v>-6.1</v>
      </c>
      <c r="I80" s="7">
        <v>-14.9</v>
      </c>
      <c r="J80" s="7">
        <v>7.8</v>
      </c>
      <c r="K80" s="7">
        <v>-18.600000000000001</v>
      </c>
      <c r="L80" s="7">
        <v>2.1</v>
      </c>
      <c r="M80" s="7">
        <v>-23.4</v>
      </c>
      <c r="N80" s="7">
        <v>5</v>
      </c>
      <c r="O80" s="7">
        <v>-10.9</v>
      </c>
      <c r="P80" s="8">
        <v>-9.5</v>
      </c>
    </row>
    <row r="82" spans="3:16" x14ac:dyDescent="0.25">
      <c r="C82" s="1" t="s">
        <v>132</v>
      </c>
      <c r="D82" s="1">
        <v>-0.2</v>
      </c>
      <c r="E82" s="1">
        <v>0.6</v>
      </c>
      <c r="F82" s="1">
        <v>-0.7</v>
      </c>
      <c r="G82" s="1">
        <v>1.4</v>
      </c>
      <c r="H82" s="1">
        <v>-0.8</v>
      </c>
      <c r="I82" s="1">
        <v>0.6</v>
      </c>
      <c r="J82" s="1">
        <v>-0.2</v>
      </c>
      <c r="K82" s="1">
        <v>0.2</v>
      </c>
      <c r="L82" s="1">
        <v>0.6</v>
      </c>
      <c r="M82" s="1">
        <v>-0.1</v>
      </c>
      <c r="N82" s="1">
        <v>0.5</v>
      </c>
      <c r="O82" s="1">
        <v>0.7</v>
      </c>
      <c r="P82" s="2">
        <v>-0.8</v>
      </c>
    </row>
    <row r="84" spans="3:16" x14ac:dyDescent="0.25">
      <c r="C84" s="1" t="s">
        <v>130</v>
      </c>
      <c r="D84" s="1">
        <f t="shared" ref="D84:O84" si="54">D76+D78+D80+D82</f>
        <v>-28.400000000000002</v>
      </c>
      <c r="E84" s="1">
        <f t="shared" si="54"/>
        <v>5.9999999999999991</v>
      </c>
      <c r="F84" s="1">
        <f t="shared" si="54"/>
        <v>11.9</v>
      </c>
      <c r="G84" s="1">
        <f t="shared" si="54"/>
        <v>-6.6</v>
      </c>
      <c r="H84" s="1">
        <f t="shared" si="54"/>
        <v>0.10000000000000031</v>
      </c>
      <c r="I84" s="1">
        <f t="shared" si="54"/>
        <v>-5.1999999999999993</v>
      </c>
      <c r="J84" s="1">
        <f t="shared" si="54"/>
        <v>11.100000000000001</v>
      </c>
      <c r="K84" s="1">
        <f t="shared" si="54"/>
        <v>7.3999999999999959</v>
      </c>
      <c r="L84" s="1">
        <f t="shared" si="54"/>
        <v>8.6000000000000014</v>
      </c>
      <c r="M84" s="1">
        <f t="shared" si="54"/>
        <v>-6.7999999999999989</v>
      </c>
      <c r="N84" s="1">
        <f t="shared" si="54"/>
        <v>7.8999999999999995</v>
      </c>
      <c r="O84" s="1">
        <f t="shared" si="54"/>
        <v>-9.9999999999998979E-2</v>
      </c>
      <c r="P84" s="2">
        <f>P76+P78+P80+P82</f>
        <v>0.19999999999999996</v>
      </c>
    </row>
    <row r="86" spans="3:16" x14ac:dyDescent="0.25">
      <c r="C86" s="1" t="s">
        <v>131</v>
      </c>
      <c r="D86" s="1">
        <f t="shared" ref="D86:O86" si="55">D76+D78</f>
        <v>-100</v>
      </c>
      <c r="E86" s="1">
        <f t="shared" si="55"/>
        <v>0.59999999999999964</v>
      </c>
      <c r="F86" s="1">
        <f t="shared" si="55"/>
        <v>13</v>
      </c>
      <c r="G86" s="1">
        <f t="shared" si="55"/>
        <v>4.5999999999999996</v>
      </c>
      <c r="H86" s="1">
        <f t="shared" si="55"/>
        <v>7</v>
      </c>
      <c r="I86" s="1">
        <f t="shared" si="55"/>
        <v>9.1000000000000014</v>
      </c>
      <c r="J86" s="1">
        <f t="shared" si="55"/>
        <v>3.5000000000000013</v>
      </c>
      <c r="K86" s="1">
        <f t="shared" si="55"/>
        <v>25.799999999999997</v>
      </c>
      <c r="L86" s="1">
        <f t="shared" si="55"/>
        <v>5.9000000000000021</v>
      </c>
      <c r="M86" s="1">
        <f t="shared" si="55"/>
        <v>16.7</v>
      </c>
      <c r="N86" s="1">
        <f t="shared" si="55"/>
        <v>2.3999999999999995</v>
      </c>
      <c r="O86" s="1">
        <f>O76+O78</f>
        <v>10.100000000000001</v>
      </c>
      <c r="P86" s="2">
        <f>P76+P78</f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9A30-5F0C-674F-8296-CED47249D338}">
  <dimension ref="B4:V57"/>
  <sheetViews>
    <sheetView showGridLines="0" zoomScale="90" zoomScaleNormal="90" workbookViewId="0">
      <selection activeCell="I54" sqref="I54"/>
    </sheetView>
  </sheetViews>
  <sheetFormatPr baseColWidth="10" defaultRowHeight="19" x14ac:dyDescent="0.25"/>
  <cols>
    <col min="1" max="1" width="4.5" style="1" customWidth="1"/>
    <col min="2" max="2" width="20.6640625" style="1" customWidth="1"/>
    <col min="3" max="6" width="10.83203125" style="1"/>
    <col min="7" max="7" width="12" style="1" bestFit="1" customWidth="1"/>
    <col min="8" max="16384" width="10.83203125" style="1"/>
  </cols>
  <sheetData>
    <row r="4" spans="2:22" x14ac:dyDescent="0.25">
      <c r="B4" s="1" t="s">
        <v>112</v>
      </c>
      <c r="C4" s="67" t="s">
        <v>2</v>
      </c>
      <c r="D4" s="68" t="s">
        <v>3</v>
      </c>
      <c r="E4" s="68" t="s">
        <v>4</v>
      </c>
      <c r="F4" s="68" t="s">
        <v>5</v>
      </c>
      <c r="G4" s="69">
        <v>2022</v>
      </c>
      <c r="H4" s="68" t="s">
        <v>6</v>
      </c>
      <c r="I4" s="68" t="s">
        <v>7</v>
      </c>
      <c r="J4" s="68" t="s">
        <v>8</v>
      </c>
      <c r="K4" s="68" t="s">
        <v>9</v>
      </c>
      <c r="L4" s="69">
        <v>2023</v>
      </c>
      <c r="M4" s="68" t="s">
        <v>10</v>
      </c>
      <c r="N4" s="68" t="s">
        <v>11</v>
      </c>
      <c r="O4" s="68" t="s">
        <v>116</v>
      </c>
      <c r="P4" s="68" t="s">
        <v>12</v>
      </c>
      <c r="Q4" s="70">
        <v>2024</v>
      </c>
      <c r="R4" s="68" t="s">
        <v>118</v>
      </c>
      <c r="S4" s="68" t="s">
        <v>119</v>
      </c>
      <c r="T4" s="68" t="s">
        <v>120</v>
      </c>
      <c r="U4" s="68" t="s">
        <v>121</v>
      </c>
      <c r="V4" s="70">
        <v>2025</v>
      </c>
    </row>
    <row r="5" spans="2:22" x14ac:dyDescent="0.25">
      <c r="B5" s="7" t="s">
        <v>23</v>
      </c>
      <c r="C5" s="45"/>
      <c r="G5" s="40"/>
      <c r="L5" s="40"/>
      <c r="Q5" s="40"/>
      <c r="V5" s="40"/>
    </row>
    <row r="6" spans="2:22" x14ac:dyDescent="0.25">
      <c r="B6" s="1" t="s">
        <v>114</v>
      </c>
      <c r="C6" s="59">
        <v>31.69</v>
      </c>
      <c r="D6" s="1">
        <v>39.1</v>
      </c>
      <c r="E6" s="1">
        <v>36.700000000000003</v>
      </c>
      <c r="F6" s="1">
        <v>36.799999999999997</v>
      </c>
      <c r="G6" s="41">
        <f>SUM(C6:F6)</f>
        <v>144.29000000000002</v>
      </c>
      <c r="H6" s="1">
        <v>34.1</v>
      </c>
      <c r="I6" s="1">
        <v>36</v>
      </c>
      <c r="J6" s="1">
        <v>37.6</v>
      </c>
      <c r="K6" s="1">
        <v>32.5</v>
      </c>
      <c r="L6" s="41">
        <f>SUM(H6:K6)</f>
        <v>140.19999999999999</v>
      </c>
      <c r="M6" s="1">
        <v>27.7</v>
      </c>
      <c r="N6" s="1">
        <v>29.3</v>
      </c>
      <c r="O6" s="1">
        <v>33.299999999999997</v>
      </c>
      <c r="P6" s="1">
        <v>31</v>
      </c>
      <c r="Q6" s="41">
        <f>SUM(M6:P6)</f>
        <v>121.3</v>
      </c>
      <c r="R6" s="1">
        <v>26.5</v>
      </c>
      <c r="V6" s="41">
        <f>SUM(R6:U6)</f>
        <v>26.5</v>
      </c>
    </row>
    <row r="7" spans="2:22" x14ac:dyDescent="0.25">
      <c r="B7" s="6" t="s">
        <v>133</v>
      </c>
      <c r="C7" s="43"/>
      <c r="D7" s="6"/>
      <c r="E7" s="6"/>
      <c r="F7" s="6"/>
      <c r="G7" s="46"/>
      <c r="H7" s="39">
        <f t="shared" ref="H7:S7" si="0">(H6-C6)/C6</f>
        <v>7.604922688545282E-2</v>
      </c>
      <c r="I7" s="39">
        <f t="shared" si="0"/>
        <v>-7.9283887468030723E-2</v>
      </c>
      <c r="J7" s="39">
        <f t="shared" si="0"/>
        <v>2.4523160762942739E-2</v>
      </c>
      <c r="K7" s="39">
        <f t="shared" si="0"/>
        <v>-0.11684782608695646</v>
      </c>
      <c r="L7" s="50">
        <f t="shared" si="0"/>
        <v>-2.8345692702197181E-2</v>
      </c>
      <c r="M7" s="39">
        <f t="shared" si="0"/>
        <v>-0.18768328445747806</v>
      </c>
      <c r="N7" s="39">
        <f t="shared" si="0"/>
        <v>-0.18611111111111109</v>
      </c>
      <c r="O7" s="39">
        <f t="shared" si="0"/>
        <v>-0.11436170212765968</v>
      </c>
      <c r="P7" s="39">
        <f t="shared" si="0"/>
        <v>-4.6153846153846156E-2</v>
      </c>
      <c r="Q7" s="50">
        <f t="shared" si="0"/>
        <v>-0.13480741797432236</v>
      </c>
      <c r="R7" s="39">
        <f t="shared" si="0"/>
        <v>-4.3321299638989147E-2</v>
      </c>
      <c r="S7" s="39">
        <f t="shared" si="0"/>
        <v>-1</v>
      </c>
      <c r="T7" s="39">
        <f t="shared" ref="T7:U7" si="1">(T6-O6)/O6</f>
        <v>-1</v>
      </c>
      <c r="U7" s="39">
        <f t="shared" si="1"/>
        <v>-1</v>
      </c>
      <c r="V7" s="50">
        <f>(V6-Q6)/Q6</f>
        <v>-0.78153338829348717</v>
      </c>
    </row>
    <row r="8" spans="2:22" x14ac:dyDescent="0.25">
      <c r="B8" s="1" t="s">
        <v>115</v>
      </c>
      <c r="C8" s="45"/>
      <c r="G8" s="40"/>
      <c r="H8" s="1">
        <v>81</v>
      </c>
      <c r="I8" s="1">
        <v>72.8</v>
      </c>
      <c r="J8" s="1">
        <v>51.8</v>
      </c>
      <c r="K8" s="1">
        <v>48</v>
      </c>
      <c r="L8" s="40"/>
      <c r="M8" s="1">
        <v>68.400000000000006</v>
      </c>
      <c r="N8" s="1">
        <v>67.400000000000006</v>
      </c>
      <c r="O8" s="1">
        <v>53.6</v>
      </c>
      <c r="P8" s="1">
        <v>61.2</v>
      </c>
      <c r="Q8" s="40"/>
      <c r="R8" s="1">
        <v>61.3</v>
      </c>
      <c r="V8" s="40"/>
    </row>
    <row r="9" spans="2:22" x14ac:dyDescent="0.25">
      <c r="B9" s="54" t="s">
        <v>122</v>
      </c>
      <c r="C9" s="58"/>
      <c r="D9" s="55"/>
      <c r="E9" s="55"/>
      <c r="F9" s="55"/>
      <c r="G9" s="56"/>
      <c r="H9" s="55"/>
      <c r="I9" s="55">
        <f>(I8-H8)/H8</f>
        <v>-0.1012345679012346</v>
      </c>
      <c r="J9" s="55">
        <f>(J8-I8)/I8</f>
        <v>-0.28846153846153849</v>
      </c>
      <c r="K9" s="55">
        <f>(K8-J8)/J8</f>
        <v>-7.335907335907331E-2</v>
      </c>
      <c r="L9" s="56"/>
      <c r="M9" s="55">
        <f>(M8-K8)/K8</f>
        <v>0.4250000000000001</v>
      </c>
      <c r="N9" s="55">
        <f>(N8-M8)/M8</f>
        <v>-1.4619883040935672E-2</v>
      </c>
      <c r="O9" s="55">
        <f>(O8-N8)/N8</f>
        <v>-0.20474777448071221</v>
      </c>
      <c r="P9" s="55">
        <f>(P8-O8)/O8</f>
        <v>0.14179104477611942</v>
      </c>
      <c r="Q9" s="56"/>
      <c r="R9" s="55">
        <f>(R8-P8)/P8</f>
        <v>1.6339869281044822E-3</v>
      </c>
      <c r="S9" s="55">
        <f>(S8-R8)/R8</f>
        <v>-1</v>
      </c>
      <c r="T9" s="55" t="e">
        <f>(T8-S8)/S8</f>
        <v>#DIV/0!</v>
      </c>
      <c r="U9" s="55" t="e">
        <f>(U8-T8)/T8</f>
        <v>#DIV/0!</v>
      </c>
      <c r="V9" s="57"/>
    </row>
    <row r="10" spans="2:22" x14ac:dyDescent="0.25">
      <c r="B10" s="7" t="s">
        <v>24</v>
      </c>
      <c r="C10" s="45"/>
      <c r="G10" s="40"/>
      <c r="L10" s="40"/>
      <c r="Q10" s="40"/>
      <c r="V10" s="40"/>
    </row>
    <row r="11" spans="2:22" x14ac:dyDescent="0.25">
      <c r="B11" s="1" t="s">
        <v>114</v>
      </c>
      <c r="C11" s="45">
        <v>25.7</v>
      </c>
      <c r="D11" s="1">
        <v>23.5</v>
      </c>
      <c r="E11" s="1">
        <v>27.2</v>
      </c>
      <c r="F11" s="1">
        <v>37.4</v>
      </c>
      <c r="G11" s="41">
        <f>SUM(C11:F11)</f>
        <v>113.80000000000001</v>
      </c>
      <c r="H11" s="1">
        <v>57.4</v>
      </c>
      <c r="I11" s="1">
        <v>63.7</v>
      </c>
      <c r="J11" s="1">
        <v>60.2</v>
      </c>
      <c r="K11" s="1">
        <v>63.9</v>
      </c>
      <c r="L11" s="41">
        <f>SUM(H11:K11)</f>
        <v>245.20000000000002</v>
      </c>
      <c r="M11" s="1">
        <v>51.2</v>
      </c>
      <c r="N11" s="1">
        <v>47.3</v>
      </c>
      <c r="O11" s="1">
        <v>36.9</v>
      </c>
      <c r="P11" s="1">
        <v>43.7</v>
      </c>
      <c r="Q11" s="41">
        <f>SUM(M11:P11)</f>
        <v>179.10000000000002</v>
      </c>
      <c r="R11" s="1">
        <v>41.8</v>
      </c>
      <c r="V11" s="41">
        <f>SUM(R11:U11)</f>
        <v>41.8</v>
      </c>
    </row>
    <row r="12" spans="2:22" x14ac:dyDescent="0.25">
      <c r="B12" s="6" t="s">
        <v>133</v>
      </c>
      <c r="C12" s="43"/>
      <c r="D12" s="6"/>
      <c r="E12" s="6"/>
      <c r="F12" s="6"/>
      <c r="G12" s="46"/>
      <c r="H12" s="39">
        <f t="shared" ref="H12" si="2">(H11-C11)/C11</f>
        <v>1.2334630350194553</v>
      </c>
      <c r="I12" s="39">
        <f t="shared" ref="I12" si="3">(I11-D11)/D11</f>
        <v>1.7106382978723405</v>
      </c>
      <c r="J12" s="39">
        <f t="shared" ref="J12" si="4">(J11-E11)/E11</f>
        <v>1.2132352941176472</v>
      </c>
      <c r="K12" s="39">
        <f t="shared" ref="K12" si="5">(K11-F11)/F11</f>
        <v>0.70855614973262038</v>
      </c>
      <c r="L12" s="50">
        <f>(L11-G11)/G11</f>
        <v>1.1546572934973638</v>
      </c>
      <c r="M12" s="39">
        <f t="shared" ref="M12" si="6">(M11-H11)/H11</f>
        <v>-0.1080139372822299</v>
      </c>
      <c r="N12" s="39">
        <f t="shared" ref="N12" si="7">(N11-I11)/I11</f>
        <v>-0.25745682888540039</v>
      </c>
      <c r="O12" s="39">
        <f t="shared" ref="O12" si="8">(O11-J11)/J11</f>
        <v>-0.3870431893687708</v>
      </c>
      <c r="P12" s="39">
        <f>(P11-K11)/K11</f>
        <v>-0.31611893583724565</v>
      </c>
      <c r="Q12" s="50">
        <f>(Q11-L11)/L11</f>
        <v>-0.2695758564437194</v>
      </c>
      <c r="R12" s="39">
        <f>(R11-M11)/M11</f>
        <v>-0.18359375000000011</v>
      </c>
      <c r="S12" s="39">
        <f>(S11-N11)/N11</f>
        <v>-1</v>
      </c>
      <c r="T12" s="39">
        <f t="shared" ref="T12" si="9">(T11-O11)/O11</f>
        <v>-1</v>
      </c>
      <c r="U12" s="39">
        <f t="shared" ref="U12" si="10">(U11-P11)/P11</f>
        <v>-1</v>
      </c>
      <c r="V12" s="50">
        <f>(V11-Q11)/Q11</f>
        <v>-0.76661083193746504</v>
      </c>
    </row>
    <row r="13" spans="2:22" x14ac:dyDescent="0.25">
      <c r="B13" s="1" t="s">
        <v>115</v>
      </c>
      <c r="C13" s="45"/>
      <c r="G13" s="40"/>
      <c r="H13" s="1">
        <v>210.4</v>
      </c>
      <c r="I13" s="1">
        <v>193.4</v>
      </c>
      <c r="J13" s="1">
        <v>178.3</v>
      </c>
      <c r="K13" s="1">
        <v>174.4</v>
      </c>
      <c r="L13" s="40"/>
      <c r="M13" s="1">
        <v>149.6</v>
      </c>
      <c r="N13" s="1">
        <v>145.1</v>
      </c>
      <c r="O13" s="1">
        <v>157</v>
      </c>
      <c r="P13" s="1">
        <v>137.1</v>
      </c>
      <c r="Q13" s="40"/>
      <c r="R13" s="1">
        <v>143.6</v>
      </c>
      <c r="V13" s="40"/>
    </row>
    <row r="14" spans="2:22" x14ac:dyDescent="0.25">
      <c r="B14" s="54" t="s">
        <v>122</v>
      </c>
      <c r="C14" s="44"/>
      <c r="D14" s="23"/>
      <c r="E14" s="23"/>
      <c r="F14" s="23"/>
      <c r="G14" s="42"/>
      <c r="H14" s="23"/>
      <c r="I14" s="55">
        <f>(I13-H13)/H13</f>
        <v>-8.0798479087452468E-2</v>
      </c>
      <c r="J14" s="55">
        <f>(J13-I13)/I13</f>
        <v>-7.8076525336090968E-2</v>
      </c>
      <c r="K14" s="55">
        <f>(K13-J13)/J13</f>
        <v>-2.1873247335950675E-2</v>
      </c>
      <c r="L14" s="42"/>
      <c r="M14" s="55">
        <f>(M13-K13)/K13</f>
        <v>-0.14220183486238538</v>
      </c>
      <c r="N14" s="55">
        <f>(N13-M13)/M13</f>
        <v>-3.0080213903743318E-2</v>
      </c>
      <c r="O14" s="55">
        <f>(O13-N13)/N13</f>
        <v>8.2012405237767094E-2</v>
      </c>
      <c r="P14" s="55">
        <f>(P13-O13)/O13</f>
        <v>-0.12675159235668793</v>
      </c>
      <c r="Q14" s="42"/>
      <c r="R14" s="55">
        <f>(R13-P13)/P13</f>
        <v>4.7410649161196208E-2</v>
      </c>
      <c r="S14" s="55">
        <f>(S13-R13)/R13</f>
        <v>-1</v>
      </c>
      <c r="T14" s="55" t="e">
        <f>(T13-S13)/S13</f>
        <v>#DIV/0!</v>
      </c>
      <c r="U14" s="55" t="e">
        <f>(U13-T13)/T13</f>
        <v>#DIV/0!</v>
      </c>
      <c r="V14" s="42"/>
    </row>
    <row r="15" spans="2:22" x14ac:dyDescent="0.25">
      <c r="B15" s="7" t="s">
        <v>26</v>
      </c>
      <c r="C15" s="45"/>
      <c r="G15" s="40"/>
      <c r="L15" s="40"/>
      <c r="Q15" s="40"/>
      <c r="V15" s="40"/>
    </row>
    <row r="16" spans="2:22" x14ac:dyDescent="0.25">
      <c r="B16" s="1" t="s">
        <v>114</v>
      </c>
      <c r="C16" s="59">
        <v>33.479999999999997</v>
      </c>
      <c r="D16" s="1">
        <v>39.299999999999997</v>
      </c>
      <c r="E16" s="1">
        <v>45.8</v>
      </c>
      <c r="F16" s="1">
        <v>43.8</v>
      </c>
      <c r="G16" s="41">
        <f>SUM(C16:F16)</f>
        <v>162.38</v>
      </c>
      <c r="H16" s="1">
        <v>53.8</v>
      </c>
      <c r="I16" s="1">
        <v>62.6</v>
      </c>
      <c r="J16" s="1">
        <v>44</v>
      </c>
      <c r="K16" s="1">
        <v>50.8</v>
      </c>
      <c r="L16" s="41">
        <f>SUM(H16:K16)</f>
        <v>211.2</v>
      </c>
      <c r="M16" s="1">
        <v>45.6</v>
      </c>
      <c r="N16" s="1">
        <v>38.5</v>
      </c>
      <c r="O16" s="1">
        <v>32.6</v>
      </c>
      <c r="P16" s="1">
        <v>33.9</v>
      </c>
      <c r="Q16" s="41">
        <f>SUM(M16:P16)</f>
        <v>150.6</v>
      </c>
      <c r="R16" s="1">
        <v>41.1</v>
      </c>
      <c r="V16" s="41">
        <f>SUM(R16:U16)</f>
        <v>41.1</v>
      </c>
    </row>
    <row r="17" spans="2:22" x14ac:dyDescent="0.25">
      <c r="B17" s="6" t="s">
        <v>133</v>
      </c>
      <c r="C17" s="43"/>
      <c r="D17" s="6"/>
      <c r="E17" s="6"/>
      <c r="F17" s="6"/>
      <c r="G17" s="50"/>
      <c r="H17" s="39">
        <f t="shared" ref="H17" si="11">(H16-C16)/C16</f>
        <v>0.60692951015531671</v>
      </c>
      <c r="I17" s="39">
        <f t="shared" ref="I17" si="12">(I16-D16)/D16</f>
        <v>0.5928753180661579</v>
      </c>
      <c r="J17" s="39">
        <f t="shared" ref="J17" si="13">(J16-E16)/E16</f>
        <v>-3.9301310043668061E-2</v>
      </c>
      <c r="K17" s="39">
        <f t="shared" ref="K17" si="14">(K16-F16)/F16</f>
        <v>0.15981735159817353</v>
      </c>
      <c r="L17" s="50">
        <f>(L16-G16)/G16</f>
        <v>0.30065278975243254</v>
      </c>
      <c r="M17" s="39">
        <f t="shared" ref="M17" si="15">(M16-H16)/H16</f>
        <v>-0.15241635687732336</v>
      </c>
      <c r="N17" s="39">
        <f t="shared" ref="N17" si="16">(N16-I16)/I16</f>
        <v>-0.38498402555910544</v>
      </c>
      <c r="O17" s="39">
        <f t="shared" ref="O17" si="17">(O16-J16)/J16</f>
        <v>-0.25909090909090904</v>
      </c>
      <c r="P17" s="39">
        <f>(P16-K16)/K16</f>
        <v>-0.33267716535433067</v>
      </c>
      <c r="Q17" s="50">
        <f>(Q16-L16)/L16</f>
        <v>-0.28693181818181818</v>
      </c>
      <c r="R17" s="39">
        <f>(R16-M16)/M16</f>
        <v>-9.8684210526315791E-2</v>
      </c>
      <c r="S17" s="39">
        <f>(S16-N16)/N16</f>
        <v>-1</v>
      </c>
      <c r="T17" s="39">
        <f t="shared" ref="T17" si="18">(T16-O16)/O16</f>
        <v>-1</v>
      </c>
      <c r="U17" s="39">
        <f t="shared" ref="U17" si="19">(U16-P16)/P16</f>
        <v>-1</v>
      </c>
      <c r="V17" s="50">
        <f>(V16-Q16)/Q16</f>
        <v>-0.72709163346613548</v>
      </c>
    </row>
    <row r="18" spans="2:22" x14ac:dyDescent="0.25">
      <c r="B18" s="1" t="s">
        <v>115</v>
      </c>
      <c r="C18" s="45"/>
      <c r="G18" s="40"/>
      <c r="H18" s="1">
        <v>134</v>
      </c>
      <c r="I18" s="1">
        <v>120.7</v>
      </c>
      <c r="J18" s="1">
        <v>110.5</v>
      </c>
      <c r="K18" s="1">
        <v>93.2</v>
      </c>
      <c r="L18" s="40"/>
      <c r="M18" s="1">
        <v>75</v>
      </c>
      <c r="N18" s="1">
        <v>59.3</v>
      </c>
      <c r="O18" s="1">
        <v>63.4</v>
      </c>
      <c r="P18" s="1">
        <v>64.599999999999994</v>
      </c>
      <c r="Q18" s="40"/>
      <c r="R18" s="1">
        <v>65</v>
      </c>
      <c r="V18" s="40"/>
    </row>
    <row r="19" spans="2:22" x14ac:dyDescent="0.25">
      <c r="B19" s="54" t="s">
        <v>122</v>
      </c>
      <c r="C19" s="44"/>
      <c r="D19" s="23"/>
      <c r="E19" s="23"/>
      <c r="F19" s="23"/>
      <c r="G19" s="42"/>
      <c r="H19" s="23"/>
      <c r="I19" s="55">
        <f>(I18-H18)/H18</f>
        <v>-9.9253731343283566E-2</v>
      </c>
      <c r="J19" s="55">
        <f>(J18-I18)/I18</f>
        <v>-8.4507042253521153E-2</v>
      </c>
      <c r="K19" s="55">
        <f>(K18-J18)/J18</f>
        <v>-0.15656108597285065</v>
      </c>
      <c r="L19" s="42"/>
      <c r="M19" s="55">
        <f>(M18-K18)/K18</f>
        <v>-0.19527896995708158</v>
      </c>
      <c r="N19" s="55">
        <f>(N18-M18)/M18</f>
        <v>-0.20933333333333337</v>
      </c>
      <c r="O19" s="55">
        <f>(O18-N18)/N18</f>
        <v>6.9139966273187206E-2</v>
      </c>
      <c r="P19" s="55">
        <f>(P18-O18)/O18</f>
        <v>1.8927444794952616E-2</v>
      </c>
      <c r="Q19" s="42"/>
      <c r="R19" s="55">
        <f>(R18-P18)/P18</f>
        <v>6.1919504643963737E-3</v>
      </c>
      <c r="S19" s="55">
        <f>(S18-R18)/R18</f>
        <v>-1</v>
      </c>
      <c r="T19" s="55" t="e">
        <f>(T18-S18)/S18</f>
        <v>#DIV/0!</v>
      </c>
      <c r="U19" s="55" t="e">
        <f>(U18-T18)/T18</f>
        <v>#DIV/0!</v>
      </c>
      <c r="V19" s="42"/>
    </row>
    <row r="20" spans="2:22" x14ac:dyDescent="0.25">
      <c r="B20" s="7" t="s">
        <v>27</v>
      </c>
      <c r="C20" s="45"/>
      <c r="G20" s="40"/>
      <c r="L20" s="40"/>
      <c r="Q20" s="40"/>
      <c r="V20" s="40"/>
    </row>
    <row r="21" spans="2:22" x14ac:dyDescent="0.25">
      <c r="B21" s="1" t="s">
        <v>114</v>
      </c>
      <c r="C21" s="45">
        <v>13.8</v>
      </c>
      <c r="D21" s="1">
        <v>17.7</v>
      </c>
      <c r="E21" s="1">
        <v>17.399999999999999</v>
      </c>
      <c r="F21" s="1">
        <v>15.5</v>
      </c>
      <c r="G21" s="41">
        <f>SUM(C21:F21)</f>
        <v>64.400000000000006</v>
      </c>
      <c r="H21" s="1">
        <v>19.399999999999999</v>
      </c>
      <c r="I21" s="1">
        <v>17.600000000000001</v>
      </c>
      <c r="J21" s="1">
        <v>13.9</v>
      </c>
      <c r="K21" s="1">
        <v>15.7</v>
      </c>
      <c r="L21" s="41">
        <f>SUM(H21:K21)</f>
        <v>66.599999999999994</v>
      </c>
      <c r="M21" s="1">
        <v>15.3</v>
      </c>
      <c r="N21" s="1">
        <v>15.5</v>
      </c>
      <c r="O21" s="1">
        <v>14.9</v>
      </c>
      <c r="P21" s="1">
        <v>13.8</v>
      </c>
      <c r="Q21" s="41">
        <f>SUM(M21:P21)</f>
        <v>59.5</v>
      </c>
      <c r="R21" s="1">
        <v>11.4</v>
      </c>
      <c r="V21" s="41">
        <f>SUM(R21:U21)</f>
        <v>11.4</v>
      </c>
    </row>
    <row r="22" spans="2:22" x14ac:dyDescent="0.25">
      <c r="B22" s="6" t="s">
        <v>133</v>
      </c>
      <c r="C22" s="43"/>
      <c r="D22" s="6"/>
      <c r="E22" s="6"/>
      <c r="F22" s="6"/>
      <c r="G22" s="46"/>
      <c r="H22" s="39">
        <f t="shared" ref="H22" si="20">(H21-C21)/C21</f>
        <v>0.40579710144927517</v>
      </c>
      <c r="I22" s="39">
        <f t="shared" ref="I22" si="21">(I21-D21)/D21</f>
        <v>-5.6497175141241732E-3</v>
      </c>
      <c r="J22" s="39">
        <f t="shared" ref="J22" si="22">(J21-E21)/E21</f>
        <v>-0.20114942528735624</v>
      </c>
      <c r="K22" s="39">
        <f t="shared" ref="K22" si="23">(K21-F21)/F21</f>
        <v>1.2903225806451568E-2</v>
      </c>
      <c r="L22" s="50">
        <f>(L21-G21)/G21</f>
        <v>3.4161490683229635E-2</v>
      </c>
      <c r="M22" s="39">
        <f t="shared" ref="M22" si="24">(M21-H21)/H21</f>
        <v>-0.21134020618556693</v>
      </c>
      <c r="N22" s="39">
        <f t="shared" ref="N22" si="25">(N21-I21)/I21</f>
        <v>-0.11931818181818189</v>
      </c>
      <c r="O22" s="39">
        <f t="shared" ref="O22" si="26">(O21-J21)/J21</f>
        <v>7.1942446043165464E-2</v>
      </c>
      <c r="P22" s="39">
        <f>(P21-K21)/K21</f>
        <v>-0.12101910828025469</v>
      </c>
      <c r="Q22" s="50">
        <f>(Q21-L21)/L21</f>
        <v>-0.10660660660660654</v>
      </c>
      <c r="R22" s="39">
        <f>(R21-M21)/M21</f>
        <v>-0.25490196078431376</v>
      </c>
      <c r="S22" s="39">
        <f>(S21-N21)/N21</f>
        <v>-1</v>
      </c>
      <c r="T22" s="39">
        <f t="shared" ref="T22" si="27">(T21-O21)/O21</f>
        <v>-1</v>
      </c>
      <c r="U22" s="39">
        <f t="shared" ref="U22" si="28">(U21-P21)/P21</f>
        <v>-1</v>
      </c>
      <c r="V22" s="50">
        <f>(V21-Q21)/Q21</f>
        <v>-0.80840336134453783</v>
      </c>
    </row>
    <row r="23" spans="2:22" x14ac:dyDescent="0.25">
      <c r="B23" s="1" t="s">
        <v>115</v>
      </c>
      <c r="C23" s="45"/>
      <c r="G23" s="40"/>
      <c r="H23" s="1">
        <v>31</v>
      </c>
      <c r="I23" s="1">
        <v>25.9</v>
      </c>
      <c r="J23" s="1">
        <v>27.7</v>
      </c>
      <c r="K23" s="1">
        <v>22.2</v>
      </c>
      <c r="L23" s="40"/>
      <c r="M23" s="1">
        <v>20.100000000000001</v>
      </c>
      <c r="N23" s="1">
        <v>20.100000000000001</v>
      </c>
      <c r="O23" s="1">
        <v>20.3</v>
      </c>
      <c r="P23" s="1">
        <v>17.399999999999999</v>
      </c>
      <c r="Q23" s="40"/>
      <c r="R23" s="1">
        <v>18.899999999999999</v>
      </c>
      <c r="V23" s="40"/>
    </row>
    <row r="24" spans="2:22" x14ac:dyDescent="0.25">
      <c r="B24" s="54" t="s">
        <v>122</v>
      </c>
      <c r="C24" s="44"/>
      <c r="D24" s="23"/>
      <c r="E24" s="23"/>
      <c r="F24" s="23"/>
      <c r="G24" s="42"/>
      <c r="H24" s="23"/>
      <c r="I24" s="55">
        <f>(I23-H23)/H23</f>
        <v>-0.16451612903225812</v>
      </c>
      <c r="J24" s="55">
        <f>(J23-I23)/I23</f>
        <v>6.9498069498069526E-2</v>
      </c>
      <c r="K24" s="55">
        <f>(K23-J23)/J23</f>
        <v>-0.19855595667870038</v>
      </c>
      <c r="L24" s="42"/>
      <c r="M24" s="55">
        <f>(M23-K23)/K23</f>
        <v>-9.4594594594594503E-2</v>
      </c>
      <c r="N24" s="55">
        <f>(N23-M23)/M23</f>
        <v>0</v>
      </c>
      <c r="O24" s="55">
        <f>(O23-N23)/N23</f>
        <v>9.9502487562188689E-3</v>
      </c>
      <c r="P24" s="55">
        <f>(P23-O23)/O23</f>
        <v>-0.14285714285714296</v>
      </c>
      <c r="Q24" s="42"/>
      <c r="R24" s="55">
        <f>(R23-P23)/P23</f>
        <v>8.6206896551724144E-2</v>
      </c>
      <c r="S24" s="55">
        <f>(S23-R23)/R23</f>
        <v>-1</v>
      </c>
      <c r="T24" s="55" t="e">
        <f>(T23-S23)/S23</f>
        <v>#DIV/0!</v>
      </c>
      <c r="U24" s="55" t="e">
        <f>(U23-T23)/T23</f>
        <v>#DIV/0!</v>
      </c>
      <c r="V24" s="42"/>
    </row>
    <row r="25" spans="2:22" x14ac:dyDescent="0.25">
      <c r="B25" s="7" t="s">
        <v>113</v>
      </c>
      <c r="C25" s="45"/>
      <c r="G25" s="40"/>
      <c r="L25" s="40"/>
      <c r="Q25" s="40"/>
      <c r="V25" s="40"/>
    </row>
    <row r="26" spans="2:22" x14ac:dyDescent="0.25">
      <c r="B26" s="1" t="s">
        <v>114</v>
      </c>
      <c r="C26" s="45">
        <v>17</v>
      </c>
      <c r="D26" s="1">
        <v>15</v>
      </c>
      <c r="E26" s="1">
        <v>14.7</v>
      </c>
      <c r="F26" s="1">
        <v>21</v>
      </c>
      <c r="G26" s="41">
        <f>SUM(C26:F26)</f>
        <v>67.7</v>
      </c>
      <c r="H26" s="1">
        <v>25.9</v>
      </c>
      <c r="I26" s="1">
        <v>26.4</v>
      </c>
      <c r="J26" s="1">
        <v>23.4</v>
      </c>
      <c r="K26" s="1">
        <v>36.1</v>
      </c>
      <c r="L26" s="41">
        <f>SUM(H26:K26)</f>
        <v>111.79999999999998</v>
      </c>
      <c r="M26" s="1">
        <v>34</v>
      </c>
      <c r="N26" s="1">
        <v>37</v>
      </c>
      <c r="O26" s="1">
        <v>27.4</v>
      </c>
      <c r="P26" s="1">
        <v>38.299999999999997</v>
      </c>
      <c r="Q26" s="41">
        <f>SUM(M26:P26)</f>
        <v>136.69999999999999</v>
      </c>
      <c r="R26" s="1">
        <v>43.8</v>
      </c>
      <c r="V26" s="41">
        <f>SUM(R26:U26)</f>
        <v>43.8</v>
      </c>
    </row>
    <row r="27" spans="2:22" x14ac:dyDescent="0.25">
      <c r="B27" s="6" t="s">
        <v>133</v>
      </c>
      <c r="C27" s="43"/>
      <c r="D27" s="6"/>
      <c r="E27" s="6"/>
      <c r="F27" s="6"/>
      <c r="G27" s="46"/>
      <c r="H27" s="39">
        <f t="shared" ref="H27" si="29">(H26-C26)/C26</f>
        <v>0.5235294117647058</v>
      </c>
      <c r="I27" s="39">
        <f t="shared" ref="I27" si="30">(I26-D26)/D26</f>
        <v>0.7599999999999999</v>
      </c>
      <c r="J27" s="39">
        <f t="shared" ref="J27" si="31">(J26-E26)/E26</f>
        <v>0.59183673469387754</v>
      </c>
      <c r="K27" s="39">
        <f t="shared" ref="K27" si="32">(K26-F26)/F26</f>
        <v>0.71904761904761916</v>
      </c>
      <c r="L27" s="50">
        <f>(L26-G26)/G26</f>
        <v>0.65140324963072349</v>
      </c>
      <c r="M27" s="39">
        <f t="shared" ref="M27" si="33">(M26-H26)/H26</f>
        <v>0.31274131274131284</v>
      </c>
      <c r="N27" s="39">
        <f t="shared" ref="N27" si="34">(N26-I26)/I26</f>
        <v>0.4015151515151516</v>
      </c>
      <c r="O27" s="39">
        <f t="shared" ref="O27" si="35">(O26-J26)/J26</f>
        <v>0.17094017094017094</v>
      </c>
      <c r="P27" s="39">
        <f>(P26-K26)/K26</f>
        <v>6.0941828254847522E-2</v>
      </c>
      <c r="Q27" s="50">
        <f>(Q26-L26)/L26</f>
        <v>0.22271914132379256</v>
      </c>
      <c r="R27" s="39">
        <f>(R26-M26)/M26</f>
        <v>0.28823529411764698</v>
      </c>
      <c r="S27" s="39">
        <f>(S26-N26)/N26</f>
        <v>-1</v>
      </c>
      <c r="T27" s="39">
        <f t="shared" ref="T27" si="36">(T26-O26)/O26</f>
        <v>-1</v>
      </c>
      <c r="U27" s="39">
        <f t="shared" ref="U27" si="37">(U26-P26)/P26</f>
        <v>-1</v>
      </c>
      <c r="V27" s="50">
        <f>(V26-Q26)/Q26</f>
        <v>-0.67959034381858086</v>
      </c>
    </row>
    <row r="28" spans="2:22" x14ac:dyDescent="0.25">
      <c r="B28" s="1" t="s">
        <v>115</v>
      </c>
      <c r="C28" s="45"/>
      <c r="G28" s="40"/>
      <c r="H28" s="1">
        <v>129.5</v>
      </c>
      <c r="I28" s="1">
        <v>122.1</v>
      </c>
      <c r="J28" s="1">
        <v>133.80000000000001</v>
      </c>
      <c r="K28" s="1">
        <v>155.80000000000001</v>
      </c>
      <c r="L28" s="40"/>
      <c r="M28" s="1">
        <v>131.80000000000001</v>
      </c>
      <c r="N28" s="1">
        <v>162.69999999999999</v>
      </c>
      <c r="O28" s="1">
        <v>163.4</v>
      </c>
      <c r="P28" s="1">
        <v>191.6</v>
      </c>
      <c r="Q28" s="40"/>
      <c r="R28" s="1">
        <v>235.8</v>
      </c>
      <c r="V28" s="40"/>
    </row>
    <row r="29" spans="2:22" x14ac:dyDescent="0.25">
      <c r="B29" s="54" t="s">
        <v>122</v>
      </c>
      <c r="C29" s="44"/>
      <c r="D29" s="23"/>
      <c r="E29" s="23"/>
      <c r="F29" s="23"/>
      <c r="G29" s="42"/>
      <c r="H29" s="23"/>
      <c r="I29" s="55">
        <f>(I28-H28)/H28</f>
        <v>-5.714285714285719E-2</v>
      </c>
      <c r="J29" s="55">
        <f>(J28-I28)/I28</f>
        <v>9.5823095823095963E-2</v>
      </c>
      <c r="K29" s="55">
        <f>(K28-J28)/J28</f>
        <v>0.16442451420029894</v>
      </c>
      <c r="L29" s="42"/>
      <c r="M29" s="55">
        <f>(M28-K28)/K28</f>
        <v>-0.15404364569961487</v>
      </c>
      <c r="N29" s="55">
        <f>(N28-M28)/M28</f>
        <v>0.23444613050075852</v>
      </c>
      <c r="O29" s="55">
        <f>(O28-N28)/N28</f>
        <v>4.3023970497849855E-3</v>
      </c>
      <c r="P29" s="55">
        <f>(P28-O28)/O28</f>
        <v>0.1725826193390452</v>
      </c>
      <c r="Q29" s="42"/>
      <c r="R29" s="55">
        <f>(R28-P28)/P28</f>
        <v>0.23068893528183726</v>
      </c>
      <c r="S29" s="55">
        <f>(S28-R28)/R28</f>
        <v>-1</v>
      </c>
      <c r="T29" s="55" t="e">
        <f>(T28-S28)/S28</f>
        <v>#DIV/0!</v>
      </c>
      <c r="U29" s="55" t="e">
        <f>(U28-T28)/T28</f>
        <v>#DIV/0!</v>
      </c>
      <c r="V29" s="42"/>
    </row>
    <row r="30" spans="2:22" x14ac:dyDescent="0.25">
      <c r="B30" s="7" t="s">
        <v>123</v>
      </c>
      <c r="C30" s="60">
        <f>C6+C11+C16+C21+C26</f>
        <v>121.67</v>
      </c>
      <c r="D30" s="60">
        <f t="shared" ref="D30:F30" si="38">D6+D11+D16+D21+D26</f>
        <v>134.60000000000002</v>
      </c>
      <c r="E30" s="60">
        <f t="shared" si="38"/>
        <v>141.79999999999998</v>
      </c>
      <c r="F30" s="60">
        <f t="shared" si="38"/>
        <v>154.5</v>
      </c>
      <c r="G30" s="49">
        <f>G6+G11+G16+G21+G26</f>
        <v>552.57000000000005</v>
      </c>
      <c r="H30" s="60">
        <f>H6+H11+H16+H21+H26</f>
        <v>190.60000000000002</v>
      </c>
      <c r="I30" s="60">
        <f>I6+I11+I16+I21+I26</f>
        <v>206.3</v>
      </c>
      <c r="J30" s="60">
        <f t="shared" ref="J30:K30" si="39">J6+J11+J16+J21+J26</f>
        <v>179.10000000000002</v>
      </c>
      <c r="K30" s="60">
        <f t="shared" si="39"/>
        <v>198.99999999999997</v>
      </c>
      <c r="L30" s="49">
        <f>L6+L11+L16+L21+L26</f>
        <v>774.99999999999989</v>
      </c>
      <c r="M30" s="60">
        <f>M6+M11+M16+M21+M26</f>
        <v>173.8</v>
      </c>
      <c r="N30" s="60">
        <f>N6+N11+N16+N21+N26</f>
        <v>167.6</v>
      </c>
      <c r="O30" s="60">
        <f t="shared" ref="O30:P30" si="40">O6+O11+O16+O21+O26</f>
        <v>145.1</v>
      </c>
      <c r="P30" s="60">
        <f t="shared" si="40"/>
        <v>160.69999999999999</v>
      </c>
      <c r="Q30" s="49">
        <f>Q6+Q11+Q16+Q21+Q26</f>
        <v>647.20000000000005</v>
      </c>
      <c r="R30" s="60">
        <f>R6+R11+R16+R21+R26</f>
        <v>164.60000000000002</v>
      </c>
      <c r="S30" s="60">
        <f>S6+S11+S16+S21+S26</f>
        <v>0</v>
      </c>
      <c r="T30" s="60">
        <f t="shared" ref="T30:U30" si="41">T6+T11+T16+T21+T26</f>
        <v>0</v>
      </c>
      <c r="U30" s="60">
        <f t="shared" si="41"/>
        <v>0</v>
      </c>
      <c r="V30" s="49">
        <f>V6+V11+V16+V21+V26</f>
        <v>164.60000000000002</v>
      </c>
    </row>
    <row r="31" spans="2:22" x14ac:dyDescent="0.25">
      <c r="B31" s="1" t="s">
        <v>23</v>
      </c>
      <c r="C31" s="50">
        <f t="shared" ref="C31:V31" si="42">C6/C30</f>
        <v>0.2604586175721213</v>
      </c>
      <c r="D31" s="50">
        <f t="shared" si="42"/>
        <v>0.29049034175334321</v>
      </c>
      <c r="E31" s="50">
        <f t="shared" si="42"/>
        <v>0.25881523272214391</v>
      </c>
      <c r="F31" s="50">
        <f t="shared" si="42"/>
        <v>0.23818770226537214</v>
      </c>
      <c r="G31" s="61">
        <f t="shared" si="42"/>
        <v>0.26112528729391754</v>
      </c>
      <c r="H31" s="50">
        <f t="shared" si="42"/>
        <v>0.17890870933892969</v>
      </c>
      <c r="I31" s="50">
        <f t="shared" si="42"/>
        <v>0.17450315075133299</v>
      </c>
      <c r="J31" s="50">
        <f t="shared" si="42"/>
        <v>0.20993858179787825</v>
      </c>
      <c r="K31" s="50">
        <f t="shared" si="42"/>
        <v>0.16331658291457288</v>
      </c>
      <c r="L31" s="61">
        <f t="shared" si="42"/>
        <v>0.18090322580645163</v>
      </c>
      <c r="M31" s="50">
        <f t="shared" si="42"/>
        <v>0.15937859608745683</v>
      </c>
      <c r="N31" s="50">
        <f t="shared" si="42"/>
        <v>0.17482100238663487</v>
      </c>
      <c r="O31" s="50">
        <f t="shared" si="42"/>
        <v>0.22949689869055823</v>
      </c>
      <c r="P31" s="50">
        <f t="shared" si="42"/>
        <v>0.19290603609209708</v>
      </c>
      <c r="Q31" s="61">
        <f t="shared" si="42"/>
        <v>0.18742274412855375</v>
      </c>
      <c r="R31" s="50">
        <f t="shared" si="42"/>
        <v>0.16099635479951396</v>
      </c>
      <c r="S31" s="50" t="e">
        <f t="shared" si="42"/>
        <v>#DIV/0!</v>
      </c>
      <c r="T31" s="50" t="e">
        <f t="shared" si="42"/>
        <v>#DIV/0!</v>
      </c>
      <c r="U31" s="50" t="e">
        <f t="shared" si="42"/>
        <v>#DIV/0!</v>
      </c>
      <c r="V31" s="61">
        <f t="shared" si="42"/>
        <v>0.16099635479951396</v>
      </c>
    </row>
    <row r="32" spans="2:22" x14ac:dyDescent="0.25">
      <c r="B32" s="1" t="s">
        <v>24</v>
      </c>
      <c r="C32" s="50">
        <f t="shared" ref="C32:V32" si="43">C11/C30</f>
        <v>0.21122708966877618</v>
      </c>
      <c r="D32" s="50">
        <f t="shared" si="43"/>
        <v>0.17459138187221393</v>
      </c>
      <c r="E32" s="50">
        <f t="shared" si="43"/>
        <v>0.1918194640338505</v>
      </c>
      <c r="F32" s="50">
        <f t="shared" si="43"/>
        <v>0.24207119741100322</v>
      </c>
      <c r="G32" s="61">
        <f t="shared" si="43"/>
        <v>0.20594675787683009</v>
      </c>
      <c r="H32" s="50">
        <f t="shared" si="43"/>
        <v>0.30115424973767047</v>
      </c>
      <c r="I32" s="50">
        <f t="shared" si="43"/>
        <v>0.30877363063499758</v>
      </c>
      <c r="J32" s="50">
        <f t="shared" si="43"/>
        <v>0.3361250697934115</v>
      </c>
      <c r="K32" s="50">
        <f t="shared" si="43"/>
        <v>0.321105527638191</v>
      </c>
      <c r="L32" s="61">
        <f t="shared" si="43"/>
        <v>0.31638709677419363</v>
      </c>
      <c r="M32" s="50">
        <f t="shared" si="43"/>
        <v>0.29459148446490219</v>
      </c>
      <c r="N32" s="50">
        <f t="shared" si="43"/>
        <v>0.28221957040572793</v>
      </c>
      <c r="O32" s="50">
        <f t="shared" si="43"/>
        <v>0.25430737422467264</v>
      </c>
      <c r="P32" s="50">
        <f t="shared" si="43"/>
        <v>0.27193528313627879</v>
      </c>
      <c r="Q32" s="61">
        <f t="shared" si="43"/>
        <v>0.27673053152039556</v>
      </c>
      <c r="R32" s="50">
        <f t="shared" si="43"/>
        <v>0.2539489671931956</v>
      </c>
      <c r="S32" s="50" t="e">
        <f t="shared" si="43"/>
        <v>#DIV/0!</v>
      </c>
      <c r="T32" s="50" t="e">
        <f t="shared" si="43"/>
        <v>#DIV/0!</v>
      </c>
      <c r="U32" s="50" t="e">
        <f t="shared" si="43"/>
        <v>#DIV/0!</v>
      </c>
      <c r="V32" s="61">
        <f t="shared" si="43"/>
        <v>0.2539489671931956</v>
      </c>
    </row>
    <row r="33" spans="2:22" x14ac:dyDescent="0.25">
      <c r="B33" s="1" t="s">
        <v>26</v>
      </c>
      <c r="C33" s="50">
        <f t="shared" ref="C33:V33" si="44">C16/C30</f>
        <v>0.275170543272787</v>
      </c>
      <c r="D33" s="50">
        <f t="shared" si="44"/>
        <v>0.29197622585438326</v>
      </c>
      <c r="E33" s="50">
        <f t="shared" si="44"/>
        <v>0.3229901269393512</v>
      </c>
      <c r="F33" s="50">
        <f t="shared" si="44"/>
        <v>0.28349514563106792</v>
      </c>
      <c r="G33" s="61">
        <f t="shared" si="44"/>
        <v>0.29386322094938194</v>
      </c>
      <c r="H33" s="50">
        <f t="shared" si="44"/>
        <v>0.28226652675760749</v>
      </c>
      <c r="I33" s="50">
        <f t="shared" si="44"/>
        <v>0.30344158991759573</v>
      </c>
      <c r="J33" s="50">
        <f t="shared" si="44"/>
        <v>0.24567280848687881</v>
      </c>
      <c r="K33" s="50">
        <f t="shared" si="44"/>
        <v>0.25527638190954777</v>
      </c>
      <c r="L33" s="61">
        <f t="shared" si="44"/>
        <v>0.27251612903225808</v>
      </c>
      <c r="M33" s="50">
        <f t="shared" si="44"/>
        <v>0.26237054085155348</v>
      </c>
      <c r="N33" s="50">
        <f t="shared" si="44"/>
        <v>0.22971360381861575</v>
      </c>
      <c r="O33" s="50">
        <f t="shared" si="44"/>
        <v>0.22467263955892489</v>
      </c>
      <c r="P33" s="50">
        <f t="shared" si="44"/>
        <v>0.21095208462974488</v>
      </c>
      <c r="Q33" s="61">
        <f t="shared" si="44"/>
        <v>0.23269468479604447</v>
      </c>
      <c r="R33" s="50">
        <f t="shared" si="44"/>
        <v>0.24969623329283108</v>
      </c>
      <c r="S33" s="50" t="e">
        <f t="shared" si="44"/>
        <v>#DIV/0!</v>
      </c>
      <c r="T33" s="50" t="e">
        <f t="shared" si="44"/>
        <v>#DIV/0!</v>
      </c>
      <c r="U33" s="50" t="e">
        <f t="shared" si="44"/>
        <v>#DIV/0!</v>
      </c>
      <c r="V33" s="61">
        <f t="shared" si="44"/>
        <v>0.24969623329283108</v>
      </c>
    </row>
    <row r="34" spans="2:22" x14ac:dyDescent="0.25">
      <c r="B34" s="1" t="s">
        <v>27</v>
      </c>
      <c r="C34" s="50">
        <f t="shared" ref="C34:V34" si="45">C21/C30</f>
        <v>0.11342155009451796</v>
      </c>
      <c r="D34" s="50">
        <f t="shared" si="45"/>
        <v>0.1315007429420505</v>
      </c>
      <c r="E34" s="50">
        <f t="shared" si="45"/>
        <v>0.1227080394922426</v>
      </c>
      <c r="F34" s="50">
        <f t="shared" si="45"/>
        <v>0.10032362459546926</v>
      </c>
      <c r="G34" s="61">
        <f t="shared" si="45"/>
        <v>0.11654631992326764</v>
      </c>
      <c r="H34" s="50">
        <f t="shared" si="45"/>
        <v>0.10178384050367259</v>
      </c>
      <c r="I34" s="50">
        <f t="shared" si="45"/>
        <v>8.531265147842948E-2</v>
      </c>
      <c r="J34" s="50">
        <f t="shared" si="45"/>
        <v>7.7610273590173084E-2</v>
      </c>
      <c r="K34" s="50">
        <f t="shared" si="45"/>
        <v>7.8894472361809048E-2</v>
      </c>
      <c r="L34" s="61">
        <f t="shared" si="45"/>
        <v>8.5935483870967749E-2</v>
      </c>
      <c r="M34" s="50">
        <f t="shared" si="45"/>
        <v>8.8032220943613348E-2</v>
      </c>
      <c r="N34" s="50">
        <f t="shared" si="45"/>
        <v>9.2482100238663489E-2</v>
      </c>
      <c r="O34" s="50">
        <f t="shared" si="45"/>
        <v>0.10268780151619573</v>
      </c>
      <c r="P34" s="50">
        <f t="shared" si="45"/>
        <v>8.5874299937772264E-2</v>
      </c>
      <c r="Q34" s="61">
        <f t="shared" si="45"/>
        <v>9.1934487021013589E-2</v>
      </c>
      <c r="R34" s="50">
        <f t="shared" si="45"/>
        <v>6.925880923450789E-2</v>
      </c>
      <c r="S34" s="50" t="e">
        <f t="shared" si="45"/>
        <v>#DIV/0!</v>
      </c>
      <c r="T34" s="50" t="e">
        <f t="shared" si="45"/>
        <v>#DIV/0!</v>
      </c>
      <c r="U34" s="50" t="e">
        <f t="shared" si="45"/>
        <v>#DIV/0!</v>
      </c>
      <c r="V34" s="61">
        <f t="shared" si="45"/>
        <v>6.925880923450789E-2</v>
      </c>
    </row>
    <row r="35" spans="2:22" x14ac:dyDescent="0.25">
      <c r="B35" s="23" t="s">
        <v>113</v>
      </c>
      <c r="C35" s="51">
        <f t="shared" ref="C35:V35" si="46">C26/C30</f>
        <v>0.13972219939179747</v>
      </c>
      <c r="D35" s="51">
        <f t="shared" si="46"/>
        <v>0.11144130757800889</v>
      </c>
      <c r="E35" s="51">
        <f t="shared" si="46"/>
        <v>0.10366713681241185</v>
      </c>
      <c r="F35" s="51">
        <f t="shared" si="46"/>
        <v>0.13592233009708737</v>
      </c>
      <c r="G35" s="62">
        <f t="shared" si="46"/>
        <v>0.12251841395660278</v>
      </c>
      <c r="H35" s="51">
        <f t="shared" si="46"/>
        <v>0.13588667366211959</v>
      </c>
      <c r="I35" s="51">
        <f t="shared" si="46"/>
        <v>0.12796897721764419</v>
      </c>
      <c r="J35" s="51">
        <f t="shared" si="46"/>
        <v>0.13065326633165827</v>
      </c>
      <c r="K35" s="51">
        <f t="shared" si="46"/>
        <v>0.18140703517587942</v>
      </c>
      <c r="L35" s="62">
        <f t="shared" si="46"/>
        <v>0.14425806451612902</v>
      </c>
      <c r="M35" s="51">
        <f t="shared" si="46"/>
        <v>0.1956271576524741</v>
      </c>
      <c r="N35" s="51">
        <f t="shared" si="46"/>
        <v>0.220763723150358</v>
      </c>
      <c r="O35" s="51">
        <f t="shared" si="46"/>
        <v>0.18883528600964852</v>
      </c>
      <c r="P35" s="51">
        <f t="shared" si="46"/>
        <v>0.23833229620410704</v>
      </c>
      <c r="Q35" s="62">
        <f t="shared" si="46"/>
        <v>0.21121755253399255</v>
      </c>
      <c r="R35" s="51">
        <f t="shared" si="46"/>
        <v>0.26609963547995136</v>
      </c>
      <c r="S35" s="51" t="e">
        <f t="shared" si="46"/>
        <v>#DIV/0!</v>
      </c>
      <c r="T35" s="51" t="e">
        <f t="shared" si="46"/>
        <v>#DIV/0!</v>
      </c>
      <c r="U35" s="51" t="e">
        <f t="shared" si="46"/>
        <v>#DIV/0!</v>
      </c>
      <c r="V35" s="62">
        <f t="shared" si="46"/>
        <v>0.26609963547995136</v>
      </c>
    </row>
    <row r="36" spans="2:22" x14ac:dyDescent="0.25">
      <c r="Q36" s="7"/>
    </row>
    <row r="37" spans="2:22" x14ac:dyDescent="0.25">
      <c r="F37" s="9"/>
      <c r="G37" s="9"/>
      <c r="H37" s="9"/>
      <c r="I37" s="9"/>
      <c r="J37" s="9"/>
    </row>
    <row r="38" spans="2:22" x14ac:dyDescent="0.25">
      <c r="F38" s="9"/>
      <c r="G38" s="9"/>
      <c r="H38" s="9"/>
      <c r="I38" s="9"/>
      <c r="J38" s="9"/>
    </row>
    <row r="57" spans="15:15" ht="24" x14ac:dyDescent="0.3">
      <c r="O57" s="71" t="s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2C3A-3151-174E-9079-31EF311357C8}">
  <dimension ref="B4:W29"/>
  <sheetViews>
    <sheetView showGridLines="0" zoomScale="90" zoomScaleNormal="90" workbookViewId="0">
      <selection activeCell="O31" sqref="O31"/>
    </sheetView>
  </sheetViews>
  <sheetFormatPr baseColWidth="10" defaultRowHeight="19" x14ac:dyDescent="0.25"/>
  <cols>
    <col min="1" max="1" width="3.6640625" style="1" customWidth="1"/>
    <col min="2" max="2" width="16.5" style="1" customWidth="1"/>
    <col min="3" max="18" width="10.83203125" style="1"/>
    <col min="19" max="21" width="12" style="1" bestFit="1" customWidth="1"/>
    <col min="22" max="16384" width="10.83203125" style="1"/>
  </cols>
  <sheetData>
    <row r="4" spans="2:22" x14ac:dyDescent="0.25">
      <c r="B4" s="1" t="s">
        <v>112</v>
      </c>
      <c r="C4" s="67" t="s">
        <v>2</v>
      </c>
      <c r="D4" s="68" t="s">
        <v>3</v>
      </c>
      <c r="E4" s="68" t="s">
        <v>4</v>
      </c>
      <c r="F4" s="68" t="s">
        <v>5</v>
      </c>
      <c r="G4" s="69">
        <v>2022</v>
      </c>
      <c r="H4" s="68" t="s">
        <v>6</v>
      </c>
      <c r="I4" s="68" t="s">
        <v>7</v>
      </c>
      <c r="J4" s="68" t="s">
        <v>8</v>
      </c>
      <c r="K4" s="68" t="s">
        <v>9</v>
      </c>
      <c r="L4" s="69">
        <v>2023</v>
      </c>
      <c r="M4" s="68" t="s">
        <v>10</v>
      </c>
      <c r="N4" s="68" t="s">
        <v>11</v>
      </c>
      <c r="O4" s="68" t="s">
        <v>116</v>
      </c>
      <c r="P4" s="68" t="s">
        <v>12</v>
      </c>
      <c r="Q4" s="70">
        <v>2024</v>
      </c>
      <c r="R4" s="68" t="s">
        <v>118</v>
      </c>
      <c r="S4" s="68" t="s">
        <v>119</v>
      </c>
      <c r="T4" s="68" t="s">
        <v>120</v>
      </c>
      <c r="U4" s="68" t="s">
        <v>121</v>
      </c>
      <c r="V4" s="70">
        <v>2025</v>
      </c>
    </row>
    <row r="5" spans="2:22" x14ac:dyDescent="0.25">
      <c r="B5" s="7" t="s">
        <v>135</v>
      </c>
      <c r="C5" s="53"/>
      <c r="G5" s="40"/>
      <c r="L5" s="40"/>
      <c r="Q5" s="40"/>
      <c r="V5" s="40"/>
    </row>
    <row r="6" spans="2:22" x14ac:dyDescent="0.25">
      <c r="B6" s="1" t="s">
        <v>114</v>
      </c>
      <c r="C6" s="45"/>
      <c r="G6" s="41"/>
      <c r="H6" s="1">
        <v>79.599999999999994</v>
      </c>
      <c r="I6" s="1">
        <v>81.7</v>
      </c>
      <c r="J6" s="1">
        <v>72.8</v>
      </c>
      <c r="K6" s="1">
        <v>91.4</v>
      </c>
      <c r="L6" s="41">
        <f>SUM(H6:K6)</f>
        <v>325.5</v>
      </c>
      <c r="M6" s="1">
        <v>92</v>
      </c>
      <c r="N6" s="1">
        <v>94.1</v>
      </c>
      <c r="O6" s="1">
        <v>79.599999999999994</v>
      </c>
      <c r="P6" s="1">
        <v>89.9</v>
      </c>
      <c r="Q6" s="41">
        <f>SUM(M6:P6)</f>
        <v>355.6</v>
      </c>
      <c r="R6" s="1">
        <v>93.7</v>
      </c>
      <c r="V6" s="41">
        <f>SUM(R6:U6)</f>
        <v>93.7</v>
      </c>
    </row>
    <row r="7" spans="2:22" x14ac:dyDescent="0.25">
      <c r="B7" s="6" t="s">
        <v>136</v>
      </c>
      <c r="C7" s="84"/>
      <c r="D7" s="38"/>
      <c r="E7" s="38"/>
      <c r="F7" s="38"/>
      <c r="G7" s="79"/>
      <c r="H7" s="38"/>
      <c r="I7" s="38"/>
      <c r="J7" s="38"/>
      <c r="K7" s="38"/>
      <c r="L7" s="79"/>
      <c r="M7" s="38">
        <f t="shared" ref="M7:V7" si="0">(M6-H6)/H6</f>
        <v>0.1557788944723619</v>
      </c>
      <c r="N7" s="38">
        <f t="shared" si="0"/>
        <v>0.15177478580171347</v>
      </c>
      <c r="O7" s="38">
        <f t="shared" si="0"/>
        <v>9.3406593406593366E-2</v>
      </c>
      <c r="P7" s="38">
        <f t="shared" si="0"/>
        <v>-1.6411378555798686E-2</v>
      </c>
      <c r="Q7" s="79">
        <f t="shared" si="0"/>
        <v>9.2473118279569957E-2</v>
      </c>
      <c r="R7" s="38">
        <f t="shared" si="0"/>
        <v>1.8478260869565249E-2</v>
      </c>
      <c r="S7" s="38">
        <f t="shared" si="0"/>
        <v>-1</v>
      </c>
      <c r="T7" s="38">
        <f t="shared" si="0"/>
        <v>-1</v>
      </c>
      <c r="U7" s="38">
        <f t="shared" si="0"/>
        <v>-1</v>
      </c>
      <c r="V7" s="79">
        <f t="shared" si="0"/>
        <v>-0.73650168728908894</v>
      </c>
    </row>
    <row r="8" spans="2:22" x14ac:dyDescent="0.25">
      <c r="B8" s="1" t="s">
        <v>137</v>
      </c>
      <c r="C8" s="45"/>
      <c r="G8" s="41"/>
      <c r="H8" s="1">
        <v>7.3</v>
      </c>
      <c r="I8" s="1">
        <v>7</v>
      </c>
      <c r="J8" s="1">
        <v>5.7</v>
      </c>
      <c r="K8" s="1">
        <v>7.3</v>
      </c>
      <c r="L8" s="41">
        <f>SUM(H8:K8)</f>
        <v>27.3</v>
      </c>
      <c r="M8" s="1">
        <v>8.1</v>
      </c>
      <c r="N8" s="1">
        <v>8.6999999999999993</v>
      </c>
      <c r="O8" s="1">
        <v>5.4</v>
      </c>
      <c r="P8" s="1">
        <v>4</v>
      </c>
      <c r="Q8" s="41">
        <f>SUM(M8:P8)</f>
        <v>26.199999999999996</v>
      </c>
      <c r="R8" s="1">
        <v>7.7</v>
      </c>
      <c r="V8" s="41">
        <f>SUM(R8:U8)</f>
        <v>7.7</v>
      </c>
    </row>
    <row r="9" spans="2:22" x14ac:dyDescent="0.25">
      <c r="B9" s="6" t="s">
        <v>138</v>
      </c>
      <c r="C9" s="58"/>
      <c r="D9" s="55"/>
      <c r="E9" s="55"/>
      <c r="F9" s="55"/>
      <c r="G9" s="80" t="e">
        <f t="shared" ref="G9:Q9" si="1">G8/G6</f>
        <v>#DIV/0!</v>
      </c>
      <c r="H9" s="55">
        <f t="shared" si="1"/>
        <v>9.1708542713567848E-2</v>
      </c>
      <c r="I9" s="55">
        <f t="shared" si="1"/>
        <v>8.5679314565483472E-2</v>
      </c>
      <c r="J9" s="55">
        <f t="shared" si="1"/>
        <v>7.8296703296703296E-2</v>
      </c>
      <c r="K9" s="55">
        <f>K8/K6</f>
        <v>7.9868708971553598E-2</v>
      </c>
      <c r="L9" s="80">
        <f t="shared" si="1"/>
        <v>8.387096774193549E-2</v>
      </c>
      <c r="M9" s="55">
        <f t="shared" si="1"/>
        <v>8.8043478260869557E-2</v>
      </c>
      <c r="N9" s="55">
        <f t="shared" si="1"/>
        <v>9.24548352816153E-2</v>
      </c>
      <c r="O9" s="55">
        <f t="shared" si="1"/>
        <v>6.7839195979899514E-2</v>
      </c>
      <c r="P9" s="55">
        <f t="shared" si="1"/>
        <v>4.4493882091212453E-2</v>
      </c>
      <c r="Q9" s="80">
        <f t="shared" si="1"/>
        <v>7.3678290213723269E-2</v>
      </c>
      <c r="R9" s="55">
        <f>R8/R6</f>
        <v>8.2177161152614725E-2</v>
      </c>
      <c r="S9" s="55" t="e">
        <f t="shared" ref="S9:V9" si="2">S8/S6</f>
        <v>#DIV/0!</v>
      </c>
      <c r="T9" s="55" t="e">
        <f t="shared" si="2"/>
        <v>#DIV/0!</v>
      </c>
      <c r="U9" s="55" t="e">
        <f t="shared" si="2"/>
        <v>#DIV/0!</v>
      </c>
      <c r="V9" s="80">
        <f t="shared" si="2"/>
        <v>8.2177161152614725E-2</v>
      </c>
    </row>
    <row r="10" spans="2:22" x14ac:dyDescent="0.25">
      <c r="B10" s="7" t="s">
        <v>139</v>
      </c>
      <c r="C10" s="45"/>
      <c r="G10" s="41"/>
      <c r="L10" s="41"/>
      <c r="Q10" s="41"/>
      <c r="V10" s="41"/>
    </row>
    <row r="11" spans="2:22" x14ac:dyDescent="0.25">
      <c r="B11" s="1" t="s">
        <v>114</v>
      </c>
      <c r="C11" s="45"/>
      <c r="G11" s="41"/>
      <c r="H11" s="1">
        <v>70.5</v>
      </c>
      <c r="I11" s="1">
        <v>84.9</v>
      </c>
      <c r="J11" s="1">
        <v>71.8</v>
      </c>
      <c r="K11" s="1">
        <v>77.599999999999994</v>
      </c>
      <c r="L11" s="41">
        <f>SUM(H11:K11)</f>
        <v>304.79999999999995</v>
      </c>
      <c r="M11" s="1">
        <v>61.9</v>
      </c>
      <c r="N11" s="1">
        <v>50.7</v>
      </c>
      <c r="O11" s="1">
        <v>42.3</v>
      </c>
      <c r="P11" s="1">
        <v>50.8</v>
      </c>
      <c r="Q11" s="41">
        <f>SUM(M11:P11)</f>
        <v>205.7</v>
      </c>
      <c r="R11" s="1">
        <v>51.6</v>
      </c>
      <c r="V11" s="41">
        <f>SUM(R11:U11)</f>
        <v>51.6</v>
      </c>
    </row>
    <row r="12" spans="2:22" x14ac:dyDescent="0.25">
      <c r="B12" s="6" t="s">
        <v>136</v>
      </c>
      <c r="C12" s="84"/>
      <c r="D12" s="38"/>
      <c r="E12" s="38"/>
      <c r="F12" s="38"/>
      <c r="G12" s="79"/>
      <c r="H12" s="38"/>
      <c r="I12" s="38"/>
      <c r="J12" s="38"/>
      <c r="K12" s="38"/>
      <c r="L12" s="79"/>
      <c r="M12" s="38">
        <f t="shared" ref="M12:V12" si="3">(M11-H11)/H11</f>
        <v>-0.1219858156028369</v>
      </c>
      <c r="N12" s="38">
        <f t="shared" si="3"/>
        <v>-0.40282685512367494</v>
      </c>
      <c r="O12" s="38">
        <f t="shared" si="3"/>
        <v>-0.41086350974930363</v>
      </c>
      <c r="P12" s="38">
        <f t="shared" si="3"/>
        <v>-0.34536082474226804</v>
      </c>
      <c r="Q12" s="79">
        <f t="shared" si="3"/>
        <v>-0.32513123359580048</v>
      </c>
      <c r="R12" s="38">
        <f t="shared" si="3"/>
        <v>-0.16639741518578349</v>
      </c>
      <c r="S12" s="38">
        <f t="shared" si="3"/>
        <v>-1</v>
      </c>
      <c r="T12" s="38">
        <f t="shared" si="3"/>
        <v>-1</v>
      </c>
      <c r="U12" s="38">
        <f t="shared" si="3"/>
        <v>-1</v>
      </c>
      <c r="V12" s="79">
        <f t="shared" si="3"/>
        <v>-0.74914924647544967</v>
      </c>
    </row>
    <row r="13" spans="2:22" x14ac:dyDescent="0.25">
      <c r="B13" s="1" t="s">
        <v>137</v>
      </c>
      <c r="C13" s="45"/>
      <c r="G13" s="41"/>
      <c r="H13" s="1">
        <v>7.2</v>
      </c>
      <c r="I13" s="1">
        <v>9</v>
      </c>
      <c r="J13" s="1">
        <v>7</v>
      </c>
      <c r="K13" s="1">
        <v>6</v>
      </c>
      <c r="L13" s="41">
        <f>SUM(H13:K13)</f>
        <v>29.2</v>
      </c>
      <c r="M13" s="1">
        <v>5.3</v>
      </c>
      <c r="N13" s="1">
        <v>4.7</v>
      </c>
      <c r="O13" s="1">
        <v>3.6</v>
      </c>
      <c r="P13" s="1">
        <v>3.6</v>
      </c>
      <c r="Q13" s="41">
        <f>SUM(M13:P13)</f>
        <v>17.2</v>
      </c>
      <c r="R13" s="1">
        <v>4.3</v>
      </c>
      <c r="V13" s="41">
        <f>SUM(R13:U13)</f>
        <v>4.3</v>
      </c>
    </row>
    <row r="14" spans="2:22" x14ac:dyDescent="0.25">
      <c r="B14" s="6" t="s">
        <v>138</v>
      </c>
      <c r="C14" s="58"/>
      <c r="D14" s="55"/>
      <c r="E14" s="55"/>
      <c r="F14" s="55"/>
      <c r="G14" s="80" t="e">
        <f t="shared" ref="G14" si="4">G13/G11</f>
        <v>#DIV/0!</v>
      </c>
      <c r="H14" s="55">
        <f t="shared" ref="H14" si="5">H13/H11</f>
        <v>0.10212765957446809</v>
      </c>
      <c r="I14" s="55">
        <f t="shared" ref="I14" si="6">I13/I11</f>
        <v>0.10600706713780918</v>
      </c>
      <c r="J14" s="55">
        <f t="shared" ref="J14" si="7">J13/J11</f>
        <v>9.7493036211699163E-2</v>
      </c>
      <c r="K14" s="55">
        <f t="shared" ref="K14" si="8">K13/K11</f>
        <v>7.7319587628865982E-2</v>
      </c>
      <c r="L14" s="80">
        <f t="shared" ref="L14" si="9">L13/L11</f>
        <v>9.5800524934383208E-2</v>
      </c>
      <c r="M14" s="55">
        <f>M13/M11</f>
        <v>8.5621970920840063E-2</v>
      </c>
      <c r="N14" s="55">
        <f t="shared" ref="N14" si="10">N13/N11</f>
        <v>9.270216962524655E-2</v>
      </c>
      <c r="O14" s="55">
        <f t="shared" ref="O14" si="11">O13/O11</f>
        <v>8.5106382978723416E-2</v>
      </c>
      <c r="P14" s="55">
        <f t="shared" ref="P14" si="12">P13/P11</f>
        <v>7.0866141732283464E-2</v>
      </c>
      <c r="Q14" s="80">
        <f t="shared" ref="Q14" si="13">Q13/Q11</f>
        <v>8.3616917841516772E-2</v>
      </c>
      <c r="R14" s="55">
        <f>R13/R11</f>
        <v>8.3333333333333329E-2</v>
      </c>
      <c r="S14" s="55" t="e">
        <f t="shared" ref="S14" si="14">S13/S11</f>
        <v>#DIV/0!</v>
      </c>
      <c r="T14" s="55" t="e">
        <f t="shared" ref="T14" si="15">T13/T11</f>
        <v>#DIV/0!</v>
      </c>
      <c r="U14" s="55" t="e">
        <f t="shared" ref="U14" si="16">U13/U11</f>
        <v>#DIV/0!</v>
      </c>
      <c r="V14" s="80">
        <f t="shared" ref="V14" si="17">V13/V11</f>
        <v>8.3333333333333329E-2</v>
      </c>
    </row>
    <row r="15" spans="2:22" x14ac:dyDescent="0.25">
      <c r="B15" s="7" t="s">
        <v>140</v>
      </c>
      <c r="C15" s="45"/>
      <c r="G15" s="41"/>
      <c r="L15" s="41"/>
      <c r="Q15" s="41"/>
      <c r="V15" s="41"/>
    </row>
    <row r="16" spans="2:22" x14ac:dyDescent="0.25">
      <c r="B16" s="73" t="s">
        <v>114</v>
      </c>
      <c r="C16" s="85"/>
      <c r="D16" s="73"/>
      <c r="E16" s="73"/>
      <c r="F16" s="73"/>
      <c r="G16" s="81"/>
      <c r="H16" s="73">
        <v>44.4</v>
      </c>
      <c r="I16" s="73">
        <v>43.2</v>
      </c>
      <c r="J16" s="73">
        <v>37.200000000000003</v>
      </c>
      <c r="K16" s="73">
        <v>32.1</v>
      </c>
      <c r="L16" s="41">
        <f>SUM(H16:K16)</f>
        <v>156.9</v>
      </c>
      <c r="M16" s="73">
        <v>22.6</v>
      </c>
      <c r="N16" s="73">
        <v>24.8</v>
      </c>
      <c r="O16" s="73">
        <v>24.7</v>
      </c>
      <c r="P16" s="73">
        <v>23.7</v>
      </c>
      <c r="Q16" s="41">
        <f>SUM(M16:P16)</f>
        <v>95.800000000000011</v>
      </c>
      <c r="R16" s="73">
        <v>21.1</v>
      </c>
      <c r="S16" s="73"/>
      <c r="T16" s="73"/>
      <c r="U16" s="73"/>
      <c r="V16" s="41">
        <f>SUM(R16:U16)</f>
        <v>21.1</v>
      </c>
    </row>
    <row r="17" spans="2:23" x14ac:dyDescent="0.25">
      <c r="B17" s="74" t="s">
        <v>136</v>
      </c>
      <c r="C17" s="86"/>
      <c r="D17" s="75"/>
      <c r="E17" s="75"/>
      <c r="F17" s="75"/>
      <c r="G17" s="82"/>
      <c r="H17" s="38"/>
      <c r="I17" s="38"/>
      <c r="J17" s="38"/>
      <c r="K17" s="38"/>
      <c r="L17" s="79"/>
      <c r="M17" s="38">
        <f>(M16-H16)/H16</f>
        <v>-0.49099099099099092</v>
      </c>
      <c r="N17" s="38">
        <f>(N16-I16)/I16</f>
        <v>-0.42592592592592593</v>
      </c>
      <c r="O17" s="38">
        <f>(O16-J16)/J16</f>
        <v>-0.33602150537634418</v>
      </c>
      <c r="P17" s="38">
        <f>(P16-K16)/K16</f>
        <v>-0.26168224299065423</v>
      </c>
      <c r="Q17" s="79">
        <f>(Q16-L16)/L16</f>
        <v>-0.38942001274697252</v>
      </c>
      <c r="R17" s="75">
        <v>1.8499999999999999E-2</v>
      </c>
      <c r="S17" s="38">
        <f>(S16-N16)/N16</f>
        <v>-1</v>
      </c>
      <c r="T17" s="38">
        <f>(T16-O16)/O16</f>
        <v>-1</v>
      </c>
      <c r="U17" s="38">
        <f>(U16-P16)/P16</f>
        <v>-1</v>
      </c>
      <c r="V17" s="79">
        <f>(V16-Q16)/Q16</f>
        <v>-0.77974947807933204</v>
      </c>
    </row>
    <row r="18" spans="2:23" x14ac:dyDescent="0.25">
      <c r="B18" s="73" t="s">
        <v>137</v>
      </c>
      <c r="C18" s="85"/>
      <c r="D18" s="73"/>
      <c r="E18" s="73"/>
      <c r="F18" s="73"/>
      <c r="G18" s="81"/>
      <c r="H18" s="73">
        <v>4.5999999999999996</v>
      </c>
      <c r="I18" s="73">
        <v>5.7</v>
      </c>
      <c r="J18" s="73">
        <v>5.7</v>
      </c>
      <c r="K18" s="73">
        <v>3.7</v>
      </c>
      <c r="L18" s="41">
        <f>SUM(H18:K18)</f>
        <v>19.7</v>
      </c>
      <c r="M18" s="73">
        <v>1.9</v>
      </c>
      <c r="N18" s="73">
        <v>2.9</v>
      </c>
      <c r="O18" s="73">
        <v>2.7</v>
      </c>
      <c r="P18" s="73">
        <v>3.5</v>
      </c>
      <c r="Q18" s="41">
        <f>SUM(M18:P18)</f>
        <v>11</v>
      </c>
      <c r="R18" s="73">
        <v>1.6</v>
      </c>
      <c r="S18" s="73"/>
      <c r="T18" s="73"/>
      <c r="U18" s="73"/>
      <c r="V18" s="41">
        <f>SUM(R18:U18)</f>
        <v>1.6</v>
      </c>
    </row>
    <row r="19" spans="2:23" x14ac:dyDescent="0.25">
      <c r="B19" s="74" t="s">
        <v>138</v>
      </c>
      <c r="C19" s="58"/>
      <c r="D19" s="55"/>
      <c r="E19" s="55"/>
      <c r="F19" s="55"/>
      <c r="G19" s="80" t="e">
        <f t="shared" ref="G19:K19" si="18">G18/G16</f>
        <v>#DIV/0!</v>
      </c>
      <c r="H19" s="55">
        <f t="shared" si="18"/>
        <v>0.1036036036036036</v>
      </c>
      <c r="I19" s="55">
        <f t="shared" si="18"/>
        <v>0.13194444444444445</v>
      </c>
      <c r="J19" s="55">
        <f t="shared" si="18"/>
        <v>0.15322580645161291</v>
      </c>
      <c r="K19" s="55">
        <f t="shared" si="18"/>
        <v>0.11526479750778816</v>
      </c>
      <c r="L19" s="80">
        <f>L18/L16</f>
        <v>0.12555768005098789</v>
      </c>
      <c r="M19" s="55">
        <f>M18/M16</f>
        <v>8.4070796460176983E-2</v>
      </c>
      <c r="N19" s="55">
        <f t="shared" ref="N19:V19" si="19">N18/N16</f>
        <v>0.11693548387096774</v>
      </c>
      <c r="O19" s="55">
        <f t="shared" si="19"/>
        <v>0.10931174089068826</v>
      </c>
      <c r="P19" s="55">
        <f t="shared" si="19"/>
        <v>0.14767932489451477</v>
      </c>
      <c r="Q19" s="80">
        <f t="shared" si="19"/>
        <v>0.11482254697286011</v>
      </c>
      <c r="R19" s="55">
        <f t="shared" si="19"/>
        <v>7.582938388625593E-2</v>
      </c>
      <c r="S19" s="55" t="e">
        <f t="shared" si="19"/>
        <v>#DIV/0!</v>
      </c>
      <c r="T19" s="55" t="e">
        <f t="shared" si="19"/>
        <v>#DIV/0!</v>
      </c>
      <c r="U19" s="55" t="e">
        <f t="shared" si="19"/>
        <v>#DIV/0!</v>
      </c>
      <c r="V19" s="80">
        <f t="shared" si="19"/>
        <v>7.582938388625593E-2</v>
      </c>
    </row>
    <row r="20" spans="2:23" x14ac:dyDescent="0.25">
      <c r="B20" s="7" t="s">
        <v>141</v>
      </c>
      <c r="C20" s="45"/>
      <c r="G20" s="41"/>
      <c r="L20" s="41"/>
      <c r="Q20" s="41"/>
      <c r="V20" s="41"/>
    </row>
    <row r="21" spans="2:23" x14ac:dyDescent="0.25">
      <c r="B21" s="73" t="s">
        <v>114</v>
      </c>
      <c r="C21" s="85"/>
      <c r="D21" s="73"/>
      <c r="E21" s="73"/>
      <c r="F21" s="73"/>
      <c r="G21" s="81"/>
      <c r="H21" s="73"/>
      <c r="I21" s="73">
        <v>-3.5</v>
      </c>
      <c r="J21" s="73">
        <v>-2.7</v>
      </c>
      <c r="K21" s="73">
        <v>-1.9</v>
      </c>
      <c r="L21" s="41">
        <f>SUM(H21:K21)</f>
        <v>-8.1</v>
      </c>
      <c r="M21" s="73">
        <v>-2.7</v>
      </c>
      <c r="N21" s="73">
        <v>-1.9</v>
      </c>
      <c r="O21" s="73">
        <v>-1.5</v>
      </c>
      <c r="P21" s="73">
        <v>-3.8</v>
      </c>
      <c r="Q21" s="81">
        <f>SUM(M21:P21)</f>
        <v>-9.8999999999999986</v>
      </c>
      <c r="R21" s="73">
        <v>-1.7</v>
      </c>
      <c r="S21" s="73"/>
      <c r="T21" s="73"/>
      <c r="U21" s="73"/>
      <c r="V21" s="81">
        <f>SUM(R21:U21)</f>
        <v>-1.7</v>
      </c>
    </row>
    <row r="22" spans="2:23" x14ac:dyDescent="0.25">
      <c r="B22" s="78" t="s">
        <v>137</v>
      </c>
      <c r="C22" s="87"/>
      <c r="D22" s="78"/>
      <c r="E22" s="78"/>
      <c r="F22" s="78"/>
      <c r="G22" s="83"/>
      <c r="H22" s="78"/>
      <c r="I22" s="78">
        <v>-2.5</v>
      </c>
      <c r="J22" s="78">
        <v>-2.2999999999999998</v>
      </c>
      <c r="K22" s="78">
        <v>1</v>
      </c>
      <c r="L22" s="70">
        <f>SUM(H22:K22)</f>
        <v>-3.8</v>
      </c>
      <c r="M22" s="78">
        <v>-4.7</v>
      </c>
      <c r="N22" s="78">
        <v>-1.3</v>
      </c>
      <c r="O22" s="78">
        <v>-1</v>
      </c>
      <c r="P22" s="78">
        <v>0.7</v>
      </c>
      <c r="Q22" s="83">
        <f>SUM(M22:P22)</f>
        <v>-6.3</v>
      </c>
      <c r="R22" s="78">
        <v>-1.2</v>
      </c>
      <c r="S22" s="78"/>
      <c r="T22" s="78"/>
      <c r="U22" s="78"/>
      <c r="V22" s="83">
        <f>SUM(R22:U22)</f>
        <v>-1.2</v>
      </c>
    </row>
    <row r="23" spans="2:23" x14ac:dyDescent="0.25">
      <c r="B23" s="7" t="s">
        <v>123</v>
      </c>
      <c r="C23" s="60"/>
      <c r="D23" s="60"/>
      <c r="E23" s="60"/>
      <c r="F23" s="60"/>
      <c r="G23" s="49"/>
      <c r="H23" s="60">
        <f t="shared" ref="H23:J23" si="20">H6+H11+H16+H21</f>
        <v>194.5</v>
      </c>
      <c r="I23" s="60">
        <f t="shared" si="20"/>
        <v>206.3</v>
      </c>
      <c r="J23" s="60">
        <f t="shared" si="20"/>
        <v>179.10000000000002</v>
      </c>
      <c r="K23" s="60">
        <f>K6+K11+K16+K21</f>
        <v>199.2</v>
      </c>
      <c r="L23" s="60">
        <f>L6+L11+L16+L21</f>
        <v>779.09999999999991</v>
      </c>
      <c r="M23" s="60">
        <f t="shared" ref="M23:N23" si="21">M6+M11+M16+M21</f>
        <v>173.8</v>
      </c>
      <c r="N23" s="60">
        <f t="shared" si="21"/>
        <v>167.70000000000002</v>
      </c>
      <c r="O23" s="60">
        <f>O6+O11+O16+O21</f>
        <v>145.1</v>
      </c>
      <c r="P23" s="60">
        <f>P6+P11+P16+P21</f>
        <v>160.59999999999997</v>
      </c>
      <c r="Q23" s="60">
        <f>Q6+Q11+Q16+Q21</f>
        <v>647.19999999999993</v>
      </c>
      <c r="R23" s="60">
        <f>R6+R11+R16+R21</f>
        <v>164.70000000000002</v>
      </c>
      <c r="S23" s="60">
        <f t="shared" ref="S23:U23" si="22">S6+S11+S16+S21</f>
        <v>0</v>
      </c>
      <c r="T23" s="60">
        <f t="shared" si="22"/>
        <v>0</v>
      </c>
      <c r="U23" s="60">
        <f t="shared" si="22"/>
        <v>0</v>
      </c>
      <c r="V23" s="60">
        <f>V6+V11+V16+V21</f>
        <v>164.70000000000002</v>
      </c>
      <c r="W23" s="45"/>
    </row>
    <row r="24" spans="2:23" x14ac:dyDescent="0.25">
      <c r="B24" s="1" t="s">
        <v>135</v>
      </c>
      <c r="C24" s="50"/>
      <c r="D24" s="50"/>
      <c r="E24" s="50"/>
      <c r="F24" s="50"/>
      <c r="G24" s="61"/>
      <c r="H24" s="50">
        <f t="shared" ref="H24" si="23">H6/H23</f>
        <v>0.40925449871465291</v>
      </c>
      <c r="I24" s="50">
        <f t="shared" ref="I24" si="24">I6/I23</f>
        <v>0.3960252060106641</v>
      </c>
      <c r="J24" s="50">
        <f t="shared" ref="J24" si="25">J6/J23</f>
        <v>0.40647682858738127</v>
      </c>
      <c r="K24" s="50">
        <f t="shared" ref="K24" si="26">K6/K23</f>
        <v>0.45883534136546189</v>
      </c>
      <c r="L24" s="50">
        <f t="shared" ref="L24:N24" si="27">L6/L23</f>
        <v>0.41778975741239899</v>
      </c>
      <c r="M24" s="50">
        <f t="shared" si="27"/>
        <v>0.52934407364787106</v>
      </c>
      <c r="N24" s="50">
        <f t="shared" si="27"/>
        <v>0.56112104949314245</v>
      </c>
      <c r="O24" s="50">
        <f>O6/O23</f>
        <v>0.54858718125430739</v>
      </c>
      <c r="P24" s="50">
        <f>P6/P23</f>
        <v>0.55977584059775853</v>
      </c>
      <c r="Q24" s="50">
        <f>Q6/Q23</f>
        <v>0.54944375772558729</v>
      </c>
      <c r="R24" s="50">
        <f>R6/R23</f>
        <v>0.56891317547055242</v>
      </c>
      <c r="S24" s="50" t="e">
        <f t="shared" ref="S24:V24" si="28">S6/S23</f>
        <v>#DIV/0!</v>
      </c>
      <c r="T24" s="50" t="e">
        <f t="shared" si="28"/>
        <v>#DIV/0!</v>
      </c>
      <c r="U24" s="50" t="e">
        <f t="shared" si="28"/>
        <v>#DIV/0!</v>
      </c>
      <c r="V24" s="52">
        <f t="shared" si="28"/>
        <v>0.56891317547055242</v>
      </c>
      <c r="W24" s="45"/>
    </row>
    <row r="25" spans="2:23" x14ac:dyDescent="0.25">
      <c r="B25" s="1" t="s">
        <v>139</v>
      </c>
      <c r="C25" s="50"/>
      <c r="D25" s="50"/>
      <c r="E25" s="50"/>
      <c r="F25" s="50"/>
      <c r="G25" s="61"/>
      <c r="H25" s="50">
        <f t="shared" ref="H25:K25" si="29">H11/H23</f>
        <v>0.36246786632390743</v>
      </c>
      <c r="I25" s="50">
        <f t="shared" si="29"/>
        <v>0.41153659718856034</v>
      </c>
      <c r="J25" s="50">
        <f t="shared" si="29"/>
        <v>0.40089335566722495</v>
      </c>
      <c r="K25" s="50">
        <f t="shared" si="29"/>
        <v>0.38955823293172692</v>
      </c>
      <c r="L25" s="50">
        <f t="shared" ref="L25" si="30">L11/L23</f>
        <v>0.39122063919907585</v>
      </c>
      <c r="M25" s="50">
        <f t="shared" ref="M25:O25" si="31">M11/M23</f>
        <v>0.35615650172612195</v>
      </c>
      <c r="N25" s="50">
        <f t="shared" si="31"/>
        <v>0.30232558139534882</v>
      </c>
      <c r="O25" s="50">
        <f t="shared" si="31"/>
        <v>0.29152308752584422</v>
      </c>
      <c r="P25" s="50">
        <f>P11/P23</f>
        <v>0.31631382316313827</v>
      </c>
      <c r="Q25" s="50">
        <f>Q11/Q23</f>
        <v>0.31783065512978986</v>
      </c>
      <c r="R25" s="50">
        <f>R11/R23</f>
        <v>0.31329690346083788</v>
      </c>
      <c r="S25" s="50" t="e">
        <f t="shared" ref="S25:V25" si="32">S11/S23</f>
        <v>#DIV/0!</v>
      </c>
      <c r="T25" s="50" t="e">
        <f t="shared" si="32"/>
        <v>#DIV/0!</v>
      </c>
      <c r="U25" s="50" t="e">
        <f t="shared" si="32"/>
        <v>#DIV/0!</v>
      </c>
      <c r="V25" s="52">
        <f t="shared" si="32"/>
        <v>0.31329690346083788</v>
      </c>
      <c r="W25" s="45"/>
    </row>
    <row r="26" spans="2:23" x14ac:dyDescent="0.25">
      <c r="B26" s="23" t="s">
        <v>140</v>
      </c>
      <c r="C26" s="51"/>
      <c r="D26" s="51"/>
      <c r="E26" s="51"/>
      <c r="F26" s="51"/>
      <c r="G26" s="62"/>
      <c r="H26" s="51">
        <f t="shared" ref="H26:K26" si="33">H16/H23</f>
        <v>0.22827763496143957</v>
      </c>
      <c r="I26" s="51">
        <f t="shared" si="33"/>
        <v>0.20940378090159961</v>
      </c>
      <c r="J26" s="51">
        <f t="shared" si="33"/>
        <v>0.20770519262981574</v>
      </c>
      <c r="K26" s="51">
        <f t="shared" si="33"/>
        <v>0.16114457831325302</v>
      </c>
      <c r="L26" s="51">
        <f t="shared" ref="L26" si="34">L16/L23</f>
        <v>0.20138621486330385</v>
      </c>
      <c r="M26" s="51">
        <f t="shared" ref="M26:O26" si="35">M16/M23</f>
        <v>0.13003452243958574</v>
      </c>
      <c r="N26" s="51">
        <f t="shared" si="35"/>
        <v>0.14788312462731065</v>
      </c>
      <c r="O26" s="51">
        <f t="shared" si="35"/>
        <v>0.17022742935906271</v>
      </c>
      <c r="P26" s="51">
        <f>P16/P23</f>
        <v>0.1475716064757161</v>
      </c>
      <c r="Q26" s="51">
        <f>Q16/Q23</f>
        <v>0.14802224969097655</v>
      </c>
      <c r="R26" s="51">
        <f>R16/R23</f>
        <v>0.12811171827565271</v>
      </c>
      <c r="S26" s="51" t="e">
        <f t="shared" ref="S26:V26" si="36">S16/S23</f>
        <v>#DIV/0!</v>
      </c>
      <c r="T26" s="51" t="e">
        <f t="shared" si="36"/>
        <v>#DIV/0!</v>
      </c>
      <c r="U26" s="51" t="e">
        <f t="shared" si="36"/>
        <v>#DIV/0!</v>
      </c>
      <c r="V26" s="51">
        <f t="shared" si="36"/>
        <v>0.12811171827565271</v>
      </c>
      <c r="W26" s="45"/>
    </row>
    <row r="28" spans="2:23" x14ac:dyDescent="0.25">
      <c r="C28" s="14"/>
      <c r="D28" s="14"/>
      <c r="E28" s="14"/>
      <c r="F28" s="14"/>
      <c r="G28" s="21"/>
      <c r="H28" s="14"/>
      <c r="I28" s="14"/>
      <c r="J28" s="14"/>
      <c r="K28" s="14"/>
      <c r="L28" s="21"/>
      <c r="M28" s="14"/>
      <c r="N28" s="14"/>
      <c r="O28" s="14"/>
      <c r="P28" s="14"/>
      <c r="Q28" s="21"/>
      <c r="R28" s="14"/>
      <c r="S28" s="14"/>
      <c r="T28" s="14"/>
      <c r="U28" s="14"/>
      <c r="V28" s="21"/>
    </row>
    <row r="29" spans="2:23" x14ac:dyDescent="0.25">
      <c r="C29" s="14"/>
      <c r="D29" s="14"/>
      <c r="E29" s="14"/>
      <c r="F29" s="14"/>
      <c r="G29" s="21"/>
      <c r="H29" s="14"/>
      <c r="I29" s="14"/>
      <c r="J29" s="14"/>
      <c r="K29" s="14"/>
      <c r="L29" s="21"/>
      <c r="M29" s="14"/>
      <c r="N29" s="14"/>
      <c r="O29" s="14"/>
      <c r="P29" s="14"/>
      <c r="Q29" s="21"/>
      <c r="R29" s="14"/>
      <c r="S29" s="14"/>
      <c r="T29" s="14"/>
      <c r="U29" s="14"/>
      <c r="V2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7296-1EAB-DC49-B1B1-90E8C5881BB6}">
  <dimension ref="A5:G8"/>
  <sheetViews>
    <sheetView showGridLines="0" workbookViewId="0">
      <selection activeCell="E20" sqref="E20"/>
    </sheetView>
  </sheetViews>
  <sheetFormatPr baseColWidth="10" defaultRowHeight="16" x14ac:dyDescent="0.2"/>
  <cols>
    <col min="4" max="4" width="57.6640625" bestFit="1" customWidth="1"/>
    <col min="5" max="5" width="27.83203125" bestFit="1" customWidth="1"/>
    <col min="6" max="7" width="33.1640625" customWidth="1"/>
    <col min="8" max="9" width="27.83203125" bestFit="1" customWidth="1"/>
  </cols>
  <sheetData>
    <row r="5" spans="1:7" ht="92" x14ac:dyDescent="1">
      <c r="A5" s="1"/>
      <c r="B5" s="27"/>
      <c r="D5" s="34"/>
      <c r="E5" s="34">
        <v>2025</v>
      </c>
      <c r="F5" s="34">
        <v>2026</v>
      </c>
      <c r="G5" s="34">
        <v>2027</v>
      </c>
    </row>
    <row r="6" spans="1:7" ht="92" x14ac:dyDescent="1">
      <c r="A6" s="1"/>
      <c r="B6" s="27"/>
      <c r="D6" s="34" t="s">
        <v>101</v>
      </c>
      <c r="E6" s="33">
        <f>Modell!B9/(Modell!Z14*Modell!B11)</f>
        <v>12.673196911206601</v>
      </c>
      <c r="F6" s="33">
        <f>Modell!B9/(Modell!AA14*Modell!B11)</f>
        <v>9.6010586897537653</v>
      </c>
      <c r="G6" s="33">
        <f>Modell!B9/(Modell!AB14*Modell!B11)</f>
        <v>8.4632864676230444</v>
      </c>
    </row>
    <row r="7" spans="1:7" ht="92" x14ac:dyDescent="1">
      <c r="D7" s="34" t="s">
        <v>103</v>
      </c>
      <c r="E7" s="33">
        <f>Modell!B9/(Modell!Z16*Modell!B11)</f>
        <v>16.647543257331758</v>
      </c>
      <c r="F7" s="33">
        <f>Modell!B9/(Modell!AA16*Modell!B11)</f>
        <v>11.720936410530145</v>
      </c>
      <c r="G7" s="33">
        <f>Modell!B9/(Modell!AB16*Modell!B11)</f>
        <v>10.068501669542114</v>
      </c>
    </row>
    <row r="8" spans="1:7" ht="92" x14ac:dyDescent="1">
      <c r="D8" s="34" t="s">
        <v>102</v>
      </c>
      <c r="E8" s="33">
        <f>Modell!B4/(Modell!Z21*Modell!B11)</f>
        <v>23.030013588093052</v>
      </c>
      <c r="F8" s="33">
        <f>Modell!B4/(Modell!AA21*Modell!B11)</f>
        <v>15.368823153025112</v>
      </c>
      <c r="G8" s="33">
        <f>Modell!B4/(Modell!AB21*Modell!B11)</f>
        <v>12.975097331903623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Business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2024-12-11T08:03:19Z</dcterms:created>
  <dcterms:modified xsi:type="dcterms:W3CDTF">2025-06-24T16:16:58Z</dcterms:modified>
</cp:coreProperties>
</file>