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8DD18F8F-EA69-CE4A-B0D1-5D3C0334BF02}" xr6:coauthVersionLast="47" xr6:coauthVersionMax="47" xr10:uidLastSave="{00000000-0000-0000-0000-000000000000}"/>
  <bookViews>
    <workbookView xWindow="460" yWindow="740" windowWidth="28940" windowHeight="16840" activeTab="4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  <sheet name="Nedsidebereg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5" l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BK41" i="5" s="1"/>
  <c r="BL41" i="5" s="1"/>
  <c r="BM41" i="5" s="1"/>
  <c r="BN41" i="5" s="1"/>
  <c r="BO41" i="5" s="1"/>
  <c r="BP41" i="5" s="1"/>
  <c r="BQ41" i="5" s="1"/>
  <c r="BR41" i="5" s="1"/>
  <c r="BS41" i="5" s="1"/>
  <c r="BT41" i="5" s="1"/>
  <c r="BU41" i="5" s="1"/>
  <c r="BV41" i="5" s="1"/>
  <c r="BW41" i="5" s="1"/>
  <c r="BX41" i="5" s="1"/>
  <c r="BY41" i="5" s="1"/>
  <c r="BZ41" i="5" s="1"/>
  <c r="CA41" i="5" s="1"/>
  <c r="CB41" i="5" s="1"/>
  <c r="CC41" i="5" s="1"/>
  <c r="CD41" i="5" s="1"/>
  <c r="CE41" i="5" s="1"/>
  <c r="CF41" i="5" s="1"/>
  <c r="CG41" i="5" s="1"/>
  <c r="CH41" i="5" s="1"/>
  <c r="CI41" i="5" s="1"/>
  <c r="CJ41" i="5" s="1"/>
  <c r="CK41" i="5" s="1"/>
  <c r="CL41" i="5" s="1"/>
  <c r="CM41" i="5" s="1"/>
  <c r="CN41" i="5" s="1"/>
  <c r="CO41" i="5" s="1"/>
  <c r="CP41" i="5" s="1"/>
  <c r="CQ41" i="5" s="1"/>
  <c r="CR41" i="5" s="1"/>
  <c r="CS41" i="5" s="1"/>
  <c r="CT41" i="5" s="1"/>
  <c r="CU41" i="5" s="1"/>
  <c r="CV41" i="5" s="1"/>
  <c r="CW41" i="5" s="1"/>
  <c r="CX41" i="5" s="1"/>
  <c r="CY41" i="5" s="1"/>
  <c r="CZ41" i="5" s="1"/>
  <c r="Z41" i="5"/>
  <c r="Y41" i="5"/>
  <c r="Z17" i="5"/>
  <c r="AA17" i="5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BK17" i="5" s="1"/>
  <c r="BL17" i="5" s="1"/>
  <c r="BM17" i="5" s="1"/>
  <c r="BN17" i="5" s="1"/>
  <c r="BO17" i="5" s="1"/>
  <c r="BP17" i="5" s="1"/>
  <c r="BQ17" i="5" s="1"/>
  <c r="BR17" i="5" s="1"/>
  <c r="BS17" i="5" s="1"/>
  <c r="BT17" i="5" s="1"/>
  <c r="BU17" i="5" s="1"/>
  <c r="BV17" i="5" s="1"/>
  <c r="BW17" i="5" s="1"/>
  <c r="BX17" i="5" s="1"/>
  <c r="BY17" i="5" s="1"/>
  <c r="BZ17" i="5" s="1"/>
  <c r="CA17" i="5" s="1"/>
  <c r="CB17" i="5" s="1"/>
  <c r="CC17" i="5" s="1"/>
  <c r="CD17" i="5" s="1"/>
  <c r="CE17" i="5" s="1"/>
  <c r="CF17" i="5" s="1"/>
  <c r="CG17" i="5" s="1"/>
  <c r="CH17" i="5" s="1"/>
  <c r="CI17" i="5" s="1"/>
  <c r="CJ17" i="5" s="1"/>
  <c r="CK17" i="5" s="1"/>
  <c r="CL17" i="5" s="1"/>
  <c r="CM17" i="5" s="1"/>
  <c r="CN17" i="5" s="1"/>
  <c r="CO17" i="5" s="1"/>
  <c r="CP17" i="5" s="1"/>
  <c r="CQ17" i="5" s="1"/>
  <c r="CR17" i="5" s="1"/>
  <c r="CS17" i="5" s="1"/>
  <c r="CT17" i="5" s="1"/>
  <c r="CU17" i="5" s="1"/>
  <c r="CV17" i="5" s="1"/>
  <c r="CW17" i="5" s="1"/>
  <c r="CX17" i="5" s="1"/>
  <c r="CY17" i="5" s="1"/>
  <c r="CZ17" i="5" s="1"/>
  <c r="Y17" i="5"/>
  <c r="O6" i="5"/>
  <c r="O7" i="5"/>
  <c r="O8" i="5"/>
  <c r="O5" i="5"/>
  <c r="P29" i="5"/>
  <c r="Q29" i="5"/>
  <c r="R29" i="5"/>
  <c r="S29" i="5"/>
  <c r="T29" i="5"/>
  <c r="U29" i="5"/>
  <c r="V29" i="5"/>
  <c r="W29" i="5"/>
  <c r="X29" i="5" s="1"/>
  <c r="P30" i="5"/>
  <c r="Q30" i="5"/>
  <c r="R30" i="5"/>
  <c r="S30" i="5"/>
  <c r="T30" i="5"/>
  <c r="U30" i="5"/>
  <c r="V30" i="5"/>
  <c r="W30" i="5" s="1"/>
  <c r="X30" i="5" s="1"/>
  <c r="P31" i="5"/>
  <c r="Q31" i="5"/>
  <c r="R31" i="5"/>
  <c r="S31" i="5"/>
  <c r="T31" i="5"/>
  <c r="U31" i="5"/>
  <c r="V31" i="5" s="1"/>
  <c r="W31" i="5" s="1"/>
  <c r="X31" i="5" s="1"/>
  <c r="P32" i="5"/>
  <c r="Q32" i="5"/>
  <c r="R32" i="5"/>
  <c r="S32" i="5"/>
  <c r="T32" i="5"/>
  <c r="U32" i="5" s="1"/>
  <c r="V32" i="5" s="1"/>
  <c r="W32" i="5" s="1"/>
  <c r="X32" i="5" s="1"/>
  <c r="O31" i="5"/>
  <c r="O29" i="5"/>
  <c r="O30" i="5"/>
  <c r="O32" i="5"/>
  <c r="E47" i="5"/>
  <c r="D47" i="5"/>
  <c r="L46" i="5"/>
  <c r="M45" i="5"/>
  <c r="L45" i="5"/>
  <c r="K45" i="5"/>
  <c r="J45" i="5"/>
  <c r="I45" i="5"/>
  <c r="H45" i="5"/>
  <c r="G45" i="5"/>
  <c r="F45" i="5"/>
  <c r="E45" i="5"/>
  <c r="E43" i="5"/>
  <c r="O38" i="5"/>
  <c r="P38" i="5" s="1"/>
  <c r="Q38" i="5" s="1"/>
  <c r="R38" i="5" s="1"/>
  <c r="S38" i="5" s="1"/>
  <c r="T38" i="5" s="1"/>
  <c r="U38" i="5" s="1"/>
  <c r="V38" i="5" s="1"/>
  <c r="W38" i="5" s="1"/>
  <c r="X38" i="5" s="1"/>
  <c r="O36" i="5"/>
  <c r="P36" i="5" s="1"/>
  <c r="Q36" i="5" s="1"/>
  <c r="R36" i="5" s="1"/>
  <c r="S36" i="5" s="1"/>
  <c r="T36" i="5" s="1"/>
  <c r="U36" i="5" s="1"/>
  <c r="V36" i="5" s="1"/>
  <c r="W36" i="5" s="1"/>
  <c r="X36" i="5" s="1"/>
  <c r="M35" i="5"/>
  <c r="M37" i="5" s="1"/>
  <c r="M39" i="5" s="1"/>
  <c r="M41" i="5" s="1"/>
  <c r="M43" i="5" s="1"/>
  <c r="H35" i="5"/>
  <c r="H46" i="5" s="1"/>
  <c r="E35" i="5"/>
  <c r="E37" i="5" s="1"/>
  <c r="E39" i="5" s="1"/>
  <c r="E41" i="5" s="1"/>
  <c r="M33" i="5"/>
  <c r="L33" i="5"/>
  <c r="L35" i="5" s="1"/>
  <c r="L37" i="5" s="1"/>
  <c r="L39" i="5" s="1"/>
  <c r="L41" i="5" s="1"/>
  <c r="L43" i="5" s="1"/>
  <c r="H33" i="5"/>
  <c r="F33" i="5"/>
  <c r="F35" i="5" s="1"/>
  <c r="E33" i="5"/>
  <c r="D33" i="5"/>
  <c r="D35" i="5" s="1"/>
  <c r="D37" i="5" s="1"/>
  <c r="D39" i="5" s="1"/>
  <c r="D41" i="5" s="1"/>
  <c r="D43" i="5" s="1"/>
  <c r="N32" i="5"/>
  <c r="M32" i="5"/>
  <c r="K32" i="5"/>
  <c r="K33" i="5" s="1"/>
  <c r="K35" i="5" s="1"/>
  <c r="J32" i="5"/>
  <c r="J33" i="5" s="1"/>
  <c r="J35" i="5" s="1"/>
  <c r="I32" i="5"/>
  <c r="I33" i="5" s="1"/>
  <c r="I35" i="5" s="1"/>
  <c r="G31" i="5"/>
  <c r="G33" i="5" s="1"/>
  <c r="G35" i="5" s="1"/>
  <c r="E31" i="5"/>
  <c r="D31" i="5"/>
  <c r="N28" i="5"/>
  <c r="O28" i="5" s="1"/>
  <c r="P28" i="5" s="1"/>
  <c r="P8" i="5"/>
  <c r="Q8" i="5" s="1"/>
  <c r="R8" i="5" s="1"/>
  <c r="S8" i="5" s="1"/>
  <c r="T8" i="5" s="1"/>
  <c r="U8" i="5" s="1"/>
  <c r="V8" i="5" s="1"/>
  <c r="W8" i="5" s="1"/>
  <c r="X8" i="5" s="1"/>
  <c r="P5" i="5"/>
  <c r="Q5" i="5"/>
  <c r="R5" i="5"/>
  <c r="S5" i="5"/>
  <c r="T5" i="5" s="1"/>
  <c r="U5" i="5" s="1"/>
  <c r="V5" i="5" s="1"/>
  <c r="W5" i="5" s="1"/>
  <c r="X5" i="5" s="1"/>
  <c r="P6" i="5"/>
  <c r="Q6" i="5"/>
  <c r="R6" i="5"/>
  <c r="S6" i="5"/>
  <c r="T6" i="5"/>
  <c r="U6" i="5" s="1"/>
  <c r="V6" i="5" s="1"/>
  <c r="W6" i="5" s="1"/>
  <c r="X6" i="5" s="1"/>
  <c r="P7" i="5"/>
  <c r="Q7" i="5"/>
  <c r="R7" i="5"/>
  <c r="S7" i="5" s="1"/>
  <c r="T7" i="5" s="1"/>
  <c r="U7" i="5" s="1"/>
  <c r="V7" i="5" s="1"/>
  <c r="W7" i="5" s="1"/>
  <c r="X7" i="5" s="1"/>
  <c r="O4" i="5"/>
  <c r="P4" i="5" s="1"/>
  <c r="Q4" i="5" s="1"/>
  <c r="R4" i="5" s="1"/>
  <c r="S4" i="5" s="1"/>
  <c r="T4" i="5" s="1"/>
  <c r="U4" i="5" s="1"/>
  <c r="V4" i="5" s="1"/>
  <c r="W4" i="5" s="1"/>
  <c r="X4" i="5" s="1"/>
  <c r="G46" i="5" l="1"/>
  <c r="G37" i="5"/>
  <c r="F46" i="5"/>
  <c r="F37" i="5"/>
  <c r="K37" i="5"/>
  <c r="K46" i="5"/>
  <c r="I46" i="5"/>
  <c r="I37" i="5"/>
  <c r="J37" i="5"/>
  <c r="J46" i="5"/>
  <c r="M47" i="5"/>
  <c r="M46" i="5"/>
  <c r="P33" i="5"/>
  <c r="P35" i="5" s="1"/>
  <c r="N45" i="5"/>
  <c r="D46" i="5"/>
  <c r="H37" i="5"/>
  <c r="O45" i="5"/>
  <c r="E46" i="5"/>
  <c r="Q28" i="5"/>
  <c r="N33" i="5"/>
  <c r="N35" i="5" s="1"/>
  <c r="O33" i="5"/>
  <c r="O35" i="5" s="1"/>
  <c r="P45" i="5"/>
  <c r="L47" i="5"/>
  <c r="M21" i="5"/>
  <c r="L21" i="5"/>
  <c r="K21" i="5"/>
  <c r="J21" i="5"/>
  <c r="I21" i="5"/>
  <c r="H21" i="5"/>
  <c r="G21" i="5"/>
  <c r="F21" i="5"/>
  <c r="E21" i="5"/>
  <c r="O14" i="5"/>
  <c r="P14" i="5" s="1"/>
  <c r="Q14" i="5" s="1"/>
  <c r="R14" i="5" s="1"/>
  <c r="S14" i="5" s="1"/>
  <c r="T14" i="5" s="1"/>
  <c r="U14" i="5" s="1"/>
  <c r="V14" i="5" s="1"/>
  <c r="W14" i="5" s="1"/>
  <c r="X14" i="5" s="1"/>
  <c r="O12" i="5"/>
  <c r="P12" i="5" s="1"/>
  <c r="Q12" i="5" s="1"/>
  <c r="R12" i="5" s="1"/>
  <c r="S12" i="5" s="1"/>
  <c r="T12" i="5" s="1"/>
  <c r="U12" i="5" s="1"/>
  <c r="V12" i="5" s="1"/>
  <c r="W12" i="5" s="1"/>
  <c r="X12" i="5" s="1"/>
  <c r="L9" i="5"/>
  <c r="L11" i="5" s="1"/>
  <c r="H9" i="5"/>
  <c r="H11" i="5" s="1"/>
  <c r="H22" i="5" s="1"/>
  <c r="F9" i="5"/>
  <c r="F11" i="5" s="1"/>
  <c r="F22" i="5" s="1"/>
  <c r="N8" i="5"/>
  <c r="M8" i="5"/>
  <c r="M9" i="5" s="1"/>
  <c r="M11" i="5" s="1"/>
  <c r="K8" i="5"/>
  <c r="K9" i="5" s="1"/>
  <c r="K11" i="5" s="1"/>
  <c r="J8" i="5"/>
  <c r="J9" i="5" s="1"/>
  <c r="J11" i="5" s="1"/>
  <c r="I8" i="5"/>
  <c r="I9" i="5" s="1"/>
  <c r="I11" i="5" s="1"/>
  <c r="I13" i="5" s="1"/>
  <c r="G7" i="5"/>
  <c r="G9" i="5" s="1"/>
  <c r="G11" i="5" s="1"/>
  <c r="G22" i="5" s="1"/>
  <c r="E7" i="5"/>
  <c r="E9" i="5" s="1"/>
  <c r="E11" i="5" s="1"/>
  <c r="D7" i="5"/>
  <c r="D9" i="5" s="1"/>
  <c r="D11" i="5" s="1"/>
  <c r="N4" i="5"/>
  <c r="H47" i="5" l="1"/>
  <c r="H39" i="5"/>
  <c r="H41" i="5" s="1"/>
  <c r="H43" i="5" s="1"/>
  <c r="I47" i="5"/>
  <c r="I39" i="5"/>
  <c r="I41" i="5" s="1"/>
  <c r="I43" i="5" s="1"/>
  <c r="O46" i="5"/>
  <c r="O37" i="5"/>
  <c r="P46" i="5"/>
  <c r="P37" i="5"/>
  <c r="K47" i="5"/>
  <c r="K39" i="5"/>
  <c r="K41" i="5" s="1"/>
  <c r="K43" i="5" s="1"/>
  <c r="N46" i="5"/>
  <c r="N37" i="5"/>
  <c r="F39" i="5"/>
  <c r="F41" i="5" s="1"/>
  <c r="F43" i="5" s="1"/>
  <c r="F47" i="5"/>
  <c r="Q33" i="5"/>
  <c r="Q35" i="5" s="1"/>
  <c r="R28" i="5"/>
  <c r="Q45" i="5"/>
  <c r="G47" i="5"/>
  <c r="G39" i="5"/>
  <c r="G41" i="5" s="1"/>
  <c r="G43" i="5" s="1"/>
  <c r="J47" i="5"/>
  <c r="J39" i="5"/>
  <c r="J41" i="5" s="1"/>
  <c r="J43" i="5" s="1"/>
  <c r="I22" i="5"/>
  <c r="N9" i="5"/>
  <c r="N11" i="5" s="1"/>
  <c r="H13" i="5"/>
  <c r="N22" i="5"/>
  <c r="N13" i="5"/>
  <c r="E13" i="5"/>
  <c r="E22" i="5"/>
  <c r="J13" i="5"/>
  <c r="J22" i="5"/>
  <c r="F13" i="5"/>
  <c r="G13" i="5"/>
  <c r="L13" i="5"/>
  <c r="L22" i="5"/>
  <c r="M13" i="5"/>
  <c r="M22" i="5"/>
  <c r="I23" i="5"/>
  <c r="I15" i="5"/>
  <c r="I17" i="5" s="1"/>
  <c r="I19" i="5" s="1"/>
  <c r="N21" i="5"/>
  <c r="K13" i="5"/>
  <c r="K22" i="5"/>
  <c r="D13" i="5"/>
  <c r="D22" i="5"/>
  <c r="P47" i="5" l="1"/>
  <c r="P39" i="5"/>
  <c r="Q46" i="5"/>
  <c r="Q37" i="5"/>
  <c r="O39" i="5"/>
  <c r="O47" i="5"/>
  <c r="N39" i="5"/>
  <c r="N47" i="5"/>
  <c r="R45" i="5"/>
  <c r="R33" i="5"/>
  <c r="R35" i="5" s="1"/>
  <c r="S28" i="5"/>
  <c r="H23" i="5"/>
  <c r="H15" i="5"/>
  <c r="H17" i="5" s="1"/>
  <c r="H19" i="5" s="1"/>
  <c r="O9" i="5"/>
  <c r="O11" i="5" s="1"/>
  <c r="O21" i="5"/>
  <c r="D15" i="5"/>
  <c r="D17" i="5" s="1"/>
  <c r="D19" i="5" s="1"/>
  <c r="D23" i="5"/>
  <c r="M15" i="5"/>
  <c r="M17" i="5" s="1"/>
  <c r="M19" i="5" s="1"/>
  <c r="M23" i="5"/>
  <c r="E15" i="5"/>
  <c r="E17" i="5" s="1"/>
  <c r="E19" i="5" s="1"/>
  <c r="E23" i="5"/>
  <c r="N15" i="5"/>
  <c r="N23" i="5"/>
  <c r="G23" i="5"/>
  <c r="G15" i="5"/>
  <c r="G17" i="5" s="1"/>
  <c r="G19" i="5" s="1"/>
  <c r="F15" i="5"/>
  <c r="F17" i="5" s="1"/>
  <c r="F19" i="5" s="1"/>
  <c r="F23" i="5"/>
  <c r="J23" i="5"/>
  <c r="J15" i="5"/>
  <c r="J17" i="5" s="1"/>
  <c r="J19" i="5" s="1"/>
  <c r="K15" i="5"/>
  <c r="K17" i="5" s="1"/>
  <c r="K19" i="5" s="1"/>
  <c r="K23" i="5"/>
  <c r="L23" i="5"/>
  <c r="L15" i="5"/>
  <c r="L17" i="5" s="1"/>
  <c r="L19" i="5" s="1"/>
  <c r="Q47" i="5" l="1"/>
  <c r="Q39" i="5"/>
  <c r="N40" i="5"/>
  <c r="N41" i="5" s="1"/>
  <c r="S45" i="5"/>
  <c r="S33" i="5"/>
  <c r="S35" i="5" s="1"/>
  <c r="T28" i="5"/>
  <c r="R46" i="5"/>
  <c r="R37" i="5"/>
  <c r="P40" i="5"/>
  <c r="P41" i="5" s="1"/>
  <c r="P43" i="5" s="1"/>
  <c r="O40" i="5"/>
  <c r="O41" i="5" s="1"/>
  <c r="O43" i="5" s="1"/>
  <c r="P9" i="5"/>
  <c r="P11" i="5" s="1"/>
  <c r="P21" i="5"/>
  <c r="N16" i="5"/>
  <c r="N17" i="5" s="1"/>
  <c r="O22" i="5"/>
  <c r="O13" i="5"/>
  <c r="N43" i="5" l="1"/>
  <c r="S37" i="5"/>
  <c r="S46" i="5"/>
  <c r="Q40" i="5"/>
  <c r="Q41" i="5"/>
  <c r="Q43" i="5" s="1"/>
  <c r="T45" i="5"/>
  <c r="T33" i="5"/>
  <c r="T35" i="5" s="1"/>
  <c r="U28" i="5"/>
  <c r="R47" i="5"/>
  <c r="R39" i="5"/>
  <c r="N19" i="5"/>
  <c r="O23" i="5"/>
  <c r="O15" i="5"/>
  <c r="Q9" i="5"/>
  <c r="Q11" i="5" s="1"/>
  <c r="Q21" i="5"/>
  <c r="P22" i="5"/>
  <c r="P13" i="5"/>
  <c r="T37" i="5" l="1"/>
  <c r="T46" i="5"/>
  <c r="R40" i="5"/>
  <c r="R41" i="5" s="1"/>
  <c r="R43" i="5" s="1"/>
  <c r="S39" i="5"/>
  <c r="S47" i="5"/>
  <c r="U45" i="5"/>
  <c r="V28" i="5"/>
  <c r="U33" i="5"/>
  <c r="U35" i="5" s="1"/>
  <c r="R21" i="5"/>
  <c r="R9" i="5"/>
  <c r="R11" i="5" s="1"/>
  <c r="Q13" i="5"/>
  <c r="Q22" i="5"/>
  <c r="O16" i="5"/>
  <c r="O17" i="5" s="1"/>
  <c r="P23" i="5"/>
  <c r="P15" i="5"/>
  <c r="S40" i="5" l="1"/>
  <c r="S41" i="5"/>
  <c r="U37" i="5"/>
  <c r="U46" i="5"/>
  <c r="W28" i="5"/>
  <c r="V45" i="5"/>
  <c r="V33" i="5"/>
  <c r="V35" i="5" s="1"/>
  <c r="T39" i="5"/>
  <c r="T47" i="5"/>
  <c r="O19" i="5"/>
  <c r="Q23" i="5"/>
  <c r="Q15" i="5"/>
  <c r="R13" i="5"/>
  <c r="R22" i="5"/>
  <c r="S21" i="5"/>
  <c r="S9" i="5"/>
  <c r="S11" i="5" s="1"/>
  <c r="P16" i="5"/>
  <c r="P17" i="5" s="1"/>
  <c r="P19" i="5" s="1"/>
  <c r="T40" i="5" l="1"/>
  <c r="T41" i="5" s="1"/>
  <c r="V46" i="5"/>
  <c r="V37" i="5"/>
  <c r="X28" i="5"/>
  <c r="W33" i="5"/>
  <c r="W35" i="5" s="1"/>
  <c r="W45" i="5"/>
  <c r="U39" i="5"/>
  <c r="U47" i="5"/>
  <c r="S43" i="5"/>
  <c r="T21" i="5"/>
  <c r="T9" i="5"/>
  <c r="T11" i="5" s="1"/>
  <c r="R23" i="5"/>
  <c r="R15" i="5"/>
  <c r="Q16" i="5"/>
  <c r="Q17" i="5" s="1"/>
  <c r="Q19" i="5" s="1"/>
  <c r="S13" i="5"/>
  <c r="S22" i="5"/>
  <c r="T43" i="5" l="1"/>
  <c r="U40" i="5"/>
  <c r="U41" i="5" s="1"/>
  <c r="W46" i="5"/>
  <c r="W37" i="5"/>
  <c r="X33" i="5"/>
  <c r="X35" i="5" s="1"/>
  <c r="X45" i="5"/>
  <c r="V39" i="5"/>
  <c r="V47" i="5"/>
  <c r="R16" i="5"/>
  <c r="R17" i="5" s="1"/>
  <c r="T13" i="5"/>
  <c r="T22" i="5"/>
  <c r="U21" i="5"/>
  <c r="U9" i="5"/>
  <c r="U11" i="5" s="1"/>
  <c r="S15" i="5"/>
  <c r="S23" i="5"/>
  <c r="U43" i="5" l="1"/>
  <c r="X46" i="5"/>
  <c r="X37" i="5"/>
  <c r="W47" i="5"/>
  <c r="W39" i="5"/>
  <c r="V40" i="5"/>
  <c r="V41" i="5" s="1"/>
  <c r="V43" i="5" s="1"/>
  <c r="V9" i="5"/>
  <c r="V11" i="5" s="1"/>
  <c r="V21" i="5"/>
  <c r="S16" i="5"/>
  <c r="S17" i="5" s="1"/>
  <c r="S19" i="5" s="1"/>
  <c r="U13" i="5"/>
  <c r="U22" i="5"/>
  <c r="T15" i="5"/>
  <c r="T23" i="5"/>
  <c r="R19" i="5"/>
  <c r="W40" i="5" l="1"/>
  <c r="W41" i="5"/>
  <c r="W43" i="5" s="1"/>
  <c r="X47" i="5"/>
  <c r="X39" i="5"/>
  <c r="U15" i="5"/>
  <c r="U23" i="5"/>
  <c r="T16" i="5"/>
  <c r="T17" i="5" s="1"/>
  <c r="W9" i="5"/>
  <c r="W11" i="5" s="1"/>
  <c r="W21" i="5"/>
  <c r="V22" i="5"/>
  <c r="V13" i="5"/>
  <c r="X40" i="5" l="1"/>
  <c r="X41" i="5" s="1"/>
  <c r="T19" i="5"/>
  <c r="X9" i="5"/>
  <c r="X11" i="5" s="1"/>
  <c r="X21" i="5"/>
  <c r="W22" i="5"/>
  <c r="W13" i="5"/>
  <c r="V15" i="5"/>
  <c r="V23" i="5"/>
  <c r="U16" i="5"/>
  <c r="U17" i="5" s="1"/>
  <c r="U19" i="5" s="1"/>
  <c r="X43" i="5" l="1"/>
  <c r="AA46" i="5"/>
  <c r="AA48" i="5" s="1"/>
  <c r="AA49" i="5" s="1"/>
  <c r="W23" i="5"/>
  <c r="W15" i="5"/>
  <c r="X22" i="5"/>
  <c r="X13" i="5"/>
  <c r="V16" i="5"/>
  <c r="V17" i="5" s="1"/>
  <c r="V19" i="5" s="1"/>
  <c r="A30" i="5" l="1"/>
  <c r="A29" i="5"/>
  <c r="X23" i="5"/>
  <c r="X15" i="5"/>
  <c r="W16" i="5"/>
  <c r="W17" i="5" s="1"/>
  <c r="W19" i="5" s="1"/>
  <c r="U7" i="2"/>
  <c r="U9" i="2" s="1"/>
  <c r="U11" i="2" s="1"/>
  <c r="V7" i="2"/>
  <c r="V9" i="2"/>
  <c r="V11" i="2" s="1"/>
  <c r="W9" i="2"/>
  <c r="W11" i="2" s="1"/>
  <c r="X7" i="2"/>
  <c r="X9" i="2"/>
  <c r="X11" i="2" s="1"/>
  <c r="V21" i="2"/>
  <c r="W21" i="2"/>
  <c r="X21" i="2"/>
  <c r="Y21" i="2"/>
  <c r="X16" i="5" l="1"/>
  <c r="X17" i="5" s="1"/>
  <c r="U22" i="2"/>
  <c r="U13" i="2"/>
  <c r="V13" i="2"/>
  <c r="V22" i="2"/>
  <c r="W13" i="2"/>
  <c r="W22" i="2"/>
  <c r="X22" i="2"/>
  <c r="X13" i="2"/>
  <c r="B8" i="2"/>
  <c r="B7" i="2"/>
  <c r="AE4" i="2"/>
  <c r="X19" i="5" l="1"/>
  <c r="AA22" i="5"/>
  <c r="AA24" i="5" s="1"/>
  <c r="AA25" i="5" s="1"/>
  <c r="U15" i="2"/>
  <c r="U17" i="2" s="1"/>
  <c r="U19" i="2" s="1"/>
  <c r="U23" i="2"/>
  <c r="V23" i="2"/>
  <c r="V15" i="2"/>
  <c r="V17" i="2" s="1"/>
  <c r="V19" i="2" s="1"/>
  <c r="W23" i="2"/>
  <c r="W15" i="2"/>
  <c r="W17" i="2" s="1"/>
  <c r="W19" i="2" s="1"/>
  <c r="X15" i="2"/>
  <c r="X17" i="2" s="1"/>
  <c r="X19" i="2" s="1"/>
  <c r="X23" i="2"/>
  <c r="Q70" i="2"/>
  <c r="Q64" i="2"/>
  <c r="Q60" i="2"/>
  <c r="Q76" i="2" s="1"/>
  <c r="Q50" i="2"/>
  <c r="Q39" i="2"/>
  <c r="Q36" i="2"/>
  <c r="Q21" i="2"/>
  <c r="Q9" i="2"/>
  <c r="Q11" i="2" s="1"/>
  <c r="Q13" i="2" s="1"/>
  <c r="A6" i="5" l="1"/>
  <c r="A5" i="5"/>
  <c r="Q74" i="2"/>
  <c r="Q51" i="2"/>
  <c r="Q23" i="2"/>
  <c r="Q15" i="2"/>
  <c r="Q22" i="2"/>
  <c r="Q17" i="2" l="1"/>
  <c r="Q19" i="2" s="1"/>
  <c r="Q54" i="2"/>
  <c r="V51" i="4"/>
  <c r="V50" i="4"/>
  <c r="V40" i="4"/>
  <c r="V39" i="4"/>
  <c r="V29" i="4"/>
  <c r="V28" i="4"/>
  <c r="V18" i="4"/>
  <c r="V17" i="4"/>
  <c r="Q51" i="4"/>
  <c r="Q50" i="4"/>
  <c r="Q40" i="4"/>
  <c r="Q39" i="4"/>
  <c r="Q29" i="4"/>
  <c r="Q28" i="4"/>
  <c r="Q18" i="4"/>
  <c r="Q17" i="4"/>
  <c r="L51" i="4"/>
  <c r="L50" i="4"/>
  <c r="L40" i="4"/>
  <c r="L39" i="4"/>
  <c r="L29" i="4"/>
  <c r="L28" i="4"/>
  <c r="L18" i="4"/>
  <c r="L17" i="4"/>
  <c r="G51" i="4"/>
  <c r="G50" i="4"/>
  <c r="G40" i="4"/>
  <c r="G39" i="4"/>
  <c r="G29" i="4"/>
  <c r="G28" i="4"/>
  <c r="G18" i="4"/>
  <c r="G17" i="4"/>
  <c r="V7" i="4"/>
  <c r="V6" i="4"/>
  <c r="Q7" i="4"/>
  <c r="Q6" i="4"/>
  <c r="L7" i="4"/>
  <c r="L6" i="4"/>
  <c r="L11" i="4" s="1"/>
  <c r="G7" i="4"/>
  <c r="G8" i="4" s="1"/>
  <c r="G6" i="4"/>
  <c r="L44" i="4" l="1"/>
  <c r="V44" i="4"/>
  <c r="G41" i="4"/>
  <c r="V11" i="4"/>
  <c r="G52" i="4"/>
  <c r="Q44" i="4"/>
  <c r="Q8" i="4"/>
  <c r="V55" i="4"/>
  <c r="L41" i="4"/>
  <c r="L55" i="4"/>
  <c r="L52" i="4"/>
  <c r="L22" i="4"/>
  <c r="G30" i="4"/>
  <c r="V33" i="4"/>
  <c r="Q41" i="4"/>
  <c r="Q55" i="4"/>
  <c r="Q52" i="4"/>
  <c r="G19" i="4"/>
  <c r="Q22" i="4"/>
  <c r="L8" i="4"/>
  <c r="L33" i="4"/>
  <c r="Q33" i="4"/>
  <c r="Q11" i="4"/>
  <c r="L30" i="4"/>
  <c r="Q30" i="4"/>
  <c r="V22" i="4"/>
  <c r="L19" i="4"/>
  <c r="Q19" i="4"/>
  <c r="V52" i="4"/>
  <c r="V41" i="4"/>
  <c r="V30" i="4"/>
  <c r="V19" i="4"/>
  <c r="V8" i="4"/>
  <c r="AF7" i="2"/>
  <c r="AG7" i="2" s="1"/>
  <c r="AH7" i="2" s="1"/>
  <c r="AI7" i="2" s="1"/>
  <c r="AJ7" i="2" s="1"/>
  <c r="AK7" i="2" s="1"/>
  <c r="AL7" i="2" s="1"/>
  <c r="AM7" i="2" s="1"/>
  <c r="AN7" i="2" s="1"/>
  <c r="AO7" i="2" s="1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F12" i="2"/>
  <c r="AG12" i="2" s="1"/>
  <c r="AH12" i="2" s="1"/>
  <c r="AI12" i="2" s="1"/>
  <c r="AJ12" i="2" s="1"/>
  <c r="AK12" i="2" s="1"/>
  <c r="AL12" i="2" s="1"/>
  <c r="AM12" i="2" s="1"/>
  <c r="AN12" i="2" s="1"/>
  <c r="AO12" i="2" s="1"/>
  <c r="AF6" i="2"/>
  <c r="AG6" i="2" s="1"/>
  <c r="AH6" i="2" s="1"/>
  <c r="AI6" i="2" s="1"/>
  <c r="AJ6" i="2" s="1"/>
  <c r="AK6" i="2" s="1"/>
  <c r="AL6" i="2" s="1"/>
  <c r="AM6" i="2" s="1"/>
  <c r="AN6" i="2" s="1"/>
  <c r="AO6" i="2" s="1"/>
  <c r="AF5" i="2"/>
  <c r="AG5" i="2" s="1"/>
  <c r="AH5" i="2" s="1"/>
  <c r="AI5" i="2" s="1"/>
  <c r="AJ5" i="2" s="1"/>
  <c r="AK5" i="2" s="1"/>
  <c r="AL5" i="2" s="1"/>
  <c r="AM5" i="2" s="1"/>
  <c r="AN5" i="2" s="1"/>
  <c r="AO5" i="2" s="1"/>
  <c r="AF4" i="2"/>
  <c r="AG4" i="2" s="1"/>
  <c r="AH4" i="2" s="1"/>
  <c r="AI4" i="2" s="1"/>
  <c r="AJ4" i="2" s="1"/>
  <c r="AK4" i="2" s="1"/>
  <c r="AL4" i="2" s="1"/>
  <c r="AM4" i="2" s="1"/>
  <c r="AN4" i="2" s="1"/>
  <c r="AO4" i="2" s="1"/>
  <c r="AE8" i="2"/>
  <c r="AF8" i="2" s="1"/>
  <c r="AE21" i="2"/>
  <c r="E9" i="2"/>
  <c r="E11" i="2" s="1"/>
  <c r="E13" i="2" s="1"/>
  <c r="E15" i="2" s="1"/>
  <c r="E17" i="2" s="1"/>
  <c r="F9" i="2"/>
  <c r="F11" i="2" s="1"/>
  <c r="F13" i="2" s="1"/>
  <c r="F15" i="2" s="1"/>
  <c r="F17" i="2" s="1"/>
  <c r="G50" i="2"/>
  <c r="G9" i="2"/>
  <c r="G11" i="2" s="1"/>
  <c r="G13" i="2" s="1"/>
  <c r="G15" i="2" s="1"/>
  <c r="G17" i="2" s="1"/>
  <c r="D9" i="2"/>
  <c r="D11" i="2" s="1"/>
  <c r="D13" i="2" s="1"/>
  <c r="D15" i="2" s="1"/>
  <c r="D17" i="2" s="1"/>
  <c r="H9" i="2"/>
  <c r="H11" i="2" s="1"/>
  <c r="H13" i="2" s="1"/>
  <c r="H15" i="2" s="1"/>
  <c r="H17" i="2" s="1"/>
  <c r="I9" i="2"/>
  <c r="I11" i="2" s="1"/>
  <c r="I13" i="2" s="1"/>
  <c r="I15" i="2" s="1"/>
  <c r="I17" i="2" s="1"/>
  <c r="M9" i="2"/>
  <c r="M11" i="2" s="1"/>
  <c r="M13" i="2" s="1"/>
  <c r="M15" i="2" s="1"/>
  <c r="M17" i="2" s="1"/>
  <c r="J9" i="2"/>
  <c r="J11" i="2" s="1"/>
  <c r="J13" i="2" s="1"/>
  <c r="J15" i="2" s="1"/>
  <c r="J17" i="2" s="1"/>
  <c r="N9" i="2"/>
  <c r="N11" i="2" s="1"/>
  <c r="N13" i="2" s="1"/>
  <c r="K9" i="2"/>
  <c r="K11" i="2" s="1"/>
  <c r="K13" i="2" s="1"/>
  <c r="K15" i="2" s="1"/>
  <c r="K17" i="2" s="1"/>
  <c r="Y69" i="2"/>
  <c r="Y66" i="2"/>
  <c r="Y62" i="2"/>
  <c r="Y59" i="2"/>
  <c r="Y60" i="2" s="1"/>
  <c r="Z66" i="2"/>
  <c r="Z70" i="2" s="1"/>
  <c r="Z62" i="2"/>
  <c r="Z64" i="2" s="1"/>
  <c r="Z59" i="2"/>
  <c r="Z60" i="2" s="1"/>
  <c r="Y9" i="2"/>
  <c r="Y11" i="2" s="1"/>
  <c r="Y13" i="2" s="1"/>
  <c r="Z8" i="2"/>
  <c r="Z9" i="2" s="1"/>
  <c r="Z11" i="2" s="1"/>
  <c r="Z13" i="2" s="1"/>
  <c r="AA69" i="2"/>
  <c r="AA66" i="2"/>
  <c r="AA62" i="2"/>
  <c r="AA64" i="2" s="1"/>
  <c r="AA59" i="2"/>
  <c r="AA60" i="2" s="1"/>
  <c r="AB66" i="2"/>
  <c r="AB70" i="2" s="1"/>
  <c r="AB62" i="2"/>
  <c r="AB64" i="2" s="1"/>
  <c r="AB59" i="2"/>
  <c r="AB60" i="2" s="1"/>
  <c r="AA8" i="2"/>
  <c r="AA9" i="2" s="1"/>
  <c r="AA11" i="2" s="1"/>
  <c r="AA13" i="2" s="1"/>
  <c r="AB8" i="2"/>
  <c r="AB9" i="2" s="1"/>
  <c r="AB11" i="2" s="1"/>
  <c r="AB13" i="2" s="1"/>
  <c r="AC66" i="2"/>
  <c r="AC70" i="2" s="1"/>
  <c r="AC62" i="2"/>
  <c r="AC64" i="2" s="1"/>
  <c r="AA70" i="2"/>
  <c r="Y64" i="2"/>
  <c r="AC59" i="2"/>
  <c r="AC60" i="2" s="1"/>
  <c r="AD66" i="2"/>
  <c r="AD70" i="2" s="1"/>
  <c r="AD62" i="2"/>
  <c r="AD64" i="2" s="1"/>
  <c r="AD59" i="2"/>
  <c r="AD60" i="2" s="1"/>
  <c r="Z21" i="2"/>
  <c r="AA21" i="2"/>
  <c r="AB21" i="2"/>
  <c r="AC21" i="2"/>
  <c r="AD21" i="2"/>
  <c r="AC9" i="2"/>
  <c r="AC11" i="2" s="1"/>
  <c r="AC13" i="2" s="1"/>
  <c r="AC15" i="2" s="1"/>
  <c r="AC17" i="2" s="1"/>
  <c r="AC19" i="2" s="1"/>
  <c r="AD8" i="2"/>
  <c r="AD9" i="2" s="1"/>
  <c r="AD11" i="2" s="1"/>
  <c r="AD13" i="2" s="1"/>
  <c r="L62" i="2"/>
  <c r="L64" i="2" s="1"/>
  <c r="D70" i="2"/>
  <c r="E70" i="2"/>
  <c r="F70" i="2"/>
  <c r="G70" i="2"/>
  <c r="H70" i="2"/>
  <c r="I70" i="2"/>
  <c r="J70" i="2"/>
  <c r="K70" i="2"/>
  <c r="L70" i="2"/>
  <c r="M70" i="2"/>
  <c r="N70" i="2"/>
  <c r="O70" i="2"/>
  <c r="D64" i="2"/>
  <c r="F64" i="2"/>
  <c r="G64" i="2"/>
  <c r="H64" i="2"/>
  <c r="J64" i="2"/>
  <c r="K64" i="2"/>
  <c r="M64" i="2"/>
  <c r="N64" i="2"/>
  <c r="O64" i="2"/>
  <c r="D60" i="2"/>
  <c r="D76" i="2" s="1"/>
  <c r="E60" i="2"/>
  <c r="E76" i="2" s="1"/>
  <c r="F60" i="2"/>
  <c r="F76" i="2" s="1"/>
  <c r="G60" i="2"/>
  <c r="G76" i="2" s="1"/>
  <c r="H60" i="2"/>
  <c r="I60" i="2"/>
  <c r="J60" i="2"/>
  <c r="K60" i="2"/>
  <c r="K76" i="2" s="1"/>
  <c r="L60" i="2"/>
  <c r="M60" i="2"/>
  <c r="M76" i="2" s="1"/>
  <c r="N60" i="2"/>
  <c r="N76" i="2" s="1"/>
  <c r="O60" i="2"/>
  <c r="P70" i="2"/>
  <c r="P62" i="2"/>
  <c r="P64" i="2" s="1"/>
  <c r="P60" i="2"/>
  <c r="P76" i="2" s="1"/>
  <c r="D50" i="2"/>
  <c r="E50" i="2"/>
  <c r="F50" i="2"/>
  <c r="H50" i="2"/>
  <c r="I50" i="2"/>
  <c r="J50" i="2"/>
  <c r="K50" i="2"/>
  <c r="L50" i="2"/>
  <c r="M50" i="2"/>
  <c r="N50" i="2"/>
  <c r="O50" i="2"/>
  <c r="D39" i="2"/>
  <c r="E39" i="2"/>
  <c r="F39" i="2"/>
  <c r="G39" i="2"/>
  <c r="H39" i="2"/>
  <c r="I39" i="2"/>
  <c r="J39" i="2"/>
  <c r="K39" i="2"/>
  <c r="L39" i="2"/>
  <c r="M39" i="2"/>
  <c r="N39" i="2"/>
  <c r="O39" i="2"/>
  <c r="D36" i="2"/>
  <c r="E36" i="2"/>
  <c r="F36" i="2"/>
  <c r="G36" i="2"/>
  <c r="H36" i="2"/>
  <c r="I36" i="2"/>
  <c r="J36" i="2"/>
  <c r="K36" i="2"/>
  <c r="L36" i="2"/>
  <c r="M36" i="2"/>
  <c r="N36" i="2"/>
  <c r="O36" i="2"/>
  <c r="P50" i="2"/>
  <c r="P39" i="2"/>
  <c r="P36" i="2"/>
  <c r="H21" i="2"/>
  <c r="I21" i="2"/>
  <c r="J21" i="2"/>
  <c r="K21" i="2"/>
  <c r="L21" i="2"/>
  <c r="M21" i="2"/>
  <c r="N21" i="2"/>
  <c r="O21" i="2"/>
  <c r="P21" i="2"/>
  <c r="L9" i="2"/>
  <c r="L11" i="2" s="1"/>
  <c r="L13" i="2" s="1"/>
  <c r="L15" i="2" s="1"/>
  <c r="L17" i="2" s="1"/>
  <c r="L19" i="2" s="1"/>
  <c r="O9" i="2"/>
  <c r="O11" i="2" s="1"/>
  <c r="O13" i="2" s="1"/>
  <c r="P9" i="2"/>
  <c r="P11" i="2" s="1"/>
  <c r="P13" i="2" s="1"/>
  <c r="B6" i="2"/>
  <c r="Z22" i="2" l="1"/>
  <c r="L22" i="2"/>
  <c r="AA22" i="2"/>
  <c r="G51" i="2"/>
  <c r="K22" i="2"/>
  <c r="Y22" i="2"/>
  <c r="AD76" i="2"/>
  <c r="D22" i="2"/>
  <c r="AF21" i="2"/>
  <c r="AG8" i="2"/>
  <c r="AH8" i="2" s="1"/>
  <c r="AI8" i="2" s="1"/>
  <c r="AJ8" i="2" s="1"/>
  <c r="AK8" i="2" s="1"/>
  <c r="AL8" i="2" s="1"/>
  <c r="AM8" i="2" s="1"/>
  <c r="AN8" i="2" s="1"/>
  <c r="AO8" i="2" s="1"/>
  <c r="AF9" i="2"/>
  <c r="AF11" i="2" s="1"/>
  <c r="AF13" i="2" s="1"/>
  <c r="AF23" i="2" s="1"/>
  <c r="L74" i="2"/>
  <c r="AA76" i="2"/>
  <c r="J22" i="2"/>
  <c r="L76" i="2"/>
  <c r="P22" i="2"/>
  <c r="H22" i="2"/>
  <c r="AB22" i="2"/>
  <c r="Y70" i="2"/>
  <c r="O22" i="2"/>
  <c r="G22" i="2"/>
  <c r="AC22" i="2"/>
  <c r="AE9" i="2"/>
  <c r="AE11" i="2" s="1"/>
  <c r="AE13" i="2" s="1"/>
  <c r="AE23" i="2" s="1"/>
  <c r="I22" i="2"/>
  <c r="AB76" i="2"/>
  <c r="N22" i="2"/>
  <c r="F22" i="2"/>
  <c r="AD22" i="2"/>
  <c r="AG9" i="2"/>
  <c r="AG11" i="2" s="1"/>
  <c r="AG22" i="2" s="1"/>
  <c r="M22" i="2"/>
  <c r="E22" i="2"/>
  <c r="AG21" i="2"/>
  <c r="AH21" i="2"/>
  <c r="AI21" i="2"/>
  <c r="AH9" i="2"/>
  <c r="AH11" i="2" s="1"/>
  <c r="AH13" i="2" s="1"/>
  <c r="AH15" i="2" s="1"/>
  <c r="AH16" i="2" s="1"/>
  <c r="AJ21" i="2"/>
  <c r="F51" i="2"/>
  <c r="D74" i="2"/>
  <c r="H74" i="2"/>
  <c r="N51" i="2"/>
  <c r="AD74" i="2"/>
  <c r="G74" i="2"/>
  <c r="AC76" i="2"/>
  <c r="M51" i="2"/>
  <c r="E51" i="2"/>
  <c r="P74" i="2"/>
  <c r="J74" i="2"/>
  <c r="N74" i="2"/>
  <c r="F74" i="2"/>
  <c r="P51" i="2"/>
  <c r="D51" i="2"/>
  <c r="M74" i="2"/>
  <c r="AD15" i="2"/>
  <c r="AD23" i="2"/>
  <c r="J23" i="2"/>
  <c r="P23" i="2"/>
  <c r="P15" i="2"/>
  <c r="I23" i="2"/>
  <c r="I19" i="2"/>
  <c r="H23" i="2"/>
  <c r="H19" i="2"/>
  <c r="J76" i="2"/>
  <c r="I76" i="2"/>
  <c r="AC23" i="2"/>
  <c r="J51" i="2"/>
  <c r="I51" i="2"/>
  <c r="H76" i="2"/>
  <c r="H51" i="2"/>
  <c r="M23" i="2"/>
  <c r="E23" i="2"/>
  <c r="G23" i="2"/>
  <c r="F23" i="2"/>
  <c r="D19" i="2"/>
  <c r="D54" i="2"/>
  <c r="D23" i="2"/>
  <c r="L23" i="2"/>
  <c r="L54" i="2"/>
  <c r="N15" i="2"/>
  <c r="N23" i="2"/>
  <c r="K74" i="2"/>
  <c r="O74" i="2"/>
  <c r="O76" i="2"/>
  <c r="K51" i="2"/>
  <c r="O51" i="2"/>
  <c r="K23" i="2"/>
  <c r="O15" i="2"/>
  <c r="O23" i="2"/>
  <c r="Y74" i="2"/>
  <c r="Z74" i="2"/>
  <c r="Y23" i="2"/>
  <c r="Y15" i="2"/>
  <c r="Z23" i="2"/>
  <c r="Z15" i="2"/>
  <c r="Z76" i="2"/>
  <c r="Y76" i="2"/>
  <c r="AC74" i="2"/>
  <c r="AA74" i="2"/>
  <c r="AB74" i="2"/>
  <c r="AA15" i="2"/>
  <c r="AA23" i="2"/>
  <c r="AB23" i="2"/>
  <c r="AB15" i="2"/>
  <c r="AC54" i="2"/>
  <c r="B9" i="2"/>
  <c r="L51" i="2"/>
  <c r="AG13" i="2" l="1"/>
  <c r="D6" i="3"/>
  <c r="AF22" i="2"/>
  <c r="AE22" i="2"/>
  <c r="AE15" i="2"/>
  <c r="AE16" i="2" s="1"/>
  <c r="AE17" i="2" s="1"/>
  <c r="AE19" i="2" s="1"/>
  <c r="D7" i="3" s="1"/>
  <c r="AH22" i="2"/>
  <c r="AJ9" i="2"/>
  <c r="AJ11" i="2" s="1"/>
  <c r="AJ22" i="2" s="1"/>
  <c r="AH23" i="2"/>
  <c r="D5" i="3"/>
  <c r="E5" i="3"/>
  <c r="F5" i="3"/>
  <c r="AH17" i="2"/>
  <c r="AH19" i="2" s="1"/>
  <c r="AI9" i="2"/>
  <c r="AI11" i="2" s="1"/>
  <c r="AI13" i="2" s="1"/>
  <c r="AF15" i="2"/>
  <c r="AF16" i="2" s="1"/>
  <c r="E6" i="3"/>
  <c r="AK21" i="2"/>
  <c r="AK9" i="2"/>
  <c r="AK11" i="2" s="1"/>
  <c r="AG15" i="2"/>
  <c r="AG16" i="2" s="1"/>
  <c r="AG23" i="2"/>
  <c r="F6" i="3"/>
  <c r="I54" i="2"/>
  <c r="H54" i="2"/>
  <c r="P17" i="2"/>
  <c r="P19" i="2" s="1"/>
  <c r="P54" i="2"/>
  <c r="J54" i="2"/>
  <c r="J19" i="2"/>
  <c r="AD17" i="2"/>
  <c r="AD19" i="2" s="1"/>
  <c r="AD54" i="2"/>
  <c r="G54" i="2"/>
  <c r="G19" i="2"/>
  <c r="F19" i="2"/>
  <c r="F54" i="2"/>
  <c r="E19" i="2"/>
  <c r="E54" i="2"/>
  <c r="M19" i="2"/>
  <c r="M54" i="2"/>
  <c r="N17" i="2"/>
  <c r="N19" i="2" s="1"/>
  <c r="N54" i="2"/>
  <c r="K54" i="2"/>
  <c r="K19" i="2"/>
  <c r="O54" i="2"/>
  <c r="O17" i="2"/>
  <c r="O19" i="2" s="1"/>
  <c r="Y54" i="2"/>
  <c r="Y17" i="2"/>
  <c r="Y19" i="2" s="1"/>
  <c r="Z17" i="2"/>
  <c r="Z19" i="2" s="1"/>
  <c r="Z54" i="2"/>
  <c r="AA17" i="2"/>
  <c r="AA19" i="2" s="1"/>
  <c r="AA54" i="2"/>
  <c r="AB54" i="2"/>
  <c r="AB17" i="2"/>
  <c r="AB19" i="2" s="1"/>
  <c r="AJ13" i="2" l="1"/>
  <c r="AJ15" i="2" s="1"/>
  <c r="AJ16" i="2" s="1"/>
  <c r="AI22" i="2"/>
  <c r="AF17" i="2"/>
  <c r="AF19" i="2" s="1"/>
  <c r="E7" i="3" s="1"/>
  <c r="AK13" i="2"/>
  <c r="AK22" i="2"/>
  <c r="AL21" i="2"/>
  <c r="AL9" i="2"/>
  <c r="AL11" i="2" s="1"/>
  <c r="AI15" i="2"/>
  <c r="AI16" i="2" s="1"/>
  <c r="AI23" i="2"/>
  <c r="AJ23" i="2"/>
  <c r="AG17" i="2"/>
  <c r="AG19" i="2" l="1"/>
  <c r="F7" i="3" s="1"/>
  <c r="AJ17" i="2"/>
  <c r="AJ19" i="2" s="1"/>
  <c r="AI17" i="2"/>
  <c r="AI19" i="2" s="1"/>
  <c r="AL13" i="2"/>
  <c r="AL22" i="2"/>
  <c r="AM21" i="2"/>
  <c r="AM9" i="2"/>
  <c r="AM11" i="2" s="1"/>
  <c r="AK15" i="2"/>
  <c r="AK16" i="2" s="1"/>
  <c r="AK23" i="2"/>
  <c r="AM13" i="2" l="1"/>
  <c r="AM22" i="2"/>
  <c r="AK17" i="2"/>
  <c r="AK19" i="2" s="1"/>
  <c r="AL15" i="2"/>
  <c r="AL16" i="2" s="1"/>
  <c r="AL23" i="2"/>
  <c r="AN21" i="2"/>
  <c r="AN9" i="2"/>
  <c r="AN11" i="2" s="1"/>
  <c r="AN13" i="2" l="1"/>
  <c r="AN22" i="2"/>
  <c r="AL17" i="2"/>
  <c r="AL19" i="2" s="1"/>
  <c r="AO9" i="2"/>
  <c r="AO11" i="2" s="1"/>
  <c r="AO21" i="2"/>
  <c r="AM15" i="2"/>
  <c r="AM16" i="2" s="1"/>
  <c r="AM23" i="2"/>
  <c r="AM17" i="2" l="1"/>
  <c r="AM19" i="2" s="1"/>
  <c r="AO13" i="2"/>
  <c r="AO22" i="2"/>
  <c r="AN15" i="2"/>
  <c r="AN16" i="2" s="1"/>
  <c r="AN23" i="2"/>
  <c r="AN17" i="2" l="1"/>
  <c r="AO15" i="2"/>
  <c r="AO16" i="2" s="1"/>
  <c r="AO23" i="2"/>
  <c r="AN19" i="2" l="1"/>
  <c r="AO17" i="2"/>
  <c r="AO19" i="2" l="1"/>
  <c r="AP17" i="2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AR22" i="2" s="1"/>
  <c r="AR24" i="2" s="1"/>
  <c r="AR25" i="2" s="1"/>
  <c r="E74" i="2" l="1"/>
  <c r="E64" i="2"/>
  <c r="I74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tc={755FA1AF-E37E-DF47-A767-3D6CA6191572}</author>
  </authors>
  <commentList>
    <comment ref="O47" authorId="0" shapeId="0" xr:uid="{755FA1AF-E37E-DF47-A767-3D6CA61915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Ser at Afry aldri har hatt så lave marginer inneofr en 10-årsperiode</t>
      </text>
    </comment>
  </commentList>
</comments>
</file>

<file path=xl/sharedStrings.xml><?xml version="1.0" encoding="utf-8"?>
<sst xmlns="http://schemas.openxmlformats.org/spreadsheetml/2006/main" count="297" uniqueCount="137">
  <si>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</si>
  <si>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</si>
  <si>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</si>
  <si>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</si>
  <si>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</si>
  <si>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</si>
  <si>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</si>
  <si>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</si>
  <si>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</si>
  <si>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</si>
  <si>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</si>
  <si>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</si>
  <si>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</si>
  <si>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</si>
  <si>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</si>
  <si>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</si>
  <si>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</si>
  <si>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</si>
  <si>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</si>
  <si>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</si>
  <si>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</si>
  <si>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</si>
  <si>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</si>
  <si>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</si>
  <si>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</si>
  <si>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</si>
  <si>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</si>
  <si>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</si>
  <si>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</si>
  <si>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</si>
  <si>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</si>
  <si>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</si>
  <si>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</si>
  <si>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</si>
  <si>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</si>
  <si>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</si>
  <si>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</si>
  <si>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</si>
  <si>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</si>
  <si>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</si>
  <si>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Revenue</t>
  </si>
  <si>
    <t>Personnel costs</t>
  </si>
  <si>
    <t>Purchases of services and materials</t>
  </si>
  <si>
    <t>Other costs</t>
  </si>
  <si>
    <t>Other income</t>
  </si>
  <si>
    <t>EBITDA</t>
  </si>
  <si>
    <t>D/A</t>
  </si>
  <si>
    <t>EBITA</t>
  </si>
  <si>
    <t>Acquisition-related items</t>
  </si>
  <si>
    <t>Operating items (EBIT)</t>
  </si>
  <si>
    <t>Financial items</t>
  </si>
  <si>
    <t>PTP</t>
  </si>
  <si>
    <t>Tax</t>
  </si>
  <si>
    <t>Net income</t>
  </si>
  <si>
    <t>Share</t>
  </si>
  <si>
    <t>EPS</t>
  </si>
  <si>
    <t>Intangible assets</t>
  </si>
  <si>
    <t>PP&amp;E</t>
  </si>
  <si>
    <t>Right of use assets</t>
  </si>
  <si>
    <t>Other non-current assets</t>
  </si>
  <si>
    <t>Account receivables</t>
  </si>
  <si>
    <t>Revenue generated but not invoiced</t>
  </si>
  <si>
    <t>Other current assets</t>
  </si>
  <si>
    <t>Cash</t>
  </si>
  <si>
    <t>Total assets</t>
  </si>
  <si>
    <t>Shareholders of the parent comp</t>
  </si>
  <si>
    <t>Non-controlling interests</t>
  </si>
  <si>
    <t>Total equity</t>
  </si>
  <si>
    <t>Loans and borrowings</t>
  </si>
  <si>
    <t>Lease liabilities</t>
  </si>
  <si>
    <t>Provisons</t>
  </si>
  <si>
    <t>Other current liabilities</t>
  </si>
  <si>
    <t>provisons</t>
  </si>
  <si>
    <t>Work onvoiced but not yet carried out</t>
  </si>
  <si>
    <t>Accounts payable</t>
  </si>
  <si>
    <t>Other current liabilties</t>
  </si>
  <si>
    <t>Total debt</t>
  </si>
  <si>
    <t>Total E/D</t>
  </si>
  <si>
    <t>Model PTP</t>
  </si>
  <si>
    <t>Reported PTP</t>
  </si>
  <si>
    <t>D/A/I</t>
  </si>
  <si>
    <t>Other non-cash</t>
  </si>
  <si>
    <t>Income tax paid</t>
  </si>
  <si>
    <t>WC</t>
  </si>
  <si>
    <t>CFFO</t>
  </si>
  <si>
    <t>Capex</t>
  </si>
  <si>
    <t>Change in financial assets</t>
  </si>
  <si>
    <t>CFFI</t>
  </si>
  <si>
    <t>Borrowings and repayments</t>
  </si>
  <si>
    <t xml:space="preserve">Principal elemente of leases </t>
  </si>
  <si>
    <t>Payment on convertible</t>
  </si>
  <si>
    <t>CFFF</t>
  </si>
  <si>
    <t>FX</t>
  </si>
  <si>
    <t>CIC</t>
  </si>
  <si>
    <t>FCF</t>
  </si>
  <si>
    <t>Dividends paid</t>
  </si>
  <si>
    <t>EBITA margin</t>
  </si>
  <si>
    <t xml:space="preserve">Press releases: </t>
  </si>
  <si>
    <t>EV/EBITA</t>
  </si>
  <si>
    <t>Disocunt</t>
  </si>
  <si>
    <t>TV</t>
  </si>
  <si>
    <t>NPV</t>
  </si>
  <si>
    <t>NPV/Share</t>
  </si>
  <si>
    <t>Opp/nedside</t>
  </si>
  <si>
    <t>SEK million</t>
  </si>
  <si>
    <t>MC SEKm</t>
  </si>
  <si>
    <t>Cash SEKm</t>
  </si>
  <si>
    <t>Debt SEKm</t>
  </si>
  <si>
    <t>EV SEKm</t>
  </si>
  <si>
    <t>Balanse SEKm</t>
  </si>
  <si>
    <t>Cash flow SEKm</t>
  </si>
  <si>
    <t>Infrastructure</t>
  </si>
  <si>
    <t>Order backlog</t>
  </si>
  <si>
    <t>Average full-time (FTEs)</t>
  </si>
  <si>
    <t>Growth</t>
  </si>
  <si>
    <t>Acquired</t>
  </si>
  <si>
    <t>Curreny effect</t>
  </si>
  <si>
    <t>Calender effect</t>
  </si>
  <si>
    <t>Organic adjusted calender</t>
  </si>
  <si>
    <t>Industrial &amp; digital solutions</t>
  </si>
  <si>
    <t>Process industries</t>
  </si>
  <si>
    <t>Energy</t>
  </si>
  <si>
    <t>Managment consulting</t>
  </si>
  <si>
    <t xml:space="preserve">02.07.25: Afry gjør endringer i ledelsen, Robert Larsson, EVP and Head of Global division transportation slutter. </t>
  </si>
  <si>
    <t>24.04.25: Afry lager en ny gruppe struktur og endrer ledelsen, nå er 3 fokussegmenter energi, Industri og Transport &amp; places</t>
  </si>
  <si>
    <t>12.01.25: Linda Pålsson blir ny CEO og tar over fra Jonas Gustavsson</t>
  </si>
  <si>
    <t>09.09.24: CEO Jonas Gustavsson forlater Afry han var der i 8 år</t>
  </si>
  <si>
    <t>28.09.23: Afry gå fra 6 til 5 divisjoner. X blir integrert i Industrial &amp; digital solutions</t>
  </si>
  <si>
    <t>FY 2016</t>
  </si>
  <si>
    <t>FY 2017</t>
  </si>
  <si>
    <t>FY 2018</t>
  </si>
  <si>
    <t>FY 2015</t>
  </si>
  <si>
    <t>ROE</t>
  </si>
  <si>
    <t>Capacity utilisation</t>
  </si>
  <si>
    <t>Nedside</t>
  </si>
  <si>
    <t>Nullvekst og konstante marginer</t>
  </si>
  <si>
    <t>Nullvekst og litt ned på marginer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</si>
</sst>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10" fontId="2" fillId="0" borderId="1" xfId="0" applyNumberFormat="1" applyFont="1" applyBorder="1"/>
    <xf numFmtId="3" fontId="4" fillId="0" borderId="1" xfId="0" applyNumberFormat="1" applyFont="1" applyBorder="1"/>
    <xf numFmtId="0" fontId="5" fillId="0" borderId="3" xfId="0" applyFont="1" applyBorder="1"/>
    <xf numFmtId="165" fontId="6" fillId="0" borderId="3" xfId="0" applyNumberFormat="1" applyFont="1" applyBorder="1"/>
    <xf numFmtId="0" fontId="2" fillId="0" borderId="4" xfId="0" applyFont="1" applyBorder="1"/>
    <xf numFmtId="9" fontId="2" fillId="0" borderId="0" xfId="0" applyNumberFormat="1" applyFont="1"/>
    <xf numFmtId="8" fontId="2" fillId="0" borderId="4" xfId="0" applyNumberFormat="1" applyFont="1" applyBorder="1"/>
    <xf numFmtId="8" fontId="2" fillId="0" borderId="0" xfId="0" applyNumberFormat="1" applyFont="1"/>
    <xf numFmtId="0" fontId="9" fillId="0" borderId="0" xfId="0" applyFont="1"/>
    <xf numFmtId="0" fontId="8" fillId="0" borderId="0" xfId="0" applyFont="1"/>
    <xf numFmtId="0" fontId="2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7" xfId="0" applyFont="1" applyBorder="1"/>
    <xf numFmtId="0" fontId="9" fillId="0" borderId="7" xfId="0" applyFont="1" applyBorder="1"/>
    <xf numFmtId="0" fontId="1" fillId="0" borderId="6" xfId="0" applyFont="1" applyBorder="1"/>
    <xf numFmtId="166" fontId="1" fillId="0" borderId="2" xfId="0" applyNumberFormat="1" applyFont="1" applyBorder="1"/>
    <xf numFmtId="166" fontId="2" fillId="0" borderId="7" xfId="0" applyNumberFormat="1" applyFont="1" applyBorder="1"/>
    <xf numFmtId="166" fontId="1" fillId="0" borderId="8" xfId="0" applyNumberFormat="1" applyFont="1" applyBorder="1"/>
    <xf numFmtId="166" fontId="1" fillId="0" borderId="0" xfId="0" applyNumberFormat="1" applyFont="1"/>
    <xf numFmtId="166" fontId="2" fillId="0" borderId="1" xfId="0" applyNumberFormat="1" applyFont="1" applyBorder="1"/>
    <xf numFmtId="10" fontId="2" fillId="0" borderId="4" xfId="0" applyNumberFormat="1" applyFont="1" applyBorder="1"/>
    <xf numFmtId="10" fontId="2" fillId="0" borderId="5" xfId="0" applyNumberFormat="1" applyFont="1" applyBorder="1"/>
    <xf numFmtId="0" fontId="1" fillId="0" borderId="4" xfId="0" applyFont="1" applyBorder="1"/>
    <xf numFmtId="10" fontId="1" fillId="0" borderId="4" xfId="0" applyNumberFormat="1" applyFont="1" applyBorder="1"/>
    <xf numFmtId="8" fontId="1" fillId="0" borderId="0" xfId="0" applyNumberFormat="1" applyFont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471237</xdr:colOff>
      <xdr:row>18</xdr:row>
      <xdr:rowOff>25400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D776E5-95F5-AD9B-0651-8B2AB32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98737" cy="4368800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510244</xdr:colOff>
      <xdr:row>0</xdr:row>
      <xdr:rowOff>0</xdr:rowOff>
    </xdr:from>
    <xdr:to>
      <xdr:col>10</xdr:col>
      <xdr:colOff>444500</xdr:colOff>
      <xdr:row>18</xdr:row>
      <xdr:rowOff>177800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D85A519-C893-BF50-820A-467A00B3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7744" y="0"/>
          <a:ext cx="4061756" cy="4521200"/>
        </a:xfrm>
        <a:prstGeom prst="rect">
          <a:avLst/>
        </a:prstGeom>
      </xdr:spPr>
    </xdr:pic>
    <xdr:clientData/>
  </xdr:twoCellAnchor>
  <xdr:twoCellAnchor editAs="oneCell">
    <xdr:from>
      <xdr:col>19</xdr:col>
      <xdr:colOff>711200</xdr:colOff>
      <xdr:row>0</xdr:row>
      <xdr:rowOff>0</xdr:rowOff>
    </xdr:from>
    <xdr:to>
      <xdr:col>26</xdr:col>
      <xdr:colOff>406400</xdr:colOff>
      <xdr:row>15</xdr:row>
      <xdr:rowOff>38100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7BA583C-13E4-7BF3-056C-85637699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5700" y="0"/>
          <a:ext cx="54737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0</xdr:row>
      <xdr:rowOff>0</xdr:rowOff>
    </xdr:from>
    <xdr:to>
      <xdr:col>19</xdr:col>
      <xdr:colOff>749300</xdr:colOff>
      <xdr:row>25</xdr:row>
      <xdr:rowOff>21603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10AFF6A5-AB0E-F5E1-FF7F-6C4F9DAB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1400" y="0"/>
          <a:ext cx="7772400" cy="60541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ACF767AF-D734-B948-9CB3-14C19E3A141E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7" dT="2025-08-01T18:39:53.83" personId="{ACF767AF-D734-B948-9CB3-14C19E3A141E}" id="{755FA1AF-E37E-DF47-A767-3D6CA6191572}">
    <text>Ser at Afry aldri har hatt så lave marginer inneofr en 10-årsperiode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28"/>
  <sheetViews>
    <sheetView showGridLines="0" workbookViewId="0">
      <selection activeCell="D20" sqref="D20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23" spans="1:1" x14ac:dyDescent="0.25">
      <c r="A23" s="1" t="s">
        <v>97</v>
      </c>
    </row>
    <row r="24" spans="1:1" x14ac:dyDescent="0.25">
      <c r="A24" s="2" t="s">
        <v>123</v>
      </c>
    </row>
    <row r="25" spans="1:1" x14ac:dyDescent="0.25">
      <c r="A25" s="2" t="s">
        <v>124</v>
      </c>
    </row>
    <row r="26" spans="1:1" x14ac:dyDescent="0.25">
      <c r="A26" s="2" t="s">
        <v>125</v>
      </c>
    </row>
    <row r="27" spans="1:1" x14ac:dyDescent="0.25">
      <c r="A27" s="2" t="s">
        <v>126</v>
      </c>
    </row>
    <row r="28" spans="1:1" x14ac:dyDescent="0.25">
      <c r="A28" s="2" t="s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Q76"/>
  <sheetViews>
    <sheetView showGridLines="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Y1" sqref="Y1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0" width="10.83203125" style="2"/>
    <col min="31" max="31" width="10.83203125" style="4"/>
    <col min="32" max="42" width="10.83203125" style="2"/>
    <col min="43" max="43" width="14.1640625" style="2" bestFit="1" customWidth="1"/>
    <col min="44" max="44" width="13.33203125" style="2" bestFit="1" customWidth="1"/>
    <col min="45" max="16384" width="10.83203125" style="2"/>
  </cols>
  <sheetData>
    <row r="1" spans="1:42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A1" s="1"/>
    </row>
    <row r="3" spans="1:42" x14ac:dyDescent="0.25">
      <c r="A3" s="1" t="s">
        <v>0</v>
      </c>
      <c r="C3" s="2" t="s">
        <v>104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39</v>
      </c>
      <c r="Q3" s="17" t="s">
        <v>33</v>
      </c>
      <c r="R3" s="7" t="s">
        <v>37</v>
      </c>
      <c r="S3" s="7" t="s">
        <v>38</v>
      </c>
      <c r="U3" s="7" t="s">
        <v>131</v>
      </c>
      <c r="V3" s="7" t="s">
        <v>128</v>
      </c>
      <c r="W3" s="7" t="s">
        <v>129</v>
      </c>
      <c r="X3" s="7" t="s">
        <v>130</v>
      </c>
      <c r="Y3" s="7" t="s">
        <v>34</v>
      </c>
      <c r="Z3" s="7" t="s">
        <v>35</v>
      </c>
      <c r="AA3" s="7" t="s">
        <v>36</v>
      </c>
      <c r="AB3" s="7" t="s">
        <v>15</v>
      </c>
      <c r="AC3" s="7" t="s">
        <v>16</v>
      </c>
      <c r="AD3" s="7" t="s">
        <v>17</v>
      </c>
      <c r="AE3" s="17" t="s">
        <v>18</v>
      </c>
      <c r="AF3" s="7" t="s">
        <v>19</v>
      </c>
      <c r="AG3" s="7" t="s">
        <v>20</v>
      </c>
      <c r="AH3" s="7" t="s">
        <v>21</v>
      </c>
      <c r="AI3" s="7" t="s">
        <v>22</v>
      </c>
      <c r="AJ3" s="7" t="s">
        <v>23</v>
      </c>
      <c r="AK3" s="7" t="s">
        <v>24</v>
      </c>
      <c r="AL3" s="7" t="s">
        <v>25</v>
      </c>
      <c r="AM3" s="7" t="s">
        <v>26</v>
      </c>
      <c r="AN3" s="7" t="s">
        <v>27</v>
      </c>
      <c r="AO3" s="7" t="s">
        <v>28</v>
      </c>
    </row>
    <row r="4" spans="1:42" x14ac:dyDescent="0.25">
      <c r="A4" s="2" t="s">
        <v>1</v>
      </c>
      <c r="B4" s="4">
        <v>149.80000000000001</v>
      </c>
      <c r="C4" s="1" t="s">
        <v>40</v>
      </c>
      <c r="D4" s="12">
        <v>5670</v>
      </c>
      <c r="E4" s="12">
        <v>5975</v>
      </c>
      <c r="F4" s="12">
        <v>5298</v>
      </c>
      <c r="G4" s="12">
        <v>6609</v>
      </c>
      <c r="H4" s="12">
        <v>6916</v>
      </c>
      <c r="I4" s="12">
        <v>6869</v>
      </c>
      <c r="J4" s="12">
        <v>6059</v>
      </c>
      <c r="K4" s="12">
        <v>7135</v>
      </c>
      <c r="L4" s="12">
        <v>6891</v>
      </c>
      <c r="M4" s="12">
        <v>7191</v>
      </c>
      <c r="N4" s="12">
        <v>5993</v>
      </c>
      <c r="O4" s="12">
        <v>7085</v>
      </c>
      <c r="P4" s="12">
        <v>6749</v>
      </c>
      <c r="Q4" s="13">
        <v>6674</v>
      </c>
      <c r="R4" s="12"/>
      <c r="S4" s="12"/>
      <c r="U4" s="12">
        <v>9851</v>
      </c>
      <c r="V4" s="12">
        <v>11070</v>
      </c>
      <c r="W4" s="12">
        <v>12658</v>
      </c>
      <c r="X4" s="12">
        <v>13975</v>
      </c>
      <c r="Y4" s="12">
        <v>19792</v>
      </c>
      <c r="Z4" s="12">
        <v>18991</v>
      </c>
      <c r="AA4" s="12">
        <v>20104</v>
      </c>
      <c r="AB4" s="12">
        <v>23552</v>
      </c>
      <c r="AC4" s="12">
        <v>26978</v>
      </c>
      <c r="AD4" s="12">
        <v>27160</v>
      </c>
      <c r="AE4" s="13">
        <f>AD4*0.99</f>
        <v>26888.400000000001</v>
      </c>
      <c r="AF4" s="12">
        <f>AE4*1.05</f>
        <v>28232.820000000003</v>
      </c>
      <c r="AG4" s="12">
        <f>AF4*1.05</f>
        <v>29644.461000000003</v>
      </c>
      <c r="AH4" s="12">
        <f>AG4*1.075</f>
        <v>31867.795575</v>
      </c>
      <c r="AI4" s="12">
        <f t="shared" ref="AI4:AO4" si="0">AH4*1.075</f>
        <v>34257.880243125001</v>
      </c>
      <c r="AJ4" s="12">
        <f t="shared" si="0"/>
        <v>36827.221261359373</v>
      </c>
      <c r="AK4" s="12">
        <f t="shared" si="0"/>
        <v>39589.262855961322</v>
      </c>
      <c r="AL4" s="12">
        <f t="shared" si="0"/>
        <v>42558.457570158418</v>
      </c>
      <c r="AM4" s="12">
        <f t="shared" si="0"/>
        <v>45750.341887920295</v>
      </c>
      <c r="AN4" s="12">
        <f t="shared" si="0"/>
        <v>49181.617529514311</v>
      </c>
      <c r="AO4" s="12">
        <f t="shared" si="0"/>
        <v>52870.238844227883</v>
      </c>
    </row>
    <row r="5" spans="1:42" x14ac:dyDescent="0.25">
      <c r="A5" s="2" t="s">
        <v>2</v>
      </c>
      <c r="B5" s="8">
        <v>113.251741</v>
      </c>
      <c r="C5" s="2" t="s">
        <v>41</v>
      </c>
      <c r="D5" s="14">
        <v>-3612</v>
      </c>
      <c r="E5" s="14">
        <v>-3733</v>
      </c>
      <c r="F5" s="14">
        <v>-3189</v>
      </c>
      <c r="G5" s="14">
        <v>-3894</v>
      </c>
      <c r="H5" s="14">
        <v>-4027</v>
      </c>
      <c r="I5" s="14">
        <v>-4299</v>
      </c>
      <c r="J5" s="14">
        <v>-3713</v>
      </c>
      <c r="K5" s="14">
        <v>-4271</v>
      </c>
      <c r="L5" s="14">
        <v>-4198</v>
      </c>
      <c r="M5" s="14">
        <v>-4350</v>
      </c>
      <c r="N5" s="14">
        <v>-3596</v>
      </c>
      <c r="O5" s="14">
        <v>-4171</v>
      </c>
      <c r="P5" s="14">
        <v>-4195</v>
      </c>
      <c r="Q5" s="15">
        <v>-4178</v>
      </c>
      <c r="R5" s="14"/>
      <c r="S5" s="14"/>
      <c r="U5" s="14">
        <v>-5467</v>
      </c>
      <c r="V5" s="14">
        <v>-6139</v>
      </c>
      <c r="W5" s="14">
        <v>-7269</v>
      </c>
      <c r="X5" s="14">
        <v>-7996</v>
      </c>
      <c r="Y5" s="14">
        <v>-11782</v>
      </c>
      <c r="Z5" s="14">
        <v>-11860</v>
      </c>
      <c r="AA5" s="14">
        <v>-12266</v>
      </c>
      <c r="AB5" s="14">
        <v>-14428</v>
      </c>
      <c r="AC5" s="14">
        <v>-5585</v>
      </c>
      <c r="AD5" s="14">
        <v>-5701</v>
      </c>
      <c r="AE5" s="15">
        <v>-5701</v>
      </c>
      <c r="AF5" s="14">
        <f>AE5*1.05</f>
        <v>-5986.05</v>
      </c>
      <c r="AG5" s="14">
        <f>AF5*1.05</f>
        <v>-6285.3525000000009</v>
      </c>
      <c r="AH5" s="14">
        <f>AG5*1.075</f>
        <v>-6756.7539375000006</v>
      </c>
      <c r="AI5" s="14">
        <f t="shared" ref="AI5:AO5" si="1">AH5*1.075</f>
        <v>-7263.5104828125004</v>
      </c>
      <c r="AJ5" s="14">
        <f t="shared" si="1"/>
        <v>-7808.273769023438</v>
      </c>
      <c r="AK5" s="14">
        <f t="shared" si="1"/>
        <v>-8393.8943017001948</v>
      </c>
      <c r="AL5" s="14">
        <f t="shared" si="1"/>
        <v>-9023.4363743277081</v>
      </c>
      <c r="AM5" s="14">
        <f t="shared" si="1"/>
        <v>-9700.1941024022854</v>
      </c>
      <c r="AN5" s="14">
        <f t="shared" si="1"/>
        <v>-10427.708660082457</v>
      </c>
      <c r="AO5" s="14">
        <f t="shared" si="1"/>
        <v>-11209.786809588641</v>
      </c>
    </row>
    <row r="6" spans="1:42" x14ac:dyDescent="0.25">
      <c r="A6" s="2" t="s">
        <v>105</v>
      </c>
      <c r="B6" s="5">
        <f>B4*B5</f>
        <v>16965.110801800001</v>
      </c>
      <c r="C6" s="2" t="s">
        <v>42</v>
      </c>
      <c r="D6" s="14">
        <v>-1116</v>
      </c>
      <c r="E6" s="14">
        <v>-1185</v>
      </c>
      <c r="F6" s="14">
        <v>-1162</v>
      </c>
      <c r="G6" s="14">
        <v>-1435</v>
      </c>
      <c r="H6" s="14">
        <v>-1407</v>
      </c>
      <c r="I6" s="14">
        <v>-1394</v>
      </c>
      <c r="J6" s="14">
        <v>-1234</v>
      </c>
      <c r="K6" s="14">
        <v>-1550</v>
      </c>
      <c r="L6" s="14">
        <v>-1337</v>
      </c>
      <c r="M6" s="14">
        <v>-1494</v>
      </c>
      <c r="N6" s="14">
        <v>-1326</v>
      </c>
      <c r="O6" s="14">
        <v>-1544</v>
      </c>
      <c r="P6" s="14">
        <v>-1317</v>
      </c>
      <c r="Q6" s="15">
        <v>-1347</v>
      </c>
      <c r="R6" s="14"/>
      <c r="S6" s="14"/>
      <c r="U6" s="14">
        <v>-2672</v>
      </c>
      <c r="V6" s="14">
        <v>-2944</v>
      </c>
      <c r="W6" s="14">
        <v>-3192</v>
      </c>
      <c r="X6" s="14">
        <v>-3547</v>
      </c>
      <c r="Y6" s="14">
        <v>-4408</v>
      </c>
      <c r="Z6" s="14">
        <v>-3811</v>
      </c>
      <c r="AA6" s="14">
        <v>-3918</v>
      </c>
      <c r="AB6" s="14">
        <v>-4897</v>
      </c>
      <c r="AC6" s="14">
        <v>-2366</v>
      </c>
      <c r="AD6" s="14">
        <v>-2337</v>
      </c>
      <c r="AE6" s="15">
        <v>-2337</v>
      </c>
      <c r="AF6" s="14">
        <f t="shared" ref="AF6:AG8" si="2">AE6*1.05</f>
        <v>-2453.85</v>
      </c>
      <c r="AG6" s="14">
        <f t="shared" si="2"/>
        <v>-2576.5425</v>
      </c>
      <c r="AH6" s="14">
        <f t="shared" ref="AH6:AO8" si="3">AG6*1.075</f>
        <v>-2769.7831874999997</v>
      </c>
      <c r="AI6" s="14">
        <f t="shared" si="3"/>
        <v>-2977.5169265624995</v>
      </c>
      <c r="AJ6" s="14">
        <f t="shared" si="3"/>
        <v>-3200.830696054687</v>
      </c>
      <c r="AK6" s="14">
        <f t="shared" si="3"/>
        <v>-3440.8929982587883</v>
      </c>
      <c r="AL6" s="14">
        <f t="shared" si="3"/>
        <v>-3698.9599731281974</v>
      </c>
      <c r="AM6" s="14">
        <f t="shared" si="3"/>
        <v>-3976.3819711128122</v>
      </c>
      <c r="AN6" s="14">
        <f t="shared" si="3"/>
        <v>-4274.6106189462726</v>
      </c>
      <c r="AO6" s="14">
        <f t="shared" si="3"/>
        <v>-4595.2064153672427</v>
      </c>
    </row>
    <row r="7" spans="1:42" x14ac:dyDescent="0.25">
      <c r="A7" s="2" t="s">
        <v>106</v>
      </c>
      <c r="B7" s="5">
        <f>Q35</f>
        <v>761</v>
      </c>
      <c r="C7" s="2" t="s">
        <v>43</v>
      </c>
      <c r="D7" s="14">
        <v>-423</v>
      </c>
      <c r="E7" s="14">
        <v>-467</v>
      </c>
      <c r="F7" s="14">
        <v>-450</v>
      </c>
      <c r="G7" s="14">
        <v>-564</v>
      </c>
      <c r="H7" s="14">
        <v>-602</v>
      </c>
      <c r="I7" s="14">
        <v>-580</v>
      </c>
      <c r="J7" s="14">
        <v>-606</v>
      </c>
      <c r="K7" s="14">
        <v>-585</v>
      </c>
      <c r="L7" s="14">
        <v>-603</v>
      </c>
      <c r="M7" s="14">
        <v>-613</v>
      </c>
      <c r="N7" s="14">
        <v>-501</v>
      </c>
      <c r="O7" s="14">
        <v>-628</v>
      </c>
      <c r="P7" s="14">
        <v>-607</v>
      </c>
      <c r="Q7" s="15">
        <v>-639</v>
      </c>
      <c r="R7" s="14"/>
      <c r="S7" s="14"/>
      <c r="U7" s="14">
        <f>-826-2</f>
        <v>-828</v>
      </c>
      <c r="V7" s="14">
        <f>-917</f>
        <v>-917</v>
      </c>
      <c r="W7" s="14">
        <v>-1066</v>
      </c>
      <c r="X7" s="14">
        <f>-1073</f>
        <v>-1073</v>
      </c>
      <c r="Y7" s="14">
        <v>-1608</v>
      </c>
      <c r="Z7" s="14">
        <v>-1245</v>
      </c>
      <c r="AA7" s="14">
        <v>-1622</v>
      </c>
      <c r="AB7" s="14">
        <v>-1903</v>
      </c>
      <c r="AC7" s="14">
        <v>-16310</v>
      </c>
      <c r="AD7" s="14">
        <v>-16315</v>
      </c>
      <c r="AE7" s="15">
        <v>-16315</v>
      </c>
      <c r="AF7" s="14">
        <f>AE7*1.06</f>
        <v>-17293.900000000001</v>
      </c>
      <c r="AG7" s="14">
        <f t="shared" ref="AG7:AG8" si="4">AF7*1.05</f>
        <v>-18158.595000000001</v>
      </c>
      <c r="AH7" s="14">
        <f t="shared" si="3"/>
        <v>-19520.489625000002</v>
      </c>
      <c r="AI7" s="14">
        <f t="shared" si="3"/>
        <v>-20984.526346875002</v>
      </c>
      <c r="AJ7" s="14">
        <f t="shared" si="3"/>
        <v>-22558.365822890624</v>
      </c>
      <c r="AK7" s="14">
        <f t="shared" si="3"/>
        <v>-24250.243259607421</v>
      </c>
      <c r="AL7" s="14">
        <f t="shared" si="3"/>
        <v>-26069.011504077978</v>
      </c>
      <c r="AM7" s="14">
        <f t="shared" si="3"/>
        <v>-28024.187366883827</v>
      </c>
      <c r="AN7" s="14">
        <f t="shared" si="3"/>
        <v>-30126.001419400112</v>
      </c>
      <c r="AO7" s="14">
        <f t="shared" si="3"/>
        <v>-32385.451525855118</v>
      </c>
    </row>
    <row r="8" spans="1:42" x14ac:dyDescent="0.25">
      <c r="A8" s="2" t="s">
        <v>107</v>
      </c>
      <c r="B8" s="5">
        <f>Q40</f>
        <v>5223</v>
      </c>
      <c r="C8" s="2" t="s">
        <v>44</v>
      </c>
      <c r="D8" s="14">
        <v>6</v>
      </c>
      <c r="E8" s="14">
        <v>12</v>
      </c>
      <c r="F8" s="14">
        <v>51</v>
      </c>
      <c r="G8" s="14">
        <v>37</v>
      </c>
      <c r="H8" s="14">
        <v>2</v>
      </c>
      <c r="I8" s="14">
        <v>-1</v>
      </c>
      <c r="J8" s="14">
        <v>4</v>
      </c>
      <c r="K8" s="14">
        <v>3</v>
      </c>
      <c r="L8" s="14">
        <v>4</v>
      </c>
      <c r="M8" s="14">
        <v>10</v>
      </c>
      <c r="N8" s="14">
        <v>6</v>
      </c>
      <c r="O8" s="14">
        <v>23</v>
      </c>
      <c r="P8" s="14">
        <v>1</v>
      </c>
      <c r="Q8" s="15">
        <v>2</v>
      </c>
      <c r="R8" s="14"/>
      <c r="S8" s="14"/>
      <c r="U8" s="14">
        <v>0</v>
      </c>
      <c r="V8" s="14">
        <v>10</v>
      </c>
      <c r="W8" s="14">
        <v>1</v>
      </c>
      <c r="X8" s="14">
        <v>-1</v>
      </c>
      <c r="Y8" s="14">
        <v>31</v>
      </c>
      <c r="Z8" s="14">
        <f>198-24+5</f>
        <v>179</v>
      </c>
      <c r="AA8" s="14">
        <f>58-1+5</f>
        <v>62</v>
      </c>
      <c r="AB8" s="14">
        <f>98+8</f>
        <v>106</v>
      </c>
      <c r="AC8" s="14">
        <v>0</v>
      </c>
      <c r="AD8" s="14">
        <f>42-8</f>
        <v>34</v>
      </c>
      <c r="AE8" s="15">
        <f>42-8</f>
        <v>34</v>
      </c>
      <c r="AF8" s="14">
        <f t="shared" si="2"/>
        <v>35.700000000000003</v>
      </c>
      <c r="AG8" s="14">
        <f t="shared" si="4"/>
        <v>37.485000000000007</v>
      </c>
      <c r="AH8" s="14">
        <f t="shared" si="3"/>
        <v>40.296375000000005</v>
      </c>
      <c r="AI8" s="14">
        <f t="shared" si="3"/>
        <v>43.318603125000003</v>
      </c>
      <c r="AJ8" s="14">
        <f t="shared" si="3"/>
        <v>46.567498359375001</v>
      </c>
      <c r="AK8" s="14">
        <f t="shared" si="3"/>
        <v>50.060060736328126</v>
      </c>
      <c r="AL8" s="14">
        <f t="shared" si="3"/>
        <v>53.814565291552732</v>
      </c>
      <c r="AM8" s="14">
        <f t="shared" si="3"/>
        <v>57.850657688419183</v>
      </c>
      <c r="AN8" s="14">
        <f t="shared" si="3"/>
        <v>62.189457015050621</v>
      </c>
      <c r="AO8" s="14">
        <f t="shared" si="3"/>
        <v>66.853666291179408</v>
      </c>
    </row>
    <row r="9" spans="1:42" x14ac:dyDescent="0.25">
      <c r="A9" s="3" t="s">
        <v>108</v>
      </c>
      <c r="B9" s="6">
        <f>B6-B7+B8</f>
        <v>21427.110801800001</v>
      </c>
      <c r="C9" s="1" t="s">
        <v>45</v>
      </c>
      <c r="D9" s="1">
        <f t="shared" ref="D9:K9" si="5">SUM(D4:D8)</f>
        <v>525</v>
      </c>
      <c r="E9" s="1">
        <f t="shared" si="5"/>
        <v>602</v>
      </c>
      <c r="F9" s="1">
        <f t="shared" si="5"/>
        <v>548</v>
      </c>
      <c r="G9" s="1">
        <f t="shared" si="5"/>
        <v>753</v>
      </c>
      <c r="H9" s="1">
        <f t="shared" si="5"/>
        <v>882</v>
      </c>
      <c r="I9" s="1">
        <f t="shared" si="5"/>
        <v>595</v>
      </c>
      <c r="J9" s="1">
        <f t="shared" si="5"/>
        <v>510</v>
      </c>
      <c r="K9" s="1">
        <f t="shared" si="5"/>
        <v>732</v>
      </c>
      <c r="L9" s="1">
        <f t="shared" ref="L9:O9" si="6">SUM(L4:L8)</f>
        <v>757</v>
      </c>
      <c r="M9" s="1">
        <f t="shared" si="6"/>
        <v>744</v>
      </c>
      <c r="N9" s="1">
        <f t="shared" si="6"/>
        <v>576</v>
      </c>
      <c r="O9" s="1">
        <f t="shared" si="6"/>
        <v>765</v>
      </c>
      <c r="P9" s="12">
        <f>SUM(P4:P8)</f>
        <v>631</v>
      </c>
      <c r="Q9" s="13">
        <f>SUM(Q4:Q8)</f>
        <v>512</v>
      </c>
      <c r="R9" s="12"/>
      <c r="S9" s="12"/>
      <c r="T9" s="1"/>
      <c r="U9" s="12">
        <f t="shared" ref="U9:V9" si="7">SUM(U4:U8)</f>
        <v>884</v>
      </c>
      <c r="V9" s="12">
        <f t="shared" si="7"/>
        <v>1080</v>
      </c>
      <c r="W9" s="12">
        <f t="shared" ref="W9:X9" si="8">SUM(W4:W8)</f>
        <v>1132</v>
      </c>
      <c r="X9" s="12">
        <f t="shared" si="8"/>
        <v>1358</v>
      </c>
      <c r="Y9" s="12">
        <f t="shared" ref="Y9:AD9" si="9">SUM(Y4:Y8)</f>
        <v>2025</v>
      </c>
      <c r="Z9" s="12">
        <f t="shared" si="9"/>
        <v>2254</v>
      </c>
      <c r="AA9" s="12">
        <f t="shared" si="9"/>
        <v>2360</v>
      </c>
      <c r="AB9" s="12">
        <f t="shared" si="9"/>
        <v>2430</v>
      </c>
      <c r="AC9" s="12">
        <f t="shared" si="9"/>
        <v>2717</v>
      </c>
      <c r="AD9" s="12">
        <f t="shared" si="9"/>
        <v>2841</v>
      </c>
      <c r="AE9" s="13">
        <f t="shared" ref="AE9:AO9" si="10">SUM(AE4:AE8)</f>
        <v>2569.4000000000015</v>
      </c>
      <c r="AF9" s="12">
        <f t="shared" si="10"/>
        <v>2534.7200000000039</v>
      </c>
      <c r="AG9" s="12">
        <f t="shared" si="10"/>
        <v>2661.4560000000015</v>
      </c>
      <c r="AH9" s="12">
        <f t="shared" si="10"/>
        <v>2861.0651999999955</v>
      </c>
      <c r="AI9" s="12">
        <f t="shared" si="10"/>
        <v>3075.6450899999977</v>
      </c>
      <c r="AJ9" s="12">
        <f t="shared" si="10"/>
        <v>3306.3184717499976</v>
      </c>
      <c r="AK9" s="12">
        <f t="shared" si="10"/>
        <v>3554.2923571312472</v>
      </c>
      <c r="AL9" s="12">
        <f t="shared" si="10"/>
        <v>3820.8642839160902</v>
      </c>
      <c r="AM9" s="12">
        <f t="shared" si="10"/>
        <v>4107.4291052097924</v>
      </c>
      <c r="AN9" s="12">
        <f t="shared" si="10"/>
        <v>4415.4862881005211</v>
      </c>
      <c r="AO9" s="12">
        <f t="shared" si="10"/>
        <v>4746.6477597080593</v>
      </c>
    </row>
    <row r="10" spans="1:42" x14ac:dyDescent="0.25">
      <c r="C10" s="2" t="s">
        <v>46</v>
      </c>
      <c r="D10" s="14">
        <v>-167</v>
      </c>
      <c r="E10" s="14">
        <v>-170</v>
      </c>
      <c r="F10" s="14">
        <v>-173</v>
      </c>
      <c r="G10" s="14">
        <v>-191</v>
      </c>
      <c r="H10" s="14">
        <v>-192</v>
      </c>
      <c r="I10" s="14">
        <v>-197</v>
      </c>
      <c r="J10" s="14">
        <v>-200</v>
      </c>
      <c r="K10" s="14">
        <v>-175</v>
      </c>
      <c r="L10" s="14">
        <v>-175</v>
      </c>
      <c r="M10" s="14">
        <v>-171</v>
      </c>
      <c r="N10" s="14">
        <v>-212</v>
      </c>
      <c r="O10" s="14">
        <v>-179</v>
      </c>
      <c r="P10" s="14">
        <v>-172</v>
      </c>
      <c r="Q10" s="15">
        <v>-166</v>
      </c>
      <c r="R10" s="14"/>
      <c r="S10" s="14"/>
      <c r="U10" s="14">
        <v>-45</v>
      </c>
      <c r="V10" s="14">
        <v>-48</v>
      </c>
      <c r="W10" s="14">
        <v>-105</v>
      </c>
      <c r="X10" s="14">
        <v>-115</v>
      </c>
      <c r="Y10" s="14">
        <v>-657</v>
      </c>
      <c r="Z10" s="14">
        <v>-670</v>
      </c>
      <c r="AA10" s="14">
        <v>-698</v>
      </c>
      <c r="AB10" s="14">
        <v>-702</v>
      </c>
      <c r="AC10" s="14">
        <v>-780</v>
      </c>
      <c r="AD10" s="14">
        <v>-737</v>
      </c>
      <c r="AE10" s="15">
        <v>-750</v>
      </c>
      <c r="AF10" s="14">
        <v>-500</v>
      </c>
      <c r="AG10" s="14">
        <v>-500</v>
      </c>
      <c r="AH10" s="14">
        <v>-500</v>
      </c>
      <c r="AI10" s="14">
        <v>-500</v>
      </c>
      <c r="AJ10" s="14">
        <v>-500</v>
      </c>
      <c r="AK10" s="14">
        <v>-500</v>
      </c>
      <c r="AL10" s="14">
        <v>-500</v>
      </c>
      <c r="AM10" s="14">
        <v>-500</v>
      </c>
      <c r="AN10" s="14">
        <v>-500</v>
      </c>
      <c r="AO10" s="14">
        <v>-500</v>
      </c>
    </row>
    <row r="11" spans="1:42" x14ac:dyDescent="0.25">
      <c r="C11" s="1" t="s">
        <v>47</v>
      </c>
      <c r="D11" s="1">
        <f t="shared" ref="D11:K11" si="11">SUM(D9:D10)</f>
        <v>358</v>
      </c>
      <c r="E11" s="1">
        <f t="shared" si="11"/>
        <v>432</v>
      </c>
      <c r="F11" s="1">
        <f t="shared" si="11"/>
        <v>375</v>
      </c>
      <c r="G11" s="1">
        <f t="shared" si="11"/>
        <v>562</v>
      </c>
      <c r="H11" s="1">
        <f t="shared" si="11"/>
        <v>690</v>
      </c>
      <c r="I11" s="1">
        <f t="shared" si="11"/>
        <v>398</v>
      </c>
      <c r="J11" s="1">
        <f t="shared" si="11"/>
        <v>310</v>
      </c>
      <c r="K11" s="1">
        <f t="shared" si="11"/>
        <v>557</v>
      </c>
      <c r="L11" s="1">
        <f t="shared" ref="L11:O11" si="12">SUM(L9:L10)</f>
        <v>582</v>
      </c>
      <c r="M11" s="1">
        <f t="shared" si="12"/>
        <v>573</v>
      </c>
      <c r="N11" s="1">
        <f t="shared" si="12"/>
        <v>364</v>
      </c>
      <c r="O11" s="1">
        <f t="shared" si="12"/>
        <v>586</v>
      </c>
      <c r="P11" s="12">
        <f>SUM(P9:P10)</f>
        <v>459</v>
      </c>
      <c r="Q11" s="13">
        <f>SUM(Q9:Q10)</f>
        <v>346</v>
      </c>
      <c r="R11" s="14"/>
      <c r="S11" s="14"/>
      <c r="U11" s="12">
        <f t="shared" ref="U11:V11" si="13">SUM(U9:U10)</f>
        <v>839</v>
      </c>
      <c r="V11" s="12">
        <f t="shared" si="13"/>
        <v>1032</v>
      </c>
      <c r="W11" s="12">
        <f t="shared" ref="W11:X11" si="14">SUM(W9:W10)</f>
        <v>1027</v>
      </c>
      <c r="X11" s="12">
        <f t="shared" si="14"/>
        <v>1243</v>
      </c>
      <c r="Y11" s="12">
        <f t="shared" ref="Y11:AD11" si="15">SUM(Y9:Y10)</f>
        <v>1368</v>
      </c>
      <c r="Z11" s="12">
        <f t="shared" si="15"/>
        <v>1584</v>
      </c>
      <c r="AA11" s="12">
        <f t="shared" si="15"/>
        <v>1662</v>
      </c>
      <c r="AB11" s="12">
        <f t="shared" si="15"/>
        <v>1728</v>
      </c>
      <c r="AC11" s="12">
        <f t="shared" si="15"/>
        <v>1937</v>
      </c>
      <c r="AD11" s="12">
        <f t="shared" si="15"/>
        <v>2104</v>
      </c>
      <c r="AE11" s="13">
        <f t="shared" ref="AE11:AO11" si="16">SUM(AE9:AE10)</f>
        <v>1819.4000000000015</v>
      </c>
      <c r="AF11" s="12">
        <f t="shared" si="16"/>
        <v>2034.7200000000039</v>
      </c>
      <c r="AG11" s="12">
        <f t="shared" si="16"/>
        <v>2161.4560000000015</v>
      </c>
      <c r="AH11" s="12">
        <f t="shared" si="16"/>
        <v>2361.0651999999955</v>
      </c>
      <c r="AI11" s="12">
        <f t="shared" si="16"/>
        <v>2575.6450899999977</v>
      </c>
      <c r="AJ11" s="12">
        <f t="shared" si="16"/>
        <v>2806.3184717499976</v>
      </c>
      <c r="AK11" s="12">
        <f t="shared" si="16"/>
        <v>3054.2923571312472</v>
      </c>
      <c r="AL11" s="12">
        <f t="shared" si="16"/>
        <v>3320.8642839160902</v>
      </c>
      <c r="AM11" s="12">
        <f t="shared" si="16"/>
        <v>3607.4291052097924</v>
      </c>
      <c r="AN11" s="12">
        <f t="shared" si="16"/>
        <v>3915.4862881005211</v>
      </c>
      <c r="AO11" s="12">
        <f t="shared" si="16"/>
        <v>4246.6477597080593</v>
      </c>
    </row>
    <row r="12" spans="1:42" x14ac:dyDescent="0.25">
      <c r="C12" s="2" t="s">
        <v>48</v>
      </c>
      <c r="D12" s="14">
        <v>-42</v>
      </c>
      <c r="E12" s="14">
        <v>-97</v>
      </c>
      <c r="F12" s="14">
        <v>-111</v>
      </c>
      <c r="G12" s="14">
        <v>-35</v>
      </c>
      <c r="H12" s="14">
        <v>-44</v>
      </c>
      <c r="I12" s="14">
        <v>-35</v>
      </c>
      <c r="J12" s="14">
        <v>-40</v>
      </c>
      <c r="K12" s="14">
        <v>-41</v>
      </c>
      <c r="L12" s="14">
        <v>-41</v>
      </c>
      <c r="M12" s="14">
        <v>-31</v>
      </c>
      <c r="N12" s="14">
        <v>-49</v>
      </c>
      <c r="O12" s="14">
        <v>-42</v>
      </c>
      <c r="P12" s="14">
        <v>-43</v>
      </c>
      <c r="Q12" s="15">
        <v>-39</v>
      </c>
      <c r="R12" s="14"/>
      <c r="S12" s="14"/>
      <c r="U12" s="14">
        <v>0</v>
      </c>
      <c r="V12" s="14">
        <v>-67</v>
      </c>
      <c r="W12" s="14">
        <v>6</v>
      </c>
      <c r="X12" s="14">
        <v>-40</v>
      </c>
      <c r="Y12" s="14">
        <v>-91</v>
      </c>
      <c r="Z12" s="14">
        <v>-128</v>
      </c>
      <c r="AA12" s="14">
        <v>-139</v>
      </c>
      <c r="AB12" s="14">
        <v>-285</v>
      </c>
      <c r="AC12" s="14">
        <v>-159</v>
      </c>
      <c r="AD12" s="14">
        <v>-164</v>
      </c>
      <c r="AE12" s="15">
        <v>-150</v>
      </c>
      <c r="AF12" s="14">
        <f>AE12*1.05</f>
        <v>-157.5</v>
      </c>
      <c r="AG12" s="14">
        <f>AF12*1.1</f>
        <v>-173.25</v>
      </c>
      <c r="AH12" s="14">
        <f t="shared" ref="AH12:AO12" si="17">AG12*1.1</f>
        <v>-190.57500000000002</v>
      </c>
      <c r="AI12" s="14">
        <f t="shared" si="17"/>
        <v>-209.63250000000002</v>
      </c>
      <c r="AJ12" s="14">
        <f t="shared" si="17"/>
        <v>-230.59575000000004</v>
      </c>
      <c r="AK12" s="14">
        <f t="shared" si="17"/>
        <v>-253.65532500000006</v>
      </c>
      <c r="AL12" s="14">
        <f t="shared" si="17"/>
        <v>-279.02085750000009</v>
      </c>
      <c r="AM12" s="14">
        <f t="shared" si="17"/>
        <v>-306.92294325000012</v>
      </c>
      <c r="AN12" s="14">
        <f t="shared" si="17"/>
        <v>-337.61523757500015</v>
      </c>
      <c r="AO12" s="14">
        <f t="shared" si="17"/>
        <v>-371.37676133250022</v>
      </c>
    </row>
    <row r="13" spans="1:42" x14ac:dyDescent="0.25">
      <c r="C13" s="1" t="s">
        <v>49</v>
      </c>
      <c r="D13" s="1">
        <f t="shared" ref="D13:K13" si="18">SUM(D11:D12)</f>
        <v>316</v>
      </c>
      <c r="E13" s="1">
        <f t="shared" si="18"/>
        <v>335</v>
      </c>
      <c r="F13" s="1">
        <f t="shared" si="18"/>
        <v>264</v>
      </c>
      <c r="G13" s="1">
        <f t="shared" si="18"/>
        <v>527</v>
      </c>
      <c r="H13" s="1">
        <f t="shared" si="18"/>
        <v>646</v>
      </c>
      <c r="I13" s="1">
        <f t="shared" si="18"/>
        <v>363</v>
      </c>
      <c r="J13" s="1">
        <f t="shared" si="18"/>
        <v>270</v>
      </c>
      <c r="K13" s="1">
        <f t="shared" si="18"/>
        <v>516</v>
      </c>
      <c r="L13" s="1">
        <f t="shared" ref="L13:O13" si="19">SUM(L11:L12)</f>
        <v>541</v>
      </c>
      <c r="M13" s="1">
        <f t="shared" si="19"/>
        <v>542</v>
      </c>
      <c r="N13" s="1">
        <f t="shared" si="19"/>
        <v>315</v>
      </c>
      <c r="O13" s="1">
        <f t="shared" si="19"/>
        <v>544</v>
      </c>
      <c r="P13" s="12">
        <f>SUM(P11:P12)</f>
        <v>416</v>
      </c>
      <c r="Q13" s="13">
        <f>SUM(Q11:Q12)</f>
        <v>307</v>
      </c>
      <c r="R13" s="12"/>
      <c r="S13" s="12"/>
      <c r="T13" s="1"/>
      <c r="U13" s="12">
        <f t="shared" ref="U13:V13" si="20">SUM(U11:U12)</f>
        <v>839</v>
      </c>
      <c r="V13" s="12">
        <f t="shared" si="20"/>
        <v>965</v>
      </c>
      <c r="W13" s="12">
        <f t="shared" ref="W13:X13" si="21">SUM(W11:W12)</f>
        <v>1033</v>
      </c>
      <c r="X13" s="12">
        <f t="shared" si="21"/>
        <v>1203</v>
      </c>
      <c r="Y13" s="12">
        <f t="shared" ref="Y13:AD13" si="22">SUM(Y11:Y12)</f>
        <v>1277</v>
      </c>
      <c r="Z13" s="12">
        <f t="shared" si="22"/>
        <v>1456</v>
      </c>
      <c r="AA13" s="12">
        <f t="shared" si="22"/>
        <v>1523</v>
      </c>
      <c r="AB13" s="12">
        <f t="shared" si="22"/>
        <v>1443</v>
      </c>
      <c r="AC13" s="12">
        <f t="shared" si="22"/>
        <v>1778</v>
      </c>
      <c r="AD13" s="12">
        <f t="shared" si="22"/>
        <v>1940</v>
      </c>
      <c r="AE13" s="13">
        <f t="shared" ref="AE13:AO13" si="23">SUM(AE11:AE12)</f>
        <v>1669.4000000000015</v>
      </c>
      <c r="AF13" s="12">
        <f t="shared" si="23"/>
        <v>1877.2200000000039</v>
      </c>
      <c r="AG13" s="12">
        <f t="shared" si="23"/>
        <v>1988.2060000000015</v>
      </c>
      <c r="AH13" s="12">
        <f t="shared" si="23"/>
        <v>2170.4901999999956</v>
      </c>
      <c r="AI13" s="12">
        <f t="shared" si="23"/>
        <v>2366.0125899999975</v>
      </c>
      <c r="AJ13" s="12">
        <f t="shared" si="23"/>
        <v>2575.7227217499976</v>
      </c>
      <c r="AK13" s="12">
        <f t="shared" si="23"/>
        <v>2800.637032131247</v>
      </c>
      <c r="AL13" s="12">
        <f t="shared" si="23"/>
        <v>3041.8434264160901</v>
      </c>
      <c r="AM13" s="12">
        <f t="shared" si="23"/>
        <v>3300.5061619597923</v>
      </c>
      <c r="AN13" s="12">
        <f t="shared" si="23"/>
        <v>3577.8710505255208</v>
      </c>
      <c r="AO13" s="12">
        <f t="shared" si="23"/>
        <v>3875.270998375559</v>
      </c>
    </row>
    <row r="14" spans="1:42" x14ac:dyDescent="0.25">
      <c r="C14" s="2" t="s">
        <v>50</v>
      </c>
      <c r="D14" s="14">
        <v>-27</v>
      </c>
      <c r="E14" s="14">
        <v>-98</v>
      </c>
      <c r="F14" s="14">
        <v>-47</v>
      </c>
      <c r="G14" s="14">
        <v>-52</v>
      </c>
      <c r="H14" s="14">
        <v>-77</v>
      </c>
      <c r="I14" s="14">
        <v>-76</v>
      </c>
      <c r="J14" s="14">
        <v>-74</v>
      </c>
      <c r="K14" s="14">
        <v>-69</v>
      </c>
      <c r="L14" s="14">
        <v>-69</v>
      </c>
      <c r="M14" s="14">
        <v>-68</v>
      </c>
      <c r="N14" s="14">
        <v>-111</v>
      </c>
      <c r="O14" s="14">
        <v>-56</v>
      </c>
      <c r="P14" s="14">
        <v>-81</v>
      </c>
      <c r="Q14" s="15">
        <v>-82</v>
      </c>
      <c r="R14" s="14"/>
      <c r="S14" s="14"/>
      <c r="U14" s="14">
        <v>-40</v>
      </c>
      <c r="V14" s="14">
        <v>-42</v>
      </c>
      <c r="W14" s="14">
        <v>-76</v>
      </c>
      <c r="X14" s="14">
        <v>-99</v>
      </c>
      <c r="Y14" s="14">
        <v>-237</v>
      </c>
      <c r="Z14" s="14">
        <v>-185</v>
      </c>
      <c r="AA14" s="14">
        <v>-129</v>
      </c>
      <c r="AB14" s="14">
        <v>-224</v>
      </c>
      <c r="AC14" s="14">
        <v>-337</v>
      </c>
      <c r="AD14" s="14">
        <v>-305</v>
      </c>
      <c r="AE14" s="15">
        <v>-100</v>
      </c>
      <c r="AF14" s="14">
        <f>AE14*1.05</f>
        <v>-105</v>
      </c>
      <c r="AG14" s="14">
        <f>AF14*1.1</f>
        <v>-115.50000000000001</v>
      </c>
      <c r="AH14" s="14">
        <f t="shared" ref="AH14:AO14" si="24">AG14*1.1</f>
        <v>-127.05000000000003</v>
      </c>
      <c r="AI14" s="14">
        <f t="shared" si="24"/>
        <v>-139.75500000000005</v>
      </c>
      <c r="AJ14" s="14">
        <f t="shared" si="24"/>
        <v>-153.73050000000006</v>
      </c>
      <c r="AK14" s="14">
        <f t="shared" si="24"/>
        <v>-169.10355000000007</v>
      </c>
      <c r="AL14" s="14">
        <f t="shared" si="24"/>
        <v>-186.01390500000008</v>
      </c>
      <c r="AM14" s="14">
        <f t="shared" si="24"/>
        <v>-204.61529550000012</v>
      </c>
      <c r="AN14" s="14">
        <f t="shared" si="24"/>
        <v>-225.07682505000014</v>
      </c>
      <c r="AO14" s="14">
        <f t="shared" si="24"/>
        <v>-247.58450755500019</v>
      </c>
    </row>
    <row r="15" spans="1:42" x14ac:dyDescent="0.25">
      <c r="C15" s="2" t="s">
        <v>51</v>
      </c>
      <c r="D15" s="2">
        <f t="shared" ref="D15:K15" si="25">SUM(D13:D14)</f>
        <v>289</v>
      </c>
      <c r="E15" s="2">
        <f t="shared" si="25"/>
        <v>237</v>
      </c>
      <c r="F15" s="2">
        <f t="shared" si="25"/>
        <v>217</v>
      </c>
      <c r="G15" s="2">
        <f t="shared" si="25"/>
        <v>475</v>
      </c>
      <c r="H15" s="2">
        <f t="shared" si="25"/>
        <v>569</v>
      </c>
      <c r="I15" s="2">
        <f t="shared" si="25"/>
        <v>287</v>
      </c>
      <c r="J15" s="2">
        <f t="shared" si="25"/>
        <v>196</v>
      </c>
      <c r="K15" s="2">
        <f t="shared" si="25"/>
        <v>447</v>
      </c>
      <c r="L15" s="2">
        <f t="shared" ref="L15:O15" si="26">SUM(L13:L14)</f>
        <v>472</v>
      </c>
      <c r="M15" s="2">
        <f t="shared" si="26"/>
        <v>474</v>
      </c>
      <c r="N15" s="2">
        <f t="shared" si="26"/>
        <v>204</v>
      </c>
      <c r="O15" s="2">
        <f t="shared" si="26"/>
        <v>488</v>
      </c>
      <c r="P15" s="14">
        <f>SUM(P13:P14)</f>
        <v>335</v>
      </c>
      <c r="Q15" s="15">
        <f>SUM(Q13:Q14)</f>
        <v>225</v>
      </c>
      <c r="R15" s="14"/>
      <c r="S15" s="14"/>
      <c r="U15" s="14">
        <f t="shared" ref="U15:V15" si="27">SUM(U13:U14)</f>
        <v>799</v>
      </c>
      <c r="V15" s="14">
        <f t="shared" si="27"/>
        <v>923</v>
      </c>
      <c r="W15" s="14">
        <f t="shared" ref="W15:X15" si="28">SUM(W13:W14)</f>
        <v>957</v>
      </c>
      <c r="X15" s="14">
        <f t="shared" si="28"/>
        <v>1104</v>
      </c>
      <c r="Y15" s="14">
        <f t="shared" ref="Y15:AD15" si="29">SUM(Y13:Y14)</f>
        <v>1040</v>
      </c>
      <c r="Z15" s="14">
        <f t="shared" si="29"/>
        <v>1271</v>
      </c>
      <c r="AA15" s="14">
        <f t="shared" si="29"/>
        <v>1394</v>
      </c>
      <c r="AB15" s="14">
        <f t="shared" si="29"/>
        <v>1219</v>
      </c>
      <c r="AC15" s="14">
        <f t="shared" si="29"/>
        <v>1441</v>
      </c>
      <c r="AD15" s="14">
        <f t="shared" si="29"/>
        <v>1635</v>
      </c>
      <c r="AE15" s="15">
        <f t="shared" ref="AE15:AO15" si="30">SUM(AE13:AE14)</f>
        <v>1569.4000000000015</v>
      </c>
      <c r="AF15" s="14">
        <f t="shared" si="30"/>
        <v>1772.2200000000039</v>
      </c>
      <c r="AG15" s="14">
        <f t="shared" si="30"/>
        <v>1872.7060000000015</v>
      </c>
      <c r="AH15" s="14">
        <f t="shared" si="30"/>
        <v>2043.4401999999957</v>
      </c>
      <c r="AI15" s="14">
        <f t="shared" si="30"/>
        <v>2226.2575899999974</v>
      </c>
      <c r="AJ15" s="14">
        <f t="shared" si="30"/>
        <v>2421.9922217499975</v>
      </c>
      <c r="AK15" s="14">
        <f t="shared" si="30"/>
        <v>2631.5334821312467</v>
      </c>
      <c r="AL15" s="14">
        <f t="shared" si="30"/>
        <v>2855.8295214160898</v>
      </c>
      <c r="AM15" s="14">
        <f t="shared" si="30"/>
        <v>3095.8908664597921</v>
      </c>
      <c r="AN15" s="14">
        <f t="shared" si="30"/>
        <v>3352.7942254755208</v>
      </c>
      <c r="AO15" s="14">
        <f t="shared" si="30"/>
        <v>3627.6864908205589</v>
      </c>
    </row>
    <row r="16" spans="1:42" x14ac:dyDescent="0.25">
      <c r="C16" s="2" t="s">
        <v>52</v>
      </c>
      <c r="D16" s="14">
        <v>-67</v>
      </c>
      <c r="E16" s="14">
        <v>-63</v>
      </c>
      <c r="F16" s="14">
        <v>-39</v>
      </c>
      <c r="G16" s="14">
        <v>-77</v>
      </c>
      <c r="H16" s="14">
        <v>-133</v>
      </c>
      <c r="I16" s="14">
        <v>-86</v>
      </c>
      <c r="J16" s="14">
        <v>-46</v>
      </c>
      <c r="K16" s="14">
        <v>-117</v>
      </c>
      <c r="L16" s="14">
        <v>-117</v>
      </c>
      <c r="M16" s="14">
        <v>-96</v>
      </c>
      <c r="N16" s="14">
        <v>-55</v>
      </c>
      <c r="O16" s="14">
        <v>-134</v>
      </c>
      <c r="P16" s="14">
        <v>-84</v>
      </c>
      <c r="Q16" s="15">
        <v>-31</v>
      </c>
      <c r="R16" s="14"/>
      <c r="S16" s="14"/>
      <c r="U16" s="14">
        <v>-190</v>
      </c>
      <c r="V16" s="14">
        <v>-212</v>
      </c>
      <c r="W16" s="14">
        <v>-215</v>
      </c>
      <c r="X16" s="14">
        <v>-253</v>
      </c>
      <c r="Y16" s="14">
        <v>-219</v>
      </c>
      <c r="Z16" s="14">
        <v>-279</v>
      </c>
      <c r="AA16" s="14">
        <v>-264</v>
      </c>
      <c r="AB16" s="14">
        <v>-246</v>
      </c>
      <c r="AC16" s="14">
        <v>-341</v>
      </c>
      <c r="AD16" s="14">
        <v>-401</v>
      </c>
      <c r="AE16" s="15">
        <f>AE15*-0.2</f>
        <v>-313.88000000000034</v>
      </c>
      <c r="AF16" s="14">
        <f t="shared" ref="AF16:AO16" si="31">AF15*-0.2</f>
        <v>-354.44400000000081</v>
      </c>
      <c r="AG16" s="14">
        <f t="shared" si="31"/>
        <v>-374.54120000000034</v>
      </c>
      <c r="AH16" s="14">
        <f t="shared" si="31"/>
        <v>-408.68803999999915</v>
      </c>
      <c r="AI16" s="14">
        <f t="shared" si="31"/>
        <v>-445.25151799999952</v>
      </c>
      <c r="AJ16" s="14">
        <f t="shared" si="31"/>
        <v>-484.39844434999952</v>
      </c>
      <c r="AK16" s="14">
        <f t="shared" si="31"/>
        <v>-526.30669642624935</v>
      </c>
      <c r="AL16" s="14">
        <f t="shared" si="31"/>
        <v>-571.16590428321797</v>
      </c>
      <c r="AM16" s="14">
        <f t="shared" si="31"/>
        <v>-619.1781732919585</v>
      </c>
      <c r="AN16" s="14">
        <f t="shared" si="31"/>
        <v>-670.55884509510418</v>
      </c>
      <c r="AO16" s="14">
        <f t="shared" si="31"/>
        <v>-725.5372981641118</v>
      </c>
      <c r="AP16" s="14"/>
    </row>
    <row r="17" spans="3:121" x14ac:dyDescent="0.25">
      <c r="C17" s="1" t="s">
        <v>53</v>
      </c>
      <c r="D17" s="1">
        <f t="shared" ref="D17:K17" si="32">SUM(D15:D16)</f>
        <v>222</v>
      </c>
      <c r="E17" s="1">
        <f t="shared" si="32"/>
        <v>174</v>
      </c>
      <c r="F17" s="1">
        <f t="shared" si="32"/>
        <v>178</v>
      </c>
      <c r="G17" s="1">
        <f t="shared" si="32"/>
        <v>398</v>
      </c>
      <c r="H17" s="1">
        <f t="shared" si="32"/>
        <v>436</v>
      </c>
      <c r="I17" s="1">
        <f t="shared" si="32"/>
        <v>201</v>
      </c>
      <c r="J17" s="1">
        <f t="shared" si="32"/>
        <v>150</v>
      </c>
      <c r="K17" s="1">
        <f t="shared" si="32"/>
        <v>330</v>
      </c>
      <c r="L17" s="1">
        <f t="shared" ref="L17:O17" si="33">SUM(L15:L16)</f>
        <v>355</v>
      </c>
      <c r="M17" s="1">
        <f t="shared" si="33"/>
        <v>378</v>
      </c>
      <c r="N17" s="1">
        <f t="shared" si="33"/>
        <v>149</v>
      </c>
      <c r="O17" s="1">
        <f t="shared" si="33"/>
        <v>354</v>
      </c>
      <c r="P17" s="12">
        <f>SUM(P15:P16)</f>
        <v>251</v>
      </c>
      <c r="Q17" s="13">
        <f>SUM(Q15:Q16)</f>
        <v>194</v>
      </c>
      <c r="R17" s="12"/>
      <c r="S17" s="12"/>
      <c r="T17" s="1"/>
      <c r="U17" s="12">
        <f t="shared" ref="U17:V17" si="34">SUM(U15:U16)</f>
        <v>609</v>
      </c>
      <c r="V17" s="12">
        <f t="shared" si="34"/>
        <v>711</v>
      </c>
      <c r="W17" s="12">
        <f t="shared" ref="W17:X17" si="35">SUM(W15:W16)</f>
        <v>742</v>
      </c>
      <c r="X17" s="12">
        <f t="shared" si="35"/>
        <v>851</v>
      </c>
      <c r="Y17" s="12">
        <f t="shared" ref="Y17:AD17" si="36">SUM(Y15:Y16)</f>
        <v>821</v>
      </c>
      <c r="Z17" s="12">
        <f t="shared" si="36"/>
        <v>992</v>
      </c>
      <c r="AA17" s="12">
        <f t="shared" si="36"/>
        <v>1130</v>
      </c>
      <c r="AB17" s="12">
        <f t="shared" si="36"/>
        <v>973</v>
      </c>
      <c r="AC17" s="12">
        <f t="shared" si="36"/>
        <v>1100</v>
      </c>
      <c r="AD17" s="12">
        <f t="shared" si="36"/>
        <v>1234</v>
      </c>
      <c r="AE17" s="13">
        <f t="shared" ref="AE17:AO17" si="37">SUM(AE15:AE16)</f>
        <v>1255.5200000000011</v>
      </c>
      <c r="AF17" s="12">
        <f t="shared" si="37"/>
        <v>1417.776000000003</v>
      </c>
      <c r="AG17" s="12">
        <f t="shared" si="37"/>
        <v>1498.1648000000012</v>
      </c>
      <c r="AH17" s="12">
        <f t="shared" si="37"/>
        <v>1634.7521599999966</v>
      </c>
      <c r="AI17" s="12">
        <f t="shared" si="37"/>
        <v>1781.0060719999979</v>
      </c>
      <c r="AJ17" s="12">
        <f t="shared" si="37"/>
        <v>1937.5937773999981</v>
      </c>
      <c r="AK17" s="12">
        <f t="shared" si="37"/>
        <v>2105.2267857049974</v>
      </c>
      <c r="AL17" s="12">
        <f t="shared" si="37"/>
        <v>2284.6636171328719</v>
      </c>
      <c r="AM17" s="12">
        <f t="shared" si="37"/>
        <v>2476.7126931678335</v>
      </c>
      <c r="AN17" s="12">
        <f t="shared" si="37"/>
        <v>2682.2353803804167</v>
      </c>
      <c r="AO17" s="12">
        <f t="shared" si="37"/>
        <v>2902.1491926564472</v>
      </c>
      <c r="AP17" s="12">
        <f>AO17*(1+$AR$21)</f>
        <v>2873.1277007298827</v>
      </c>
      <c r="AQ17" s="12">
        <f t="shared" ref="AQ17:DB17" si="38">AP17*(1+$AR$21)</f>
        <v>2844.3964237225837</v>
      </c>
      <c r="AR17" s="12">
        <f t="shared" si="38"/>
        <v>2815.9524594853578</v>
      </c>
      <c r="AS17" s="12">
        <f t="shared" si="38"/>
        <v>2787.7929348905041</v>
      </c>
      <c r="AT17" s="12">
        <f t="shared" si="38"/>
        <v>2759.9150055415989</v>
      </c>
      <c r="AU17" s="12">
        <f t="shared" si="38"/>
        <v>2732.315855486183</v>
      </c>
      <c r="AV17" s="12">
        <f t="shared" si="38"/>
        <v>2704.992696931321</v>
      </c>
      <c r="AW17" s="12">
        <f t="shared" si="38"/>
        <v>2677.9427699620078</v>
      </c>
      <c r="AX17" s="12">
        <f t="shared" si="38"/>
        <v>2651.1633422623877</v>
      </c>
      <c r="AY17" s="12">
        <f t="shared" si="38"/>
        <v>2624.6517088397636</v>
      </c>
      <c r="AZ17" s="12">
        <f t="shared" si="38"/>
        <v>2598.4051917513661</v>
      </c>
      <c r="BA17" s="12">
        <f t="shared" si="38"/>
        <v>2572.4211398338525</v>
      </c>
      <c r="BB17" s="12">
        <f t="shared" si="38"/>
        <v>2546.6969284355141</v>
      </c>
      <c r="BC17" s="12">
        <f t="shared" si="38"/>
        <v>2521.2299591511592</v>
      </c>
      <c r="BD17" s="12">
        <f t="shared" si="38"/>
        <v>2496.0176595596477</v>
      </c>
      <c r="BE17" s="12">
        <f t="shared" si="38"/>
        <v>2471.0574829640514</v>
      </c>
      <c r="BF17" s="12">
        <f t="shared" si="38"/>
        <v>2446.346908134411</v>
      </c>
      <c r="BG17" s="12">
        <f t="shared" si="38"/>
        <v>2421.8834390530669</v>
      </c>
      <c r="BH17" s="12">
        <f t="shared" si="38"/>
        <v>2397.664604662536</v>
      </c>
      <c r="BI17" s="12">
        <f t="shared" si="38"/>
        <v>2373.6879586159107</v>
      </c>
      <c r="BJ17" s="12">
        <f t="shared" si="38"/>
        <v>2349.9510790297518</v>
      </c>
      <c r="BK17" s="12">
        <f t="shared" si="38"/>
        <v>2326.4515682394544</v>
      </c>
      <c r="BL17" s="12">
        <f t="shared" si="38"/>
        <v>2303.1870525570598</v>
      </c>
      <c r="BM17" s="12">
        <f t="shared" si="38"/>
        <v>2280.1551820314894</v>
      </c>
      <c r="BN17" s="12">
        <f t="shared" si="38"/>
        <v>2257.3536302111743</v>
      </c>
      <c r="BO17" s="12">
        <f t="shared" si="38"/>
        <v>2234.7800939090625</v>
      </c>
      <c r="BP17" s="12">
        <f t="shared" si="38"/>
        <v>2212.432292969972</v>
      </c>
      <c r="BQ17" s="12">
        <f t="shared" si="38"/>
        <v>2190.3079700402723</v>
      </c>
      <c r="BR17" s="12">
        <f t="shared" si="38"/>
        <v>2168.4048903398693</v>
      </c>
      <c r="BS17" s="12">
        <f t="shared" si="38"/>
        <v>2146.7208414364704</v>
      </c>
      <c r="BT17" s="12">
        <f t="shared" si="38"/>
        <v>2125.2536330221055</v>
      </c>
      <c r="BU17" s="12">
        <f t="shared" si="38"/>
        <v>2104.0010966918844</v>
      </c>
      <c r="BV17" s="12">
        <f t="shared" si="38"/>
        <v>2082.9610857249654</v>
      </c>
      <c r="BW17" s="12">
        <f t="shared" si="38"/>
        <v>2062.131474867716</v>
      </c>
      <c r="BX17" s="12">
        <f t="shared" si="38"/>
        <v>2041.5101601190388</v>
      </c>
      <c r="BY17" s="12">
        <f t="shared" si="38"/>
        <v>2021.0950585178484</v>
      </c>
      <c r="BZ17" s="12">
        <f t="shared" si="38"/>
        <v>2000.8841079326698</v>
      </c>
      <c r="CA17" s="12">
        <f t="shared" si="38"/>
        <v>1980.8752668533432</v>
      </c>
      <c r="CB17" s="12">
        <f t="shared" si="38"/>
        <v>1961.0665141848096</v>
      </c>
      <c r="CC17" s="12">
        <f t="shared" si="38"/>
        <v>1941.4558490429615</v>
      </c>
      <c r="CD17" s="12">
        <f t="shared" si="38"/>
        <v>1922.0412905525318</v>
      </c>
      <c r="CE17" s="12">
        <f t="shared" si="38"/>
        <v>1902.8208776470065</v>
      </c>
      <c r="CF17" s="12">
        <f t="shared" si="38"/>
        <v>1883.7926688705363</v>
      </c>
      <c r="CG17" s="12">
        <f t="shared" si="38"/>
        <v>1864.9547421818309</v>
      </c>
      <c r="CH17" s="12">
        <f t="shared" si="38"/>
        <v>1846.3051947600125</v>
      </c>
      <c r="CI17" s="12">
        <f t="shared" si="38"/>
        <v>1827.8421428124122</v>
      </c>
      <c r="CJ17" s="12">
        <f t="shared" si="38"/>
        <v>1809.5637213842881</v>
      </c>
      <c r="CK17" s="12">
        <f t="shared" si="38"/>
        <v>1791.4680841704453</v>
      </c>
      <c r="CL17" s="12">
        <f t="shared" si="38"/>
        <v>1773.5534033287408</v>
      </c>
      <c r="CM17" s="12">
        <f t="shared" si="38"/>
        <v>1755.8178692954534</v>
      </c>
      <c r="CN17" s="12">
        <f t="shared" si="38"/>
        <v>1738.2596906024989</v>
      </c>
      <c r="CO17" s="12">
        <f t="shared" si="38"/>
        <v>1720.877093696474</v>
      </c>
      <c r="CP17" s="12">
        <f t="shared" si="38"/>
        <v>1703.6683227595092</v>
      </c>
      <c r="CQ17" s="12">
        <f t="shared" si="38"/>
        <v>1686.6316395319141</v>
      </c>
      <c r="CR17" s="12">
        <f t="shared" si="38"/>
        <v>1669.7653231365948</v>
      </c>
      <c r="CS17" s="12">
        <f t="shared" si="38"/>
        <v>1653.0676699052287</v>
      </c>
      <c r="CT17" s="12">
        <f t="shared" si="38"/>
        <v>1636.5369932061765</v>
      </c>
      <c r="CU17" s="12">
        <f t="shared" si="38"/>
        <v>1620.1716232741146</v>
      </c>
      <c r="CV17" s="12">
        <f t="shared" si="38"/>
        <v>1603.9699070413735</v>
      </c>
      <c r="CW17" s="12">
        <f t="shared" si="38"/>
        <v>1587.9302079709598</v>
      </c>
      <c r="CX17" s="12">
        <f t="shared" si="38"/>
        <v>1572.0509058912503</v>
      </c>
      <c r="CY17" s="12">
        <f t="shared" si="38"/>
        <v>1556.3303968323378</v>
      </c>
      <c r="CZ17" s="12">
        <f t="shared" si="38"/>
        <v>1540.7670928640143</v>
      </c>
      <c r="DA17" s="12">
        <f t="shared" si="38"/>
        <v>1525.3594219353743</v>
      </c>
      <c r="DB17" s="12">
        <f t="shared" si="38"/>
        <v>1510.1058277160205</v>
      </c>
      <c r="DC17" s="12">
        <f t="shared" ref="DC17:DQ17" si="39">DB17*(1+$AR$21)</f>
        <v>1495.0047694388602</v>
      </c>
      <c r="DD17" s="12">
        <f t="shared" si="39"/>
        <v>1480.0547217444716</v>
      </c>
      <c r="DE17" s="12">
        <f t="shared" si="39"/>
        <v>1465.2541745270269</v>
      </c>
      <c r="DF17" s="12">
        <f t="shared" si="39"/>
        <v>1450.6016327817565</v>
      </c>
      <c r="DG17" s="12">
        <f t="shared" si="39"/>
        <v>1436.0956164539389</v>
      </c>
      <c r="DH17" s="12">
        <f t="shared" si="39"/>
        <v>1421.7346602893995</v>
      </c>
      <c r="DI17" s="12">
        <f t="shared" si="39"/>
        <v>1407.5173136865055</v>
      </c>
      <c r="DJ17" s="12">
        <f t="shared" si="39"/>
        <v>1393.4421405496405</v>
      </c>
      <c r="DK17" s="12">
        <f t="shared" si="39"/>
        <v>1379.5077191441442</v>
      </c>
      <c r="DL17" s="12">
        <f t="shared" si="39"/>
        <v>1365.7126419527028</v>
      </c>
      <c r="DM17" s="12">
        <f t="shared" si="39"/>
        <v>1352.0555155331758</v>
      </c>
      <c r="DN17" s="12">
        <f t="shared" si="39"/>
        <v>1338.5349603778441</v>
      </c>
      <c r="DO17" s="12">
        <f t="shared" si="39"/>
        <v>1325.1496107740656</v>
      </c>
      <c r="DP17" s="12">
        <f t="shared" si="39"/>
        <v>1311.898114666325</v>
      </c>
      <c r="DQ17" s="12">
        <f t="shared" si="39"/>
        <v>1298.7791335196616</v>
      </c>
    </row>
    <row r="18" spans="3:121" x14ac:dyDescent="0.25">
      <c r="C18" s="2" t="s">
        <v>54</v>
      </c>
      <c r="D18" s="9">
        <v>113.251741</v>
      </c>
      <c r="E18" s="9">
        <v>113.251741</v>
      </c>
      <c r="F18" s="9">
        <v>113.251741</v>
      </c>
      <c r="G18" s="9">
        <v>113.251741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9">
        <v>113.251741</v>
      </c>
      <c r="O18" s="9">
        <v>113.251741</v>
      </c>
      <c r="P18" s="9">
        <v>113.251741</v>
      </c>
      <c r="Q18" s="8">
        <v>113.251741</v>
      </c>
      <c r="U18" s="9">
        <v>79.931532000000004</v>
      </c>
      <c r="V18" s="9">
        <v>80.220365999999999</v>
      </c>
      <c r="W18" s="9">
        <v>80.169882000000001</v>
      </c>
      <c r="X18" s="9">
        <v>80.021396999999993</v>
      </c>
      <c r="Y18" s="9">
        <v>113.251741</v>
      </c>
      <c r="Z18" s="9">
        <v>113.251741</v>
      </c>
      <c r="AA18" s="9">
        <v>113.251741</v>
      </c>
      <c r="AB18" s="9">
        <v>113.251741</v>
      </c>
      <c r="AC18" s="9">
        <v>113.251741</v>
      </c>
      <c r="AD18" s="9">
        <v>113.251741</v>
      </c>
      <c r="AE18" s="8">
        <v>113.251741</v>
      </c>
      <c r="AF18" s="9">
        <v>113.251741</v>
      </c>
      <c r="AG18" s="9">
        <v>113.251741</v>
      </c>
      <c r="AH18" s="9">
        <v>113.251741</v>
      </c>
      <c r="AI18" s="9">
        <v>113.251741</v>
      </c>
      <c r="AJ18" s="9">
        <v>113.251741</v>
      </c>
      <c r="AK18" s="9">
        <v>113.251741</v>
      </c>
      <c r="AL18" s="9">
        <v>113.251741</v>
      </c>
      <c r="AM18" s="9">
        <v>113.251741</v>
      </c>
      <c r="AN18" s="9">
        <v>113.251741</v>
      </c>
      <c r="AO18" s="9">
        <v>113.251741</v>
      </c>
    </row>
    <row r="19" spans="3:121" x14ac:dyDescent="0.25">
      <c r="C19" s="2" t="s">
        <v>55</v>
      </c>
      <c r="D19" s="19">
        <f t="shared" ref="D19:O19" si="40">D17/D18</f>
        <v>1.9602347658390524</v>
      </c>
      <c r="E19" s="19">
        <f t="shared" si="40"/>
        <v>1.5364002218738519</v>
      </c>
      <c r="F19" s="19">
        <f t="shared" si="40"/>
        <v>1.5717197672042853</v>
      </c>
      <c r="G19" s="19">
        <f t="shared" si="40"/>
        <v>3.5142947603781209</v>
      </c>
      <c r="H19" s="19">
        <f t="shared" si="40"/>
        <v>3.8498304410172381</v>
      </c>
      <c r="I19" s="19">
        <f t="shared" si="40"/>
        <v>1.7748071528542773</v>
      </c>
      <c r="J19" s="19">
        <f>J17/J18</f>
        <v>1.3244829498912516</v>
      </c>
      <c r="K19" s="19">
        <f>K17/K18</f>
        <v>2.9138624897607537</v>
      </c>
      <c r="L19" s="19">
        <f t="shared" si="40"/>
        <v>3.134609648075962</v>
      </c>
      <c r="M19" s="19">
        <f t="shared" si="40"/>
        <v>3.3376970337259539</v>
      </c>
      <c r="N19" s="19">
        <f t="shared" si="40"/>
        <v>1.3156530635586432</v>
      </c>
      <c r="O19" s="19">
        <f t="shared" si="40"/>
        <v>3.1257797617433538</v>
      </c>
      <c r="P19" s="19">
        <f>P17/P18</f>
        <v>2.2163014694846943</v>
      </c>
      <c r="Q19" s="18">
        <f>Q17/Q18</f>
        <v>1.7129979485260187</v>
      </c>
      <c r="U19" s="19">
        <f t="shared" ref="U19:W19" si="41">U17/U18</f>
        <v>7.6190207388993869</v>
      </c>
      <c r="V19" s="19">
        <f t="shared" si="41"/>
        <v>8.8630859649780209</v>
      </c>
      <c r="W19" s="19">
        <f t="shared" si="41"/>
        <v>9.2553460412976527</v>
      </c>
      <c r="X19" s="19">
        <f t="shared" ref="X19" si="42">X17/X18</f>
        <v>10.634655628418985</v>
      </c>
      <c r="Y19" s="19">
        <f t="shared" ref="Y19:AD19" si="43">Y17/Y18</f>
        <v>7.2493366790714502</v>
      </c>
      <c r="Z19" s="19">
        <f t="shared" si="43"/>
        <v>8.7592472419474774</v>
      </c>
      <c r="AA19" s="19">
        <f t="shared" si="43"/>
        <v>9.9777715558474291</v>
      </c>
      <c r="AB19" s="19">
        <f t="shared" si="43"/>
        <v>8.5914794016279181</v>
      </c>
      <c r="AC19" s="19">
        <f t="shared" si="43"/>
        <v>9.7128749658691778</v>
      </c>
      <c r="AD19" s="19">
        <f t="shared" si="43"/>
        <v>10.896079734438697</v>
      </c>
      <c r="AE19" s="18">
        <f t="shared" ref="AE19:AO19" si="44">AE17/AE18</f>
        <v>11.086098888316439</v>
      </c>
      <c r="AF19" s="19">
        <f t="shared" si="44"/>
        <v>12.518800925100154</v>
      </c>
      <c r="AG19" s="19">
        <f t="shared" si="44"/>
        <v>13.228624891514924</v>
      </c>
      <c r="AH19" s="19">
        <f t="shared" si="44"/>
        <v>14.434675754785939</v>
      </c>
      <c r="AI19" s="19">
        <f t="shared" si="44"/>
        <v>15.726081173445253</v>
      </c>
      <c r="AJ19" s="19">
        <f t="shared" si="44"/>
        <v>17.108732813211219</v>
      </c>
      <c r="AK19" s="19">
        <f t="shared" si="44"/>
        <v>18.588913222137553</v>
      </c>
      <c r="AL19" s="19">
        <f t="shared" si="44"/>
        <v>20.173320047529089</v>
      </c>
      <c r="AM19" s="19">
        <f t="shared" si="44"/>
        <v>21.869091559200257</v>
      </c>
      <c r="AN19" s="19">
        <f t="shared" si="44"/>
        <v>23.683833526059583</v>
      </c>
      <c r="AO19" s="19">
        <f t="shared" si="44"/>
        <v>25.625647491427504</v>
      </c>
    </row>
    <row r="20" spans="3:121" x14ac:dyDescent="0.25">
      <c r="AQ20" s="2" t="s">
        <v>99</v>
      </c>
      <c r="AR20" s="28">
        <v>0.08</v>
      </c>
    </row>
    <row r="21" spans="3:121" x14ac:dyDescent="0.25">
      <c r="C21" s="1" t="s">
        <v>29</v>
      </c>
      <c r="H21" s="21">
        <f t="shared" ref="H21:M21" si="45">(H4-D4)/D4</f>
        <v>0.21975308641975308</v>
      </c>
      <c r="I21" s="21">
        <f t="shared" si="45"/>
        <v>0.1496234309623431</v>
      </c>
      <c r="J21" s="21">
        <f>(J4-F4)/F4</f>
        <v>0.14363910909777275</v>
      </c>
      <c r="K21" s="21">
        <f>(K4-G4)/G4</f>
        <v>7.9588440006052349E-2</v>
      </c>
      <c r="L21" s="21">
        <f t="shared" si="45"/>
        <v>-3.6148062463851939E-3</v>
      </c>
      <c r="M21" s="21">
        <f t="shared" si="45"/>
        <v>4.6877274712476345E-2</v>
      </c>
      <c r="N21" s="21">
        <f>(N4-J4)/J4</f>
        <v>-1.0892886614952963E-2</v>
      </c>
      <c r="O21" s="21">
        <f>(O4-K4)/K4</f>
        <v>-7.0077084793272598E-3</v>
      </c>
      <c r="P21" s="21">
        <f>(P4-L4)/L4</f>
        <v>-2.0606588303584385E-2</v>
      </c>
      <c r="Q21" s="22">
        <f>(Q4-M4)/M4</f>
        <v>-7.1895424836601302E-2</v>
      </c>
      <c r="V21" s="21">
        <f t="shared" ref="V21" si="46">(V4-U4)/U4</f>
        <v>0.12374378235712111</v>
      </c>
      <c r="W21" s="21">
        <f t="shared" ref="W21" si="47">(W4-V4)/V4</f>
        <v>0.14345076784101174</v>
      </c>
      <c r="X21" s="21">
        <f t="shared" ref="X21" si="48">(X4-W4)/W4</f>
        <v>0.10404487280771053</v>
      </c>
      <c r="Y21" s="21">
        <f t="shared" ref="Y21" si="49">(Y4-X4)/X4</f>
        <v>0.41624329159212881</v>
      </c>
      <c r="Z21" s="21">
        <f t="shared" ref="Z21:AD21" si="50">(Z4-Y4)/Y4</f>
        <v>-4.0470897332255458E-2</v>
      </c>
      <c r="AA21" s="21">
        <f t="shared" si="50"/>
        <v>5.8606708440840399E-2</v>
      </c>
      <c r="AB21" s="21">
        <f t="shared" si="50"/>
        <v>0.17150815758058097</v>
      </c>
      <c r="AC21" s="21">
        <f t="shared" si="50"/>
        <v>0.14546535326086957</v>
      </c>
      <c r="AD21" s="21">
        <f t="shared" si="50"/>
        <v>6.7462376751427086E-3</v>
      </c>
      <c r="AE21" s="22">
        <f>(AE4-AD4)/AD4</f>
        <v>-9.9999999999999464E-3</v>
      </c>
      <c r="AF21" s="21">
        <f t="shared" ref="AF21:AO21" si="51">(AF4-AE4)/AE4</f>
        <v>5.0000000000000065E-2</v>
      </c>
      <c r="AG21" s="21">
        <f t="shared" si="51"/>
        <v>4.9999999999999982E-2</v>
      </c>
      <c r="AH21" s="21">
        <f t="shared" si="51"/>
        <v>7.49999999999999E-2</v>
      </c>
      <c r="AI21" s="21">
        <f t="shared" si="51"/>
        <v>7.5000000000000011E-2</v>
      </c>
      <c r="AJ21" s="21">
        <f t="shared" si="51"/>
        <v>7.4999999999999914E-2</v>
      </c>
      <c r="AK21" s="21">
        <f t="shared" si="51"/>
        <v>7.49999999999999E-2</v>
      </c>
      <c r="AL21" s="21">
        <f t="shared" si="51"/>
        <v>7.4999999999999914E-2</v>
      </c>
      <c r="AM21" s="21">
        <f t="shared" si="51"/>
        <v>7.4999999999999886E-2</v>
      </c>
      <c r="AN21" s="21">
        <f t="shared" si="51"/>
        <v>7.4999999999999886E-2</v>
      </c>
      <c r="AO21" s="21">
        <f t="shared" si="51"/>
        <v>7.4999999999999956E-2</v>
      </c>
      <c r="AQ21" s="2" t="s">
        <v>100</v>
      </c>
      <c r="AR21" s="28">
        <v>-0.01</v>
      </c>
    </row>
    <row r="22" spans="3:121" x14ac:dyDescent="0.25">
      <c r="C22" s="2" t="s">
        <v>96</v>
      </c>
      <c r="D22" s="20">
        <f t="shared" ref="D22:O22" si="52">D11/D4</f>
        <v>6.3139329805996472E-2</v>
      </c>
      <c r="E22" s="20">
        <f t="shared" si="52"/>
        <v>7.2301255230125525E-2</v>
      </c>
      <c r="F22" s="20">
        <f t="shared" si="52"/>
        <v>7.0781426953567386E-2</v>
      </c>
      <c r="G22" s="20">
        <f t="shared" si="52"/>
        <v>8.5035557573006501E-2</v>
      </c>
      <c r="H22" s="20">
        <f t="shared" si="52"/>
        <v>9.9768652400231347E-2</v>
      </c>
      <c r="I22" s="20">
        <f t="shared" si="52"/>
        <v>5.7941476197408651E-2</v>
      </c>
      <c r="J22" s="20">
        <f t="shared" si="52"/>
        <v>5.1163558342960887E-2</v>
      </c>
      <c r="K22" s="20">
        <f t="shared" si="52"/>
        <v>7.8065872459705671E-2</v>
      </c>
      <c r="L22" s="20">
        <f t="shared" si="52"/>
        <v>8.4457988680888121E-2</v>
      </c>
      <c r="M22" s="20">
        <f t="shared" si="52"/>
        <v>7.9682937004589074E-2</v>
      </c>
      <c r="N22" s="20">
        <f t="shared" si="52"/>
        <v>6.0737527114967459E-2</v>
      </c>
      <c r="O22" s="20">
        <f t="shared" si="52"/>
        <v>8.2709950599858861E-2</v>
      </c>
      <c r="P22" s="20">
        <f>P11/P4</f>
        <v>6.8010075566750636E-2</v>
      </c>
      <c r="Q22" s="23">
        <f>Q11/Q4</f>
        <v>5.1842972729997001E-2</v>
      </c>
      <c r="U22" s="20">
        <f t="shared" ref="U22:X22" si="53">U11/U4</f>
        <v>8.5169018373769154E-2</v>
      </c>
      <c r="V22" s="20">
        <f t="shared" si="53"/>
        <v>9.322493224932249E-2</v>
      </c>
      <c r="W22" s="20">
        <f t="shared" si="53"/>
        <v>8.113446042028756E-2</v>
      </c>
      <c r="X22" s="20">
        <f t="shared" si="53"/>
        <v>8.8944543828264763E-2</v>
      </c>
      <c r="Y22" s="20">
        <f t="shared" ref="Y22:AO22" si="54">Y11/Y4</f>
        <v>6.9118835893290223E-2</v>
      </c>
      <c r="Z22" s="20">
        <f t="shared" si="54"/>
        <v>8.3407930072139438E-2</v>
      </c>
      <c r="AA22" s="20">
        <f t="shared" si="54"/>
        <v>8.2670115399920419E-2</v>
      </c>
      <c r="AB22" s="20">
        <f t="shared" si="54"/>
        <v>7.3369565217391311E-2</v>
      </c>
      <c r="AC22" s="20">
        <f t="shared" si="54"/>
        <v>7.1799243828304549E-2</v>
      </c>
      <c r="AD22" s="20">
        <f t="shared" si="54"/>
        <v>7.7466863033873345E-2</v>
      </c>
      <c r="AE22" s="23">
        <f t="shared" si="54"/>
        <v>6.766486663393885E-2</v>
      </c>
      <c r="AF22" s="20">
        <f t="shared" si="54"/>
        <v>7.2069315073733459E-2</v>
      </c>
      <c r="AG22" s="20">
        <f t="shared" si="54"/>
        <v>7.291264293859151E-2</v>
      </c>
      <c r="AH22" s="20">
        <f t="shared" si="54"/>
        <v>7.4089379494207311E-2</v>
      </c>
      <c r="AI22" s="20">
        <f t="shared" si="54"/>
        <v>7.5184018150594348E-2</v>
      </c>
      <c r="AJ22" s="20">
        <f t="shared" si="54"/>
        <v>7.620228666816363E-2</v>
      </c>
      <c r="AK22" s="20">
        <f t="shared" si="54"/>
        <v>7.7149513196135056E-2</v>
      </c>
      <c r="AL22" s="20">
        <f t="shared" si="54"/>
        <v>7.8030654152387524E-2</v>
      </c>
      <c r="AM22" s="20">
        <f t="shared" si="54"/>
        <v>7.8850320158203688E-2</v>
      </c>
      <c r="AN22" s="20">
        <f t="shared" si="54"/>
        <v>7.9612800163614064E-2</v>
      </c>
      <c r="AO22" s="20">
        <f t="shared" si="54"/>
        <v>8.0322083889577275E-2</v>
      </c>
      <c r="AQ22" s="27" t="s">
        <v>101</v>
      </c>
      <c r="AR22" s="29">
        <f>NPV(AR20,AE17:DQ17)</f>
        <v>27069.332628928463</v>
      </c>
    </row>
    <row r="23" spans="3:121" x14ac:dyDescent="0.25">
      <c r="C23" s="2" t="s">
        <v>30</v>
      </c>
      <c r="D23" s="20">
        <f t="shared" ref="D23:P23" si="55">D13/D4</f>
        <v>5.5731922398589068E-2</v>
      </c>
      <c r="E23" s="20">
        <f t="shared" si="55"/>
        <v>5.6066945606694563E-2</v>
      </c>
      <c r="F23" s="20">
        <f t="shared" si="55"/>
        <v>4.9830124575311441E-2</v>
      </c>
      <c r="G23" s="20">
        <f t="shared" si="55"/>
        <v>7.9739748827356641E-2</v>
      </c>
      <c r="H23" s="20">
        <f t="shared" si="55"/>
        <v>9.3406593406593408E-2</v>
      </c>
      <c r="I23" s="20">
        <f t="shared" si="55"/>
        <v>5.284612025040035E-2</v>
      </c>
      <c r="J23" s="20">
        <f t="shared" si="55"/>
        <v>4.4561808879353029E-2</v>
      </c>
      <c r="K23" s="20">
        <f t="shared" si="55"/>
        <v>7.2319551506657323E-2</v>
      </c>
      <c r="L23" s="20">
        <f t="shared" si="55"/>
        <v>7.8508199100275719E-2</v>
      </c>
      <c r="M23" s="20">
        <f t="shared" si="55"/>
        <v>7.5371992768738696E-2</v>
      </c>
      <c r="N23" s="20">
        <f t="shared" si="55"/>
        <v>5.2561321541798767E-2</v>
      </c>
      <c r="O23" s="20">
        <f t="shared" si="55"/>
        <v>7.6781933662667612E-2</v>
      </c>
      <c r="P23" s="20">
        <f t="shared" si="55"/>
        <v>6.1638761297970072E-2</v>
      </c>
      <c r="Q23" s="23">
        <f t="shared" ref="Q23" si="56">Q13/Q4</f>
        <v>4.5999400659274797E-2</v>
      </c>
      <c r="U23" s="20">
        <f t="shared" ref="U23:X23" si="57">U13/U4</f>
        <v>8.5169018373769154E-2</v>
      </c>
      <c r="V23" s="20">
        <f t="shared" si="57"/>
        <v>8.717253839205058E-2</v>
      </c>
      <c r="W23" s="20">
        <f t="shared" si="57"/>
        <v>8.1608468952441143E-2</v>
      </c>
      <c r="X23" s="20">
        <f t="shared" si="57"/>
        <v>8.6082289803220038E-2</v>
      </c>
      <c r="Y23" s="20">
        <f t="shared" ref="Y23:AE23" si="58">Y13/Y4</f>
        <v>6.452101859337106E-2</v>
      </c>
      <c r="Z23" s="20">
        <f t="shared" si="58"/>
        <v>7.6667895318835236E-2</v>
      </c>
      <c r="AA23" s="20">
        <f t="shared" si="58"/>
        <v>7.5756068444090732E-2</v>
      </c>
      <c r="AB23" s="20">
        <f t="shared" si="58"/>
        <v>6.1268682065217392E-2</v>
      </c>
      <c r="AC23" s="20">
        <f t="shared" si="58"/>
        <v>6.5905552672547996E-2</v>
      </c>
      <c r="AD23" s="20">
        <f t="shared" si="58"/>
        <v>7.1428571428571425E-2</v>
      </c>
      <c r="AE23" s="23">
        <f t="shared" si="58"/>
        <v>6.2086252807902344E-2</v>
      </c>
      <c r="AF23" s="20">
        <f t="shared" ref="AF23:AO23" si="59">AF13/AF4</f>
        <v>6.6490701247696959E-2</v>
      </c>
      <c r="AG23" s="20">
        <f t="shared" si="59"/>
        <v>6.7068380835124689E-2</v>
      </c>
      <c r="AH23" s="20">
        <f t="shared" si="59"/>
        <v>6.8109204318566846E-2</v>
      </c>
      <c r="AI23" s="20">
        <f t="shared" si="59"/>
        <v>6.9064769133659915E-2</v>
      </c>
      <c r="AJ23" s="20">
        <f t="shared" si="59"/>
        <v>6.9940729534556309E-2</v>
      </c>
      <c r="AK23" s="20">
        <f t="shared" si="59"/>
        <v>7.0742338454769418E-2</v>
      </c>
      <c r="AL23" s="20">
        <f t="shared" si="59"/>
        <v>7.1474475347269195E-2</v>
      </c>
      <c r="AM23" s="20">
        <f t="shared" si="59"/>
        <v>7.2141672078547728E-2</v>
      </c>
      <c r="AN23" s="20">
        <f t="shared" si="59"/>
        <v>7.274813701233819E-2</v>
      </c>
      <c r="AO23" s="20">
        <f t="shared" si="59"/>
        <v>7.3297777409201972E-2</v>
      </c>
      <c r="AQ23" s="2" t="s">
        <v>2</v>
      </c>
      <c r="AR23" s="9">
        <v>113.251741</v>
      </c>
    </row>
    <row r="24" spans="3:121" x14ac:dyDescent="0.25">
      <c r="C24" s="2" t="s">
        <v>133</v>
      </c>
      <c r="D24" s="10">
        <v>0.74299999999999999</v>
      </c>
      <c r="E24" s="10">
        <v>0.75800000000000001</v>
      </c>
      <c r="F24" s="10">
        <v>0.74099999999999999</v>
      </c>
      <c r="G24" s="10">
        <v>0.74399999999999999</v>
      </c>
      <c r="H24" s="10">
        <v>0.73299999999999998</v>
      </c>
      <c r="I24" s="10">
        <v>0.74199999999999999</v>
      </c>
      <c r="J24" s="10">
        <v>0.72899999999999998</v>
      </c>
      <c r="K24" s="10">
        <v>0.73599999999999999</v>
      </c>
      <c r="L24" s="10">
        <v>0.72599999999999998</v>
      </c>
      <c r="M24" s="10">
        <v>0.73399999999999999</v>
      </c>
      <c r="N24" s="10">
        <v>0.72199999999999998</v>
      </c>
      <c r="O24" s="10">
        <v>0.72299999999999998</v>
      </c>
      <c r="P24" s="10">
        <v>0.71099999999999997</v>
      </c>
      <c r="Q24" s="43">
        <v>0.72599999999999998</v>
      </c>
      <c r="U24" s="20">
        <v>0.76900000000000002</v>
      </c>
      <c r="V24" s="20">
        <v>0.77600000000000002</v>
      </c>
      <c r="W24" s="20">
        <v>0.77600000000000002</v>
      </c>
      <c r="X24" s="20">
        <v>0.77200000000000002</v>
      </c>
      <c r="Y24" s="20">
        <v>0.75800000000000001</v>
      </c>
      <c r="Z24" s="20">
        <v>0.75600000000000001</v>
      </c>
      <c r="AA24" s="20">
        <v>0.747</v>
      </c>
      <c r="AB24" s="20">
        <v>0.747</v>
      </c>
      <c r="AC24" s="20">
        <v>0.73499999999999999</v>
      </c>
      <c r="AD24" s="20">
        <v>0.72699999999999998</v>
      </c>
      <c r="AE24" s="23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Q24" s="2" t="s">
        <v>102</v>
      </c>
      <c r="AR24" s="30">
        <f>AR22/AR23</f>
        <v>239.01913021300453</v>
      </c>
    </row>
    <row r="25" spans="3:121" x14ac:dyDescent="0.25">
      <c r="C25" s="2" t="s">
        <v>132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3"/>
      <c r="R25" s="20"/>
      <c r="S25" s="20"/>
      <c r="T25" s="20"/>
      <c r="U25" s="20">
        <v>0.14799999999999999</v>
      </c>
      <c r="V25" s="20">
        <v>0.159</v>
      </c>
      <c r="W25" s="20">
        <v>0.154</v>
      </c>
      <c r="X25" s="20">
        <v>0.161</v>
      </c>
      <c r="Y25" s="20">
        <v>0.106</v>
      </c>
      <c r="Z25" s="20">
        <v>9.5000000000000001E-2</v>
      </c>
      <c r="AA25" s="20">
        <v>0.108</v>
      </c>
      <c r="AB25" s="20">
        <v>8.5000000000000006E-2</v>
      </c>
      <c r="AC25" s="20">
        <v>8.7999999999999995E-2</v>
      </c>
      <c r="AD25" s="20">
        <v>9.6000000000000002E-2</v>
      </c>
      <c r="AE25" s="23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Q25" s="1" t="s">
        <v>103</v>
      </c>
      <c r="AR25" s="21">
        <f>(AR24-B4)/B4</f>
        <v>0.59558831917893529</v>
      </c>
    </row>
    <row r="27" spans="3:121" x14ac:dyDescent="0.25">
      <c r="C27" s="3" t="s">
        <v>109</v>
      </c>
    </row>
    <row r="28" spans="3:121" x14ac:dyDescent="0.25">
      <c r="C28" s="2" t="s">
        <v>56</v>
      </c>
      <c r="D28" s="14">
        <v>14852</v>
      </c>
      <c r="E28" s="14">
        <v>15221</v>
      </c>
      <c r="F28" s="14">
        <v>15481</v>
      </c>
      <c r="G28" s="14">
        <v>15590</v>
      </c>
      <c r="H28" s="14">
        <v>15738</v>
      </c>
      <c r="I28" s="14">
        <v>16391</v>
      </c>
      <c r="J28" s="14">
        <v>16153</v>
      </c>
      <c r="K28" s="14">
        <v>15760</v>
      </c>
      <c r="L28" s="14">
        <v>16107</v>
      </c>
      <c r="M28" s="14">
        <v>15957</v>
      </c>
      <c r="N28" s="14">
        <v>15827</v>
      </c>
      <c r="O28" s="14">
        <v>15926</v>
      </c>
      <c r="P28" s="14">
        <v>15344</v>
      </c>
      <c r="Q28" s="15">
        <v>15344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3:121" x14ac:dyDescent="0.25">
      <c r="C29" s="2" t="s">
        <v>57</v>
      </c>
      <c r="D29" s="14">
        <v>500</v>
      </c>
      <c r="E29" s="14">
        <v>338</v>
      </c>
      <c r="F29" s="14">
        <v>346</v>
      </c>
      <c r="G29" s="14">
        <v>355</v>
      </c>
      <c r="H29" s="14">
        <v>363</v>
      </c>
      <c r="I29" s="14">
        <v>387</v>
      </c>
      <c r="J29" s="14">
        <v>386</v>
      </c>
      <c r="K29" s="14">
        <v>382</v>
      </c>
      <c r="L29" s="14">
        <v>379</v>
      </c>
      <c r="M29" s="14">
        <v>386</v>
      </c>
      <c r="N29" s="14">
        <v>368</v>
      </c>
      <c r="O29" s="14">
        <v>363</v>
      </c>
      <c r="P29" s="14">
        <v>342</v>
      </c>
      <c r="Q29" s="15">
        <v>333</v>
      </c>
    </row>
    <row r="30" spans="3:121" x14ac:dyDescent="0.25">
      <c r="C30" s="2" t="s">
        <v>58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2">
        <v>0</v>
      </c>
      <c r="J30" s="14">
        <v>0</v>
      </c>
      <c r="K30" s="14">
        <v>0</v>
      </c>
      <c r="L30" s="14">
        <v>1569</v>
      </c>
      <c r="M30" s="14">
        <v>0</v>
      </c>
      <c r="N30" s="14">
        <v>0</v>
      </c>
      <c r="O30" s="2">
        <v>0</v>
      </c>
      <c r="P30" s="14">
        <v>1423</v>
      </c>
      <c r="Q30" s="15">
        <v>1321</v>
      </c>
    </row>
    <row r="31" spans="3:121" x14ac:dyDescent="0.25">
      <c r="C31" s="2" t="s">
        <v>59</v>
      </c>
      <c r="D31" s="14">
        <v>2217</v>
      </c>
      <c r="E31" s="14">
        <v>2221</v>
      </c>
      <c r="F31" s="14">
        <v>2258</v>
      </c>
      <c r="G31" s="14">
        <v>2272</v>
      </c>
      <c r="H31" s="14">
        <v>2258</v>
      </c>
      <c r="I31" s="14">
        <v>2176</v>
      </c>
      <c r="J31" s="14">
        <v>2064</v>
      </c>
      <c r="K31" s="14">
        <v>2020</v>
      </c>
      <c r="L31" s="14">
        <v>345</v>
      </c>
      <c r="M31" s="14">
        <v>1874</v>
      </c>
      <c r="N31" s="14">
        <v>1952</v>
      </c>
      <c r="O31" s="14">
        <v>1768</v>
      </c>
      <c r="P31" s="14">
        <v>362</v>
      </c>
      <c r="Q31" s="15">
        <v>404</v>
      </c>
    </row>
    <row r="32" spans="3:121" x14ac:dyDescent="0.25">
      <c r="C32" s="2" t="s">
        <v>60</v>
      </c>
      <c r="D32" s="14">
        <v>7290</v>
      </c>
      <c r="E32" s="14">
        <v>7950</v>
      </c>
      <c r="F32" s="14">
        <v>8024</v>
      </c>
      <c r="G32" s="14">
        <v>8690</v>
      </c>
      <c r="H32" s="14">
        <v>8890</v>
      </c>
      <c r="I32" s="14">
        <v>9472</v>
      </c>
      <c r="J32" s="14">
        <v>8842</v>
      </c>
      <c r="K32" s="14">
        <v>8843</v>
      </c>
      <c r="L32" s="14">
        <v>4974</v>
      </c>
      <c r="M32" s="14">
        <v>9472</v>
      </c>
      <c r="N32" s="14">
        <v>9071</v>
      </c>
      <c r="O32" s="14">
        <v>8977</v>
      </c>
      <c r="P32" s="14">
        <v>4116</v>
      </c>
      <c r="Q32" s="15">
        <v>4528</v>
      </c>
    </row>
    <row r="33" spans="3:17" x14ac:dyDescent="0.25">
      <c r="C33" s="2" t="s">
        <v>61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2998</v>
      </c>
      <c r="M33" s="14">
        <v>0</v>
      </c>
      <c r="N33" s="14">
        <v>0</v>
      </c>
      <c r="O33" s="2">
        <v>0</v>
      </c>
      <c r="P33" s="14">
        <v>3342</v>
      </c>
      <c r="Q33" s="15">
        <v>3307</v>
      </c>
    </row>
    <row r="34" spans="3:17" x14ac:dyDescent="0.25">
      <c r="C34" s="2" t="s">
        <v>62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1237</v>
      </c>
      <c r="M34" s="14">
        <v>0</v>
      </c>
      <c r="N34" s="14">
        <v>0</v>
      </c>
      <c r="O34" s="14">
        <v>0</v>
      </c>
      <c r="P34" s="14">
        <v>1113</v>
      </c>
      <c r="Q34" s="15">
        <v>1196</v>
      </c>
    </row>
    <row r="35" spans="3:17" x14ac:dyDescent="0.25">
      <c r="C35" s="2" t="s">
        <v>63</v>
      </c>
      <c r="D35" s="14">
        <v>902</v>
      </c>
      <c r="E35" s="14">
        <v>1187</v>
      </c>
      <c r="F35" s="14">
        <v>862</v>
      </c>
      <c r="G35" s="14">
        <v>1088</v>
      </c>
      <c r="H35" s="14">
        <v>1162</v>
      </c>
      <c r="I35" s="14">
        <v>827</v>
      </c>
      <c r="J35" s="14">
        <v>853</v>
      </c>
      <c r="K35" s="14">
        <v>1167</v>
      </c>
      <c r="L35" s="14">
        <v>1563</v>
      </c>
      <c r="M35" s="14">
        <v>827</v>
      </c>
      <c r="N35" s="14">
        <v>863</v>
      </c>
      <c r="O35" s="14">
        <v>1270</v>
      </c>
      <c r="P35" s="14">
        <v>884</v>
      </c>
      <c r="Q35" s="15">
        <v>761</v>
      </c>
    </row>
    <row r="36" spans="3:17" x14ac:dyDescent="0.25">
      <c r="C36" s="1" t="s">
        <v>64</v>
      </c>
      <c r="D36" s="12">
        <f t="shared" ref="D36:N36" si="60">SUM(D28:D35)</f>
        <v>25761</v>
      </c>
      <c r="E36" s="12">
        <f t="shared" si="60"/>
        <v>26917</v>
      </c>
      <c r="F36" s="12">
        <f t="shared" si="60"/>
        <v>26971</v>
      </c>
      <c r="G36" s="12">
        <f t="shared" si="60"/>
        <v>27995</v>
      </c>
      <c r="H36" s="12">
        <f t="shared" si="60"/>
        <v>28411</v>
      </c>
      <c r="I36" s="12">
        <f t="shared" si="60"/>
        <v>29253</v>
      </c>
      <c r="J36" s="12">
        <f t="shared" si="60"/>
        <v>28298</v>
      </c>
      <c r="K36" s="12">
        <f t="shared" si="60"/>
        <v>28172</v>
      </c>
      <c r="L36" s="12">
        <f t="shared" si="60"/>
        <v>29172</v>
      </c>
      <c r="M36" s="12">
        <f t="shared" si="60"/>
        <v>28516</v>
      </c>
      <c r="N36" s="12">
        <f t="shared" si="60"/>
        <v>28081</v>
      </c>
      <c r="O36" s="12">
        <f>SUM(O28:O35)</f>
        <v>28304</v>
      </c>
      <c r="P36" s="12">
        <f>SUM(P28:P35)</f>
        <v>26926</v>
      </c>
      <c r="Q36" s="13">
        <f>SUM(Q28:Q35)</f>
        <v>27194</v>
      </c>
    </row>
    <row r="37" spans="3:17" x14ac:dyDescent="0.25">
      <c r="C37" s="2" t="s">
        <v>65</v>
      </c>
      <c r="D37" s="14">
        <v>11419</v>
      </c>
      <c r="E37" s="14">
        <v>11317</v>
      </c>
      <c r="F37" s="14">
        <v>11701</v>
      </c>
      <c r="G37" s="14">
        <v>12176</v>
      </c>
      <c r="H37" s="14">
        <v>12600</v>
      </c>
      <c r="I37" s="14">
        <v>12550</v>
      </c>
      <c r="J37" s="14">
        <v>12535</v>
      </c>
      <c r="K37" s="14">
        <v>12454</v>
      </c>
      <c r="L37" s="14">
        <v>13025</v>
      </c>
      <c r="M37" s="14">
        <v>12678</v>
      </c>
      <c r="N37" s="14">
        <v>12665</v>
      </c>
      <c r="O37" s="14">
        <v>13128</v>
      </c>
      <c r="P37" s="14">
        <v>12884</v>
      </c>
      <c r="Q37" s="15">
        <v>12534</v>
      </c>
    </row>
    <row r="38" spans="3:17" x14ac:dyDescent="0.25">
      <c r="C38" s="2" t="s">
        <v>66</v>
      </c>
      <c r="D38" s="14">
        <v>1</v>
      </c>
      <c r="E38" s="14">
        <v>1</v>
      </c>
      <c r="F38" s="14">
        <v>1</v>
      </c>
      <c r="G38" s="14">
        <v>2</v>
      </c>
      <c r="H38" s="14">
        <v>2</v>
      </c>
      <c r="I38" s="14">
        <v>2</v>
      </c>
      <c r="J38" s="14">
        <v>2</v>
      </c>
      <c r="K38" s="14">
        <v>1</v>
      </c>
      <c r="L38" s="14">
        <v>1</v>
      </c>
      <c r="M38" s="14">
        <v>1</v>
      </c>
      <c r="N38" s="14">
        <v>0</v>
      </c>
      <c r="O38" s="14">
        <v>23</v>
      </c>
      <c r="P38" s="14">
        <v>24</v>
      </c>
      <c r="Q38" s="15">
        <v>25</v>
      </c>
    </row>
    <row r="39" spans="3:17" x14ac:dyDescent="0.25">
      <c r="C39" s="11" t="s">
        <v>67</v>
      </c>
      <c r="D39" s="16">
        <f t="shared" ref="D39:O39" si="61">SUM(D37:D38)</f>
        <v>11420</v>
      </c>
      <c r="E39" s="16">
        <f t="shared" si="61"/>
        <v>11318</v>
      </c>
      <c r="F39" s="16">
        <f t="shared" si="61"/>
        <v>11702</v>
      </c>
      <c r="G39" s="16">
        <f t="shared" si="61"/>
        <v>12178</v>
      </c>
      <c r="H39" s="16">
        <f t="shared" si="61"/>
        <v>12602</v>
      </c>
      <c r="I39" s="16">
        <f t="shared" si="61"/>
        <v>12552</v>
      </c>
      <c r="J39" s="16">
        <f t="shared" si="61"/>
        <v>12537</v>
      </c>
      <c r="K39" s="16">
        <f t="shared" si="61"/>
        <v>12455</v>
      </c>
      <c r="L39" s="16">
        <f t="shared" si="61"/>
        <v>13026</v>
      </c>
      <c r="M39" s="16">
        <f t="shared" si="61"/>
        <v>12679</v>
      </c>
      <c r="N39" s="16">
        <f t="shared" si="61"/>
        <v>12665</v>
      </c>
      <c r="O39" s="16">
        <f t="shared" si="61"/>
        <v>13151</v>
      </c>
      <c r="P39" s="16">
        <f>SUM(P37:P38)</f>
        <v>12908</v>
      </c>
      <c r="Q39" s="24">
        <f>SUM(Q37:Q38)</f>
        <v>12559</v>
      </c>
    </row>
    <row r="40" spans="3:17" x14ac:dyDescent="0.25">
      <c r="C40" s="2" t="s">
        <v>68</v>
      </c>
      <c r="D40" s="14">
        <v>5107</v>
      </c>
      <c r="E40" s="14">
        <v>6350</v>
      </c>
      <c r="F40" s="14">
        <v>6199</v>
      </c>
      <c r="G40" s="14">
        <v>6139</v>
      </c>
      <c r="H40" s="14">
        <v>5902</v>
      </c>
      <c r="I40" s="14">
        <v>5964</v>
      </c>
      <c r="J40" s="14">
        <v>5813</v>
      </c>
      <c r="K40" s="14">
        <v>6067</v>
      </c>
      <c r="L40" s="14">
        <v>5328</v>
      </c>
      <c r="M40" s="14">
        <v>6736</v>
      </c>
      <c r="N40" s="14">
        <v>6753</v>
      </c>
      <c r="O40" s="14">
        <v>6120</v>
      </c>
      <c r="P40" s="14">
        <v>5405</v>
      </c>
      <c r="Q40" s="15">
        <v>5223</v>
      </c>
    </row>
    <row r="41" spans="3:17" x14ac:dyDescent="0.25">
      <c r="C41" s="2" t="s">
        <v>69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1245</v>
      </c>
      <c r="M41" s="14">
        <v>0</v>
      </c>
      <c r="N41" s="14">
        <v>0</v>
      </c>
      <c r="O41" s="14">
        <v>0</v>
      </c>
      <c r="P41" s="14">
        <v>991</v>
      </c>
      <c r="Q41" s="15">
        <v>904</v>
      </c>
    </row>
    <row r="42" spans="3:17" x14ac:dyDescent="0.25">
      <c r="C42" s="2" t="s">
        <v>70</v>
      </c>
      <c r="D42" s="14">
        <v>667</v>
      </c>
      <c r="E42" s="14">
        <v>668</v>
      </c>
      <c r="F42" s="14">
        <v>619</v>
      </c>
      <c r="G42" s="14">
        <v>657</v>
      </c>
      <c r="H42" s="14">
        <v>646</v>
      </c>
      <c r="I42" s="14">
        <v>613</v>
      </c>
      <c r="J42" s="14">
        <v>591</v>
      </c>
      <c r="K42" s="14">
        <v>607</v>
      </c>
      <c r="L42" s="14">
        <v>624</v>
      </c>
      <c r="M42" s="14">
        <v>680</v>
      </c>
      <c r="N42" s="14">
        <v>663</v>
      </c>
      <c r="O42" s="14">
        <v>675</v>
      </c>
      <c r="P42" s="14">
        <v>580</v>
      </c>
      <c r="Q42" s="15">
        <v>599</v>
      </c>
    </row>
    <row r="43" spans="3:17" x14ac:dyDescent="0.25">
      <c r="C43" s="2" t="s">
        <v>71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34</v>
      </c>
      <c r="M43" s="14">
        <v>0</v>
      </c>
      <c r="N43" s="14">
        <v>0</v>
      </c>
      <c r="O43" s="14">
        <v>0</v>
      </c>
      <c r="P43" s="14">
        <v>13</v>
      </c>
      <c r="Q43" s="15">
        <v>14</v>
      </c>
    </row>
    <row r="44" spans="3:17" x14ac:dyDescent="0.25">
      <c r="C44" s="2" t="s">
        <v>68</v>
      </c>
      <c r="D44" s="14">
        <v>8458</v>
      </c>
      <c r="E44" s="14">
        <v>8495</v>
      </c>
      <c r="F44" s="14">
        <v>8384</v>
      </c>
      <c r="G44" s="14">
        <v>8975</v>
      </c>
      <c r="H44" s="14">
        <v>9224</v>
      </c>
      <c r="I44" s="14">
        <v>10334</v>
      </c>
      <c r="J44" s="14">
        <v>9304</v>
      </c>
      <c r="K44" s="14">
        <v>8982</v>
      </c>
      <c r="L44" s="14">
        <v>968</v>
      </c>
      <c r="M44" s="14">
        <v>8380</v>
      </c>
      <c r="N44" s="14">
        <v>7952</v>
      </c>
      <c r="O44" s="14">
        <v>8317</v>
      </c>
      <c r="P44" s="14">
        <v>0</v>
      </c>
      <c r="Q44" s="15">
        <v>525</v>
      </c>
    </row>
    <row r="45" spans="3:17" x14ac:dyDescent="0.25">
      <c r="C45" s="2" t="s">
        <v>69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603</v>
      </c>
      <c r="M45" s="14">
        <v>0</v>
      </c>
      <c r="N45" s="14">
        <v>0</v>
      </c>
      <c r="O45" s="14">
        <v>0</v>
      </c>
      <c r="P45" s="14">
        <v>576</v>
      </c>
      <c r="Q45" s="15">
        <v>556</v>
      </c>
    </row>
    <row r="46" spans="3:17" x14ac:dyDescent="0.25">
      <c r="C46" s="2" t="s">
        <v>72</v>
      </c>
      <c r="D46" s="14">
        <v>108</v>
      </c>
      <c r="E46" s="14">
        <v>85</v>
      </c>
      <c r="F46" s="14">
        <v>66</v>
      </c>
      <c r="G46" s="14">
        <v>45</v>
      </c>
      <c r="H46" s="14">
        <v>36</v>
      </c>
      <c r="I46" s="14">
        <v>48</v>
      </c>
      <c r="J46" s="14">
        <v>53</v>
      </c>
      <c r="K46" s="14">
        <v>61</v>
      </c>
      <c r="L46" s="14">
        <v>43</v>
      </c>
      <c r="M46" s="14">
        <v>40</v>
      </c>
      <c r="N46" s="14">
        <v>46</v>
      </c>
      <c r="O46" s="14">
        <v>41</v>
      </c>
      <c r="P46" s="14">
        <v>41</v>
      </c>
      <c r="Q46" s="15">
        <v>68</v>
      </c>
    </row>
    <row r="47" spans="3:17" x14ac:dyDescent="0.25">
      <c r="C47" s="2" t="s">
        <v>73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2098</v>
      </c>
      <c r="M47" s="14">
        <v>0</v>
      </c>
      <c r="N47" s="14">
        <v>0</v>
      </c>
      <c r="O47" s="14">
        <v>0</v>
      </c>
      <c r="P47" s="14">
        <v>1859</v>
      </c>
      <c r="Q47" s="15">
        <v>1986</v>
      </c>
    </row>
    <row r="48" spans="3:17" x14ac:dyDescent="0.25">
      <c r="C48" s="2" t="s">
        <v>74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1000</v>
      </c>
      <c r="M48" s="14">
        <v>0</v>
      </c>
      <c r="N48" s="14">
        <v>0</v>
      </c>
      <c r="O48" s="14">
        <v>0</v>
      </c>
      <c r="P48" s="14">
        <v>654</v>
      </c>
      <c r="Q48" s="15">
        <v>940</v>
      </c>
    </row>
    <row r="49" spans="3:30" x14ac:dyDescent="0.25">
      <c r="C49" s="2" t="s">
        <v>75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4203</v>
      </c>
      <c r="M49" s="14">
        <v>0</v>
      </c>
      <c r="N49" s="14">
        <v>0</v>
      </c>
      <c r="O49" s="14">
        <v>0</v>
      </c>
      <c r="P49" s="14">
        <v>3898</v>
      </c>
      <c r="Q49" s="15">
        <v>4020</v>
      </c>
    </row>
    <row r="50" spans="3:30" x14ac:dyDescent="0.25">
      <c r="C50" s="11" t="s">
        <v>76</v>
      </c>
      <c r="D50" s="16">
        <f t="shared" ref="D50:O50" si="62">SUM(D40:D49)</f>
        <v>14340</v>
      </c>
      <c r="E50" s="16">
        <f t="shared" si="62"/>
        <v>15598</v>
      </c>
      <c r="F50" s="16">
        <f t="shared" si="62"/>
        <v>15268</v>
      </c>
      <c r="G50" s="16">
        <f t="shared" si="62"/>
        <v>15816</v>
      </c>
      <c r="H50" s="16">
        <f t="shared" si="62"/>
        <v>15808</v>
      </c>
      <c r="I50" s="16">
        <f t="shared" si="62"/>
        <v>16959</v>
      </c>
      <c r="J50" s="16">
        <f t="shared" si="62"/>
        <v>15761</v>
      </c>
      <c r="K50" s="16">
        <f t="shared" si="62"/>
        <v>15717</v>
      </c>
      <c r="L50" s="16">
        <f t="shared" si="62"/>
        <v>16146</v>
      </c>
      <c r="M50" s="16">
        <f t="shared" si="62"/>
        <v>15836</v>
      </c>
      <c r="N50" s="16">
        <f t="shared" si="62"/>
        <v>15414</v>
      </c>
      <c r="O50" s="16">
        <f t="shared" si="62"/>
        <v>15153</v>
      </c>
      <c r="P50" s="16">
        <f>SUM(P40:P49)</f>
        <v>14017</v>
      </c>
      <c r="Q50" s="24">
        <f>SUM(Q40:Q49)</f>
        <v>14835</v>
      </c>
    </row>
    <row r="51" spans="3:30" x14ac:dyDescent="0.25">
      <c r="C51" s="1" t="s">
        <v>77</v>
      </c>
      <c r="D51" s="12">
        <f t="shared" ref="D51:O51" si="63">D39+D50</f>
        <v>25760</v>
      </c>
      <c r="E51" s="12">
        <f t="shared" si="63"/>
        <v>26916</v>
      </c>
      <c r="F51" s="12">
        <f t="shared" si="63"/>
        <v>26970</v>
      </c>
      <c r="G51" s="12">
        <f t="shared" si="63"/>
        <v>27994</v>
      </c>
      <c r="H51" s="12">
        <f t="shared" si="63"/>
        <v>28410</v>
      </c>
      <c r="I51" s="12">
        <f t="shared" si="63"/>
        <v>29511</v>
      </c>
      <c r="J51" s="12">
        <f t="shared" si="63"/>
        <v>28298</v>
      </c>
      <c r="K51" s="12">
        <f t="shared" si="63"/>
        <v>28172</v>
      </c>
      <c r="L51" s="12">
        <f t="shared" si="63"/>
        <v>29172</v>
      </c>
      <c r="M51" s="12">
        <f t="shared" si="63"/>
        <v>28515</v>
      </c>
      <c r="N51" s="12">
        <f t="shared" si="63"/>
        <v>28079</v>
      </c>
      <c r="O51" s="12">
        <f t="shared" si="63"/>
        <v>28304</v>
      </c>
      <c r="P51" s="12">
        <f>P39+P50</f>
        <v>26925</v>
      </c>
      <c r="Q51" s="13">
        <f>Q39+Q50</f>
        <v>27394</v>
      </c>
    </row>
    <row r="52" spans="3:30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</row>
    <row r="53" spans="3:30" x14ac:dyDescent="0.25">
      <c r="C53" s="3" t="s">
        <v>110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3:30" x14ac:dyDescent="0.25">
      <c r="C54" s="2" t="s">
        <v>78</v>
      </c>
      <c r="D54" s="14">
        <f t="shared" ref="D54:Q54" si="64">D15</f>
        <v>289</v>
      </c>
      <c r="E54" s="14">
        <f t="shared" si="64"/>
        <v>237</v>
      </c>
      <c r="F54" s="14">
        <f t="shared" si="64"/>
        <v>217</v>
      </c>
      <c r="G54" s="14">
        <f t="shared" si="64"/>
        <v>475</v>
      </c>
      <c r="H54" s="14">
        <f t="shared" si="64"/>
        <v>569</v>
      </c>
      <c r="I54" s="14">
        <f t="shared" si="64"/>
        <v>287</v>
      </c>
      <c r="J54" s="14">
        <f t="shared" si="64"/>
        <v>196</v>
      </c>
      <c r="K54" s="14">
        <f t="shared" si="64"/>
        <v>447</v>
      </c>
      <c r="L54" s="14">
        <f t="shared" si="64"/>
        <v>472</v>
      </c>
      <c r="M54" s="14">
        <f t="shared" si="64"/>
        <v>474</v>
      </c>
      <c r="N54" s="14">
        <f t="shared" si="64"/>
        <v>204</v>
      </c>
      <c r="O54" s="14">
        <f t="shared" si="64"/>
        <v>488</v>
      </c>
      <c r="P54" s="14">
        <f t="shared" si="64"/>
        <v>335</v>
      </c>
      <c r="Q54" s="15">
        <f t="shared" si="64"/>
        <v>225</v>
      </c>
      <c r="Y54" s="14">
        <f t="shared" ref="Y54:AD54" si="65">Y15</f>
        <v>1040</v>
      </c>
      <c r="Z54" s="14">
        <f t="shared" si="65"/>
        <v>1271</v>
      </c>
      <c r="AA54" s="14">
        <f t="shared" si="65"/>
        <v>1394</v>
      </c>
      <c r="AB54" s="14">
        <f t="shared" si="65"/>
        <v>1219</v>
      </c>
      <c r="AC54" s="14">
        <f t="shared" si="65"/>
        <v>1441</v>
      </c>
      <c r="AD54" s="14">
        <f t="shared" si="65"/>
        <v>1635</v>
      </c>
    </row>
    <row r="55" spans="3:30" x14ac:dyDescent="0.25">
      <c r="C55" s="2" t="s">
        <v>79</v>
      </c>
      <c r="D55" s="14">
        <v>290</v>
      </c>
      <c r="E55" s="14">
        <v>237</v>
      </c>
      <c r="F55" s="14">
        <v>218</v>
      </c>
      <c r="G55" s="14">
        <v>475</v>
      </c>
      <c r="H55" s="14">
        <v>568</v>
      </c>
      <c r="I55" s="14">
        <v>287</v>
      </c>
      <c r="J55" s="14">
        <v>196</v>
      </c>
      <c r="K55" s="14">
        <v>391</v>
      </c>
      <c r="L55" s="14">
        <v>471</v>
      </c>
      <c r="M55" s="14">
        <v>474</v>
      </c>
      <c r="N55" s="14">
        <v>204</v>
      </c>
      <c r="O55" s="14">
        <v>487</v>
      </c>
      <c r="P55" s="14">
        <v>335</v>
      </c>
      <c r="Q55" s="15">
        <v>226</v>
      </c>
      <c r="Y55" s="14">
        <v>1039</v>
      </c>
      <c r="Z55" s="14">
        <v>1270</v>
      </c>
      <c r="AA55" s="14">
        <v>1393</v>
      </c>
      <c r="AB55" s="14">
        <v>1220</v>
      </c>
      <c r="AC55" s="14">
        <v>1441</v>
      </c>
      <c r="AD55" s="14">
        <v>1635</v>
      </c>
    </row>
    <row r="56" spans="3:30" x14ac:dyDescent="0.25">
      <c r="C56" s="2" t="s">
        <v>80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219</v>
      </c>
      <c r="M56" s="14">
        <v>0</v>
      </c>
      <c r="N56" s="14">
        <v>0</v>
      </c>
      <c r="O56" s="14">
        <v>0</v>
      </c>
      <c r="P56" s="14">
        <v>215</v>
      </c>
      <c r="Q56" s="15">
        <v>208</v>
      </c>
      <c r="Y56" s="14">
        <v>0</v>
      </c>
      <c r="Z56" s="14">
        <v>0</v>
      </c>
      <c r="AA56" s="14">
        <v>0</v>
      </c>
      <c r="AB56" s="14">
        <v>0</v>
      </c>
      <c r="AC56" s="14">
        <v>958</v>
      </c>
      <c r="AD56" s="14">
        <v>914</v>
      </c>
    </row>
    <row r="57" spans="3:30" x14ac:dyDescent="0.25">
      <c r="C57" s="2" t="s">
        <v>81</v>
      </c>
      <c r="D57" s="14">
        <v>351</v>
      </c>
      <c r="E57" s="14">
        <v>392</v>
      </c>
      <c r="F57" s="14">
        <v>212</v>
      </c>
      <c r="G57" s="14">
        <v>50</v>
      </c>
      <c r="H57" s="14">
        <v>215</v>
      </c>
      <c r="I57" s="14">
        <v>364</v>
      </c>
      <c r="J57" s="14">
        <v>267</v>
      </c>
      <c r="K57" s="14">
        <v>195</v>
      </c>
      <c r="L57" s="14">
        <v>-20</v>
      </c>
      <c r="M57" s="14">
        <v>103</v>
      </c>
      <c r="N57" s="14">
        <v>273</v>
      </c>
      <c r="O57" s="14">
        <v>363</v>
      </c>
      <c r="P57" s="14">
        <v>14</v>
      </c>
      <c r="Q57" s="15">
        <v>11</v>
      </c>
      <c r="Y57" s="14">
        <v>880</v>
      </c>
      <c r="Z57" s="14">
        <v>460</v>
      </c>
      <c r="AA57" s="14">
        <v>874</v>
      </c>
      <c r="AB57" s="14">
        <v>1005</v>
      </c>
      <c r="AC57" s="14">
        <v>82</v>
      </c>
      <c r="AD57" s="14">
        <v>25</v>
      </c>
    </row>
    <row r="58" spans="3:30" x14ac:dyDescent="0.25">
      <c r="C58" s="2" t="s">
        <v>82</v>
      </c>
      <c r="D58" s="14">
        <v>-142</v>
      </c>
      <c r="E58" s="14">
        <v>-79</v>
      </c>
      <c r="F58" s="14">
        <v>-20</v>
      </c>
      <c r="G58" s="14">
        <v>-145</v>
      </c>
      <c r="H58" s="14">
        <v>-120</v>
      </c>
      <c r="I58" s="14">
        <v>-136</v>
      </c>
      <c r="J58" s="14">
        <v>-37</v>
      </c>
      <c r="K58" s="14">
        <v>-140</v>
      </c>
      <c r="L58" s="14">
        <v>-85</v>
      </c>
      <c r="M58" s="14">
        <v>-97</v>
      </c>
      <c r="N58" s="14">
        <v>-110</v>
      </c>
      <c r="O58" s="14">
        <v>-87</v>
      </c>
      <c r="P58" s="14">
        <v>-98</v>
      </c>
      <c r="Q58" s="15">
        <v>-95</v>
      </c>
      <c r="Y58" s="14">
        <v>-284</v>
      </c>
      <c r="Z58" s="14">
        <v>-163</v>
      </c>
      <c r="AA58" s="14">
        <v>-229</v>
      </c>
      <c r="AB58" s="14">
        <v>-385</v>
      </c>
      <c r="AC58" s="14">
        <v>-433</v>
      </c>
      <c r="AD58" s="14">
        <v>-379</v>
      </c>
    </row>
    <row r="59" spans="3:30" x14ac:dyDescent="0.25">
      <c r="C59" s="2" t="s">
        <v>83</v>
      </c>
      <c r="D59" s="14">
        <v>-235</v>
      </c>
      <c r="E59" s="14">
        <v>-260</v>
      </c>
      <c r="F59" s="14">
        <v>-323</v>
      </c>
      <c r="G59" s="14">
        <v>21</v>
      </c>
      <c r="H59" s="14">
        <v>-609</v>
      </c>
      <c r="I59" s="14">
        <v>-11</v>
      </c>
      <c r="J59" s="14">
        <v>-148</v>
      </c>
      <c r="K59" s="14">
        <v>512</v>
      </c>
      <c r="L59" s="14">
        <v>-477</v>
      </c>
      <c r="M59" s="14">
        <v>-59</v>
      </c>
      <c r="N59" s="14">
        <v>-205</v>
      </c>
      <c r="O59" s="14">
        <v>540</v>
      </c>
      <c r="P59" s="14">
        <v>-348</v>
      </c>
      <c r="Q59" s="15">
        <v>4</v>
      </c>
      <c r="Y59" s="14">
        <f>99+259</f>
        <v>358</v>
      </c>
      <c r="Z59" s="14">
        <f>445+73</f>
        <v>518</v>
      </c>
      <c r="AA59" s="14">
        <f>-980+440</f>
        <v>-540</v>
      </c>
      <c r="AB59" s="14">
        <f>-996+198</f>
        <v>-798</v>
      </c>
      <c r="AC59" s="14">
        <f>-325+70</f>
        <v>-255</v>
      </c>
      <c r="AD59" s="14">
        <f>-115-86</f>
        <v>-201</v>
      </c>
    </row>
    <row r="60" spans="3:30" x14ac:dyDescent="0.25">
      <c r="C60" s="1" t="s">
        <v>84</v>
      </c>
      <c r="D60" s="12">
        <f t="shared" ref="D60:O60" si="66">SUM(D55:D59)</f>
        <v>264</v>
      </c>
      <c r="E60" s="12">
        <f t="shared" si="66"/>
        <v>290</v>
      </c>
      <c r="F60" s="12">
        <f t="shared" si="66"/>
        <v>87</v>
      </c>
      <c r="G60" s="12">
        <f t="shared" si="66"/>
        <v>401</v>
      </c>
      <c r="H60" s="12">
        <f t="shared" si="66"/>
        <v>54</v>
      </c>
      <c r="I60" s="12">
        <f t="shared" si="66"/>
        <v>504</v>
      </c>
      <c r="J60" s="12">
        <f t="shared" si="66"/>
        <v>278</v>
      </c>
      <c r="K60" s="12">
        <f t="shared" si="66"/>
        <v>958</v>
      </c>
      <c r="L60" s="12">
        <f t="shared" si="66"/>
        <v>108</v>
      </c>
      <c r="M60" s="12">
        <f t="shared" si="66"/>
        <v>421</v>
      </c>
      <c r="N60" s="12">
        <f t="shared" si="66"/>
        <v>162</v>
      </c>
      <c r="O60" s="12">
        <f t="shared" si="66"/>
        <v>1303</v>
      </c>
      <c r="P60" s="12">
        <f>SUM(P55:P59)</f>
        <v>118</v>
      </c>
      <c r="Q60" s="13">
        <f>SUM(Q55:Q59)</f>
        <v>354</v>
      </c>
      <c r="Y60" s="12">
        <f t="shared" ref="Y60:AC60" si="67">SUM(Y55:Y59)</f>
        <v>1993</v>
      </c>
      <c r="Z60" s="12">
        <f t="shared" si="67"/>
        <v>2085</v>
      </c>
      <c r="AA60" s="12">
        <f t="shared" si="67"/>
        <v>1498</v>
      </c>
      <c r="AB60" s="12">
        <f t="shared" si="67"/>
        <v>1042</v>
      </c>
      <c r="AC60" s="12">
        <f t="shared" si="67"/>
        <v>1793</v>
      </c>
      <c r="AD60" s="12">
        <f>SUM(AD55:AD59)</f>
        <v>1994</v>
      </c>
    </row>
    <row r="61" spans="3:30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Y61" s="14"/>
      <c r="Z61" s="14"/>
      <c r="AA61" s="14"/>
      <c r="AB61" s="14"/>
      <c r="AC61" s="14"/>
      <c r="AD61" s="14"/>
    </row>
    <row r="62" spans="3:30" x14ac:dyDescent="0.25">
      <c r="C62" s="2" t="s">
        <v>85</v>
      </c>
      <c r="D62" s="14">
        <v>-720</v>
      </c>
      <c r="E62" s="14">
        <v>-28</v>
      </c>
      <c r="F62" s="14">
        <v>-117</v>
      </c>
      <c r="G62" s="14">
        <v>-8</v>
      </c>
      <c r="H62" s="14">
        <v>-168</v>
      </c>
      <c r="I62" s="14">
        <v>-381</v>
      </c>
      <c r="J62" s="14">
        <v>-68</v>
      </c>
      <c r="K62" s="14">
        <v>-139</v>
      </c>
      <c r="L62" s="14">
        <f>-84-29</f>
        <v>-113</v>
      </c>
      <c r="M62" s="14">
        <v>-133</v>
      </c>
      <c r="N62" s="14">
        <v>-46</v>
      </c>
      <c r="O62" s="14">
        <v>-103</v>
      </c>
      <c r="P62" s="14">
        <f>-8-20</f>
        <v>-28</v>
      </c>
      <c r="Q62" s="15">
        <v>-32</v>
      </c>
      <c r="Y62" s="14">
        <f>-136+7-67-4891+1-310-106</f>
        <v>-5502</v>
      </c>
      <c r="Z62" s="14">
        <f>-81+8-101-41-5-108-18+1</f>
        <v>-345</v>
      </c>
      <c r="AA62" s="14">
        <f>-87+44-27+1-955-204+15</f>
        <v>-1213</v>
      </c>
      <c r="AB62" s="14">
        <f>-112+105-39-813+41-44-11</f>
        <v>-873</v>
      </c>
      <c r="AC62" s="14">
        <f>-147+3-29-357-107-111-9</f>
        <v>-757</v>
      </c>
      <c r="AD62" s="14">
        <f>-107+9-26-86-13-101-60</f>
        <v>-384</v>
      </c>
    </row>
    <row r="63" spans="3:30" x14ac:dyDescent="0.25">
      <c r="C63" s="2" t="s">
        <v>86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10</v>
      </c>
      <c r="M63" s="14">
        <v>0</v>
      </c>
      <c r="N63" s="14">
        <v>0</v>
      </c>
      <c r="O63" s="14">
        <v>0</v>
      </c>
      <c r="P63" s="14">
        <v>0</v>
      </c>
      <c r="Q63" s="15">
        <v>11</v>
      </c>
      <c r="R63" s="1"/>
      <c r="S63" s="1"/>
      <c r="T63" s="1"/>
      <c r="U63" s="1"/>
      <c r="V63" s="1"/>
      <c r="W63" s="1"/>
      <c r="X63" s="1"/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</row>
    <row r="64" spans="3:30" x14ac:dyDescent="0.25">
      <c r="C64" s="1" t="s">
        <v>87</v>
      </c>
      <c r="D64" s="12">
        <f t="shared" ref="D64:O64" si="68">SUM(D62:D63)</f>
        <v>-720</v>
      </c>
      <c r="E64" s="12">
        <f ca="1">SUM(E62:E66)</f>
        <v>-152</v>
      </c>
      <c r="F64" s="12">
        <f t="shared" si="68"/>
        <v>-117</v>
      </c>
      <c r="G64" s="12">
        <f t="shared" si="68"/>
        <v>-8</v>
      </c>
      <c r="H64" s="12">
        <f t="shared" si="68"/>
        <v>-168</v>
      </c>
      <c r="I64" s="12">
        <f ca="1">SUM(I62:I66)</f>
        <v>-493</v>
      </c>
      <c r="J64" s="12">
        <f t="shared" si="68"/>
        <v>-68</v>
      </c>
      <c r="K64" s="12">
        <f t="shared" si="68"/>
        <v>-139</v>
      </c>
      <c r="L64" s="12">
        <f t="shared" si="68"/>
        <v>-103</v>
      </c>
      <c r="M64" s="12">
        <f t="shared" si="68"/>
        <v>-133</v>
      </c>
      <c r="N64" s="12">
        <f t="shared" si="68"/>
        <v>-46</v>
      </c>
      <c r="O64" s="12">
        <f t="shared" si="68"/>
        <v>-103</v>
      </c>
      <c r="P64" s="12">
        <f>SUM(P62:P63)</f>
        <v>-28</v>
      </c>
      <c r="Q64" s="13">
        <f>SUM(Q62:Q63)</f>
        <v>-21</v>
      </c>
      <c r="R64" s="1"/>
      <c r="S64" s="1"/>
      <c r="T64" s="1"/>
      <c r="U64" s="1"/>
      <c r="V64" s="1"/>
      <c r="W64" s="1"/>
      <c r="X64" s="1"/>
      <c r="Y64" s="12">
        <f t="shared" ref="Y64:AC64" si="69">SUM(Y62:Y63)</f>
        <v>-5502</v>
      </c>
      <c r="Z64" s="12">
        <f t="shared" si="69"/>
        <v>-345</v>
      </c>
      <c r="AA64" s="12">
        <f t="shared" si="69"/>
        <v>-1213</v>
      </c>
      <c r="AB64" s="12">
        <f t="shared" si="69"/>
        <v>-873</v>
      </c>
      <c r="AC64" s="12">
        <f t="shared" si="69"/>
        <v>-757</v>
      </c>
      <c r="AD64" s="12">
        <f>SUM(AD62:AD63)</f>
        <v>-384</v>
      </c>
    </row>
    <row r="65" spans="3:30" x14ac:dyDescent="0.25">
      <c r="C65" s="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"/>
      <c r="S65" s="1"/>
      <c r="T65" s="1"/>
      <c r="U65" s="1"/>
      <c r="V65" s="1"/>
      <c r="W65" s="1"/>
      <c r="X65" s="1"/>
      <c r="Y65" s="12"/>
      <c r="Z65" s="12"/>
      <c r="AA65" s="14"/>
      <c r="AB65" s="14"/>
      <c r="AC65" s="14"/>
      <c r="AD65" s="14"/>
    </row>
    <row r="66" spans="3:30" x14ac:dyDescent="0.25">
      <c r="C66" s="2" t="s">
        <v>88</v>
      </c>
      <c r="D66" s="14">
        <v>-711</v>
      </c>
      <c r="E66" s="14">
        <v>-124</v>
      </c>
      <c r="F66" s="14">
        <v>-230</v>
      </c>
      <c r="G66" s="14">
        <v>-195</v>
      </c>
      <c r="H66" s="14">
        <v>201</v>
      </c>
      <c r="I66" s="14">
        <v>-112</v>
      </c>
      <c r="J66" s="14">
        <v>-478</v>
      </c>
      <c r="K66" s="14">
        <v>-553</v>
      </c>
      <c r="L66" s="14">
        <v>561</v>
      </c>
      <c r="M66" s="14">
        <v>-1049</v>
      </c>
      <c r="N66" s="14">
        <v>-84</v>
      </c>
      <c r="O66" s="14">
        <v>-754</v>
      </c>
      <c r="P66" s="14">
        <v>-212</v>
      </c>
      <c r="Q66" s="15">
        <v>313</v>
      </c>
      <c r="R66" s="1"/>
      <c r="S66" s="1"/>
      <c r="T66" s="1"/>
      <c r="U66" s="1"/>
      <c r="V66" s="1"/>
      <c r="W66" s="1"/>
      <c r="X66" s="1"/>
      <c r="Y66" s="14">
        <f>3967+3035-1881</f>
        <v>5121</v>
      </c>
      <c r="Z66" s="14">
        <f>849-1836</f>
        <v>-987</v>
      </c>
      <c r="AA66" s="14">
        <f>2139-1373</f>
        <v>766</v>
      </c>
      <c r="AB66" s="14">
        <f>1785-2117</f>
        <v>-332</v>
      </c>
      <c r="AC66" s="14">
        <f>4372-3914</f>
        <v>458</v>
      </c>
      <c r="AD66" s="14">
        <f>2174-2252</f>
        <v>-78</v>
      </c>
    </row>
    <row r="67" spans="3:30" x14ac:dyDescent="0.25">
      <c r="C67" s="2" t="s">
        <v>89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-143</v>
      </c>
      <c r="M67" s="14">
        <v>0</v>
      </c>
      <c r="N67" s="14">
        <v>0</v>
      </c>
      <c r="O67" s="14">
        <v>0</v>
      </c>
      <c r="P67" s="14">
        <v>-148</v>
      </c>
      <c r="Q67" s="15">
        <v>-138</v>
      </c>
      <c r="R67" s="1"/>
      <c r="S67" s="1"/>
      <c r="T67" s="1"/>
      <c r="U67" s="1"/>
      <c r="V67" s="1"/>
      <c r="W67" s="1"/>
      <c r="X67" s="1"/>
      <c r="Y67" s="14">
        <v>0</v>
      </c>
      <c r="Z67" s="14">
        <v>0</v>
      </c>
      <c r="AA67" s="14">
        <v>0</v>
      </c>
      <c r="AB67" s="14">
        <v>0</v>
      </c>
      <c r="AC67" s="14">
        <v>-606</v>
      </c>
      <c r="AD67" s="14">
        <v>-620</v>
      </c>
    </row>
    <row r="68" spans="3:30" x14ac:dyDescent="0.25">
      <c r="C68" s="2" t="s">
        <v>90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5">
        <v>0</v>
      </c>
      <c r="R68" s="1"/>
      <c r="S68" s="1"/>
      <c r="T68" s="1"/>
      <c r="U68" s="1"/>
      <c r="V68" s="1"/>
      <c r="W68" s="1"/>
      <c r="X68" s="1"/>
      <c r="Y68" s="14">
        <v>-331</v>
      </c>
      <c r="Z68" s="14">
        <v>0</v>
      </c>
      <c r="AA68" s="14">
        <v>-7</v>
      </c>
      <c r="AB68" s="14">
        <v>-58</v>
      </c>
      <c r="AC68" s="14">
        <v>-623</v>
      </c>
      <c r="AD68" s="14">
        <v>-149</v>
      </c>
    </row>
    <row r="69" spans="3:30" x14ac:dyDescent="0.25">
      <c r="C69" s="2" t="s">
        <v>95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5">
        <v>-680</v>
      </c>
      <c r="R69" s="1"/>
      <c r="S69" s="1"/>
      <c r="T69" s="1"/>
      <c r="U69" s="1"/>
      <c r="V69" s="1"/>
      <c r="W69" s="1"/>
      <c r="X69" s="1"/>
      <c r="Y69" s="14">
        <f>-560-164</f>
        <v>-724</v>
      </c>
      <c r="Z69" s="14">
        <v>0</v>
      </c>
      <c r="AA69" s="14">
        <f>-566-205</f>
        <v>-771</v>
      </c>
      <c r="AB69" s="14">
        <v>-623</v>
      </c>
      <c r="AC69" s="14">
        <v>-171</v>
      </c>
      <c r="AD69" s="14">
        <v>-623</v>
      </c>
    </row>
    <row r="70" spans="3:30" x14ac:dyDescent="0.25">
      <c r="C70" s="1" t="s">
        <v>91</v>
      </c>
      <c r="D70" s="12">
        <f t="shared" ref="D70:O70" si="70">SUM(D66:D69)</f>
        <v>-711</v>
      </c>
      <c r="E70" s="12">
        <f>SUM(E66:E69)</f>
        <v>-124</v>
      </c>
      <c r="F70" s="12">
        <f t="shared" si="70"/>
        <v>-230</v>
      </c>
      <c r="G70" s="12">
        <f t="shared" si="70"/>
        <v>-195</v>
      </c>
      <c r="H70" s="12">
        <f t="shared" si="70"/>
        <v>201</v>
      </c>
      <c r="I70" s="12">
        <f>SUM(I66:I69)</f>
        <v>-112</v>
      </c>
      <c r="J70" s="12">
        <f t="shared" si="70"/>
        <v>-478</v>
      </c>
      <c r="K70" s="12">
        <f t="shared" si="70"/>
        <v>-553</v>
      </c>
      <c r="L70" s="12">
        <f t="shared" si="70"/>
        <v>418</v>
      </c>
      <c r="M70" s="12">
        <f t="shared" si="70"/>
        <v>-1049</v>
      </c>
      <c r="N70" s="12">
        <f t="shared" si="70"/>
        <v>-84</v>
      </c>
      <c r="O70" s="12">
        <f t="shared" si="70"/>
        <v>-754</v>
      </c>
      <c r="P70" s="12">
        <f>SUM(P66:P69)</f>
        <v>-360</v>
      </c>
      <c r="Q70" s="13">
        <f>SUM(Q66:Q69)</f>
        <v>-505</v>
      </c>
      <c r="Y70" s="12">
        <f>SUM(Y66:Y69)</f>
        <v>4066</v>
      </c>
      <c r="Z70" s="12">
        <f t="shared" ref="Z70:AC70" si="71">SUM(Z66:Z69)</f>
        <v>-987</v>
      </c>
      <c r="AA70" s="12">
        <f t="shared" si="71"/>
        <v>-12</v>
      </c>
      <c r="AB70" s="12">
        <f t="shared" si="71"/>
        <v>-1013</v>
      </c>
      <c r="AC70" s="12">
        <f t="shared" si="71"/>
        <v>-942</v>
      </c>
      <c r="AD70" s="12">
        <f>SUM(AD66:AD69)</f>
        <v>-1470</v>
      </c>
    </row>
    <row r="71" spans="3:30" x14ac:dyDescent="0.2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Y71" s="14"/>
      <c r="Z71" s="14"/>
      <c r="AA71" s="14"/>
      <c r="AB71" s="14"/>
      <c r="AC71" s="14"/>
      <c r="AD71" s="14"/>
    </row>
    <row r="72" spans="3:30" x14ac:dyDescent="0.25">
      <c r="C72" s="2" t="s">
        <v>92</v>
      </c>
      <c r="D72" s="14">
        <v>-42</v>
      </c>
      <c r="E72" s="14">
        <v>-101</v>
      </c>
      <c r="F72" s="14">
        <v>-65</v>
      </c>
      <c r="G72" s="14">
        <v>28</v>
      </c>
      <c r="H72" s="14">
        <v>-13</v>
      </c>
      <c r="I72" s="14">
        <v>-94</v>
      </c>
      <c r="J72" s="14">
        <v>42</v>
      </c>
      <c r="K72" s="14">
        <v>49</v>
      </c>
      <c r="L72" s="14">
        <v>-27</v>
      </c>
      <c r="M72" s="14">
        <v>26</v>
      </c>
      <c r="N72" s="14">
        <v>4</v>
      </c>
      <c r="O72" s="14">
        <v>-40</v>
      </c>
      <c r="P72" s="14">
        <v>-114</v>
      </c>
      <c r="Q72" s="15">
        <v>51</v>
      </c>
      <c r="Y72" s="14">
        <v>-11</v>
      </c>
      <c r="Z72" s="14">
        <v>180</v>
      </c>
      <c r="AA72" s="14">
        <v>-92</v>
      </c>
      <c r="AB72" s="14">
        <v>-180</v>
      </c>
      <c r="AC72" s="14">
        <v>-16</v>
      </c>
      <c r="AD72" s="14">
        <v>-38</v>
      </c>
    </row>
    <row r="73" spans="3:30" x14ac:dyDescent="0.2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5"/>
      <c r="Y73" s="14"/>
      <c r="Z73" s="14"/>
      <c r="AA73" s="14"/>
      <c r="AB73" s="14"/>
      <c r="AC73" s="14"/>
      <c r="AD73" s="14"/>
    </row>
    <row r="74" spans="3:30" x14ac:dyDescent="0.25">
      <c r="C74" s="2" t="s">
        <v>93</v>
      </c>
      <c r="D74" s="14">
        <f t="shared" ref="D74:O74" si="72">D60+D64+D70+D72</f>
        <v>-1209</v>
      </c>
      <c r="E74" s="14">
        <f ca="1">E60+E64+E70+E72</f>
        <v>0</v>
      </c>
      <c r="F74" s="14">
        <f t="shared" si="72"/>
        <v>-325</v>
      </c>
      <c r="G74" s="14">
        <f t="shared" si="72"/>
        <v>226</v>
      </c>
      <c r="H74" s="14">
        <f t="shared" si="72"/>
        <v>74</v>
      </c>
      <c r="I74" s="14">
        <f t="shared" ca="1" si="72"/>
        <v>11</v>
      </c>
      <c r="J74" s="14">
        <f t="shared" si="72"/>
        <v>-226</v>
      </c>
      <c r="K74" s="14">
        <f t="shared" si="72"/>
        <v>315</v>
      </c>
      <c r="L74" s="14">
        <f t="shared" si="72"/>
        <v>396</v>
      </c>
      <c r="M74" s="14">
        <f t="shared" si="72"/>
        <v>-735</v>
      </c>
      <c r="N74" s="14">
        <f t="shared" si="72"/>
        <v>36</v>
      </c>
      <c r="O74" s="14">
        <f t="shared" si="72"/>
        <v>406</v>
      </c>
      <c r="P74" s="14">
        <f>P60+P64+P70+P72</f>
        <v>-384</v>
      </c>
      <c r="Q74" s="15">
        <f>Q60+Q64+Q70+Q72</f>
        <v>-121</v>
      </c>
      <c r="Y74" s="14">
        <f t="shared" ref="Y74:AC74" si="73">Y60+Y64+Y70+Y72</f>
        <v>546</v>
      </c>
      <c r="Z74" s="14">
        <f t="shared" si="73"/>
        <v>933</v>
      </c>
      <c r="AA74" s="14">
        <f t="shared" si="73"/>
        <v>181</v>
      </c>
      <c r="AB74" s="14">
        <f t="shared" si="73"/>
        <v>-1024</v>
      </c>
      <c r="AC74" s="14">
        <f t="shared" si="73"/>
        <v>78</v>
      </c>
      <c r="AD74" s="14">
        <f>AD60+AD64+AD70+AD72</f>
        <v>102</v>
      </c>
    </row>
    <row r="75" spans="3:30" x14ac:dyDescent="0.2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5"/>
      <c r="Y75" s="14"/>
      <c r="Z75" s="14"/>
      <c r="AA75" s="14"/>
      <c r="AB75" s="14"/>
      <c r="AC75" s="14"/>
      <c r="AD75" s="14"/>
    </row>
    <row r="76" spans="3:30" x14ac:dyDescent="0.25">
      <c r="C76" s="2" t="s">
        <v>94</v>
      </c>
      <c r="D76" s="14">
        <f t="shared" ref="D76:O76" si="74">D60+D62</f>
        <v>-456</v>
      </c>
      <c r="E76" s="14">
        <f t="shared" si="74"/>
        <v>262</v>
      </c>
      <c r="F76" s="14">
        <f t="shared" si="74"/>
        <v>-30</v>
      </c>
      <c r="G76" s="14">
        <f t="shared" si="74"/>
        <v>393</v>
      </c>
      <c r="H76" s="14">
        <f t="shared" si="74"/>
        <v>-114</v>
      </c>
      <c r="I76" s="14">
        <f t="shared" si="74"/>
        <v>123</v>
      </c>
      <c r="J76" s="14">
        <f t="shared" si="74"/>
        <v>210</v>
      </c>
      <c r="K76" s="14">
        <f t="shared" si="74"/>
        <v>819</v>
      </c>
      <c r="L76" s="14">
        <f t="shared" si="74"/>
        <v>-5</v>
      </c>
      <c r="M76" s="14">
        <f t="shared" si="74"/>
        <v>288</v>
      </c>
      <c r="N76" s="14">
        <f t="shared" si="74"/>
        <v>116</v>
      </c>
      <c r="O76" s="14">
        <f t="shared" si="74"/>
        <v>1200</v>
      </c>
      <c r="P76" s="14">
        <f>P60+P62</f>
        <v>90</v>
      </c>
      <c r="Q76" s="15">
        <f>Q60+Q62</f>
        <v>322</v>
      </c>
      <c r="Y76" s="14">
        <f t="shared" ref="Y76:AC76" si="75">Y60+Y62</f>
        <v>-3509</v>
      </c>
      <c r="Z76" s="14">
        <f t="shared" si="75"/>
        <v>1740</v>
      </c>
      <c r="AA76" s="14">
        <f t="shared" si="75"/>
        <v>285</v>
      </c>
      <c r="AB76" s="14">
        <f t="shared" si="75"/>
        <v>169</v>
      </c>
      <c r="AC76" s="14">
        <f t="shared" si="75"/>
        <v>1036</v>
      </c>
      <c r="AD76" s="14">
        <f>AD60+AD62</f>
        <v>1610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59"/>
  <sheetViews>
    <sheetView showGridLines="0" zoomScale="80" zoomScaleNormal="80" workbookViewId="0">
      <pane xSplit="2" ySplit="4" topLeftCell="C30" activePane="bottomRight" state="frozen"/>
      <selection pane="topRight" activeCell="C1" sqref="C1"/>
      <selection pane="bottomLeft" activeCell="A5" sqref="A5"/>
      <selection pane="bottomRight" activeCell="X14" sqref="X14"/>
    </sheetView>
  </sheetViews>
  <sheetFormatPr baseColWidth="10" defaultRowHeight="19" x14ac:dyDescent="0.25"/>
  <cols>
    <col min="1" max="1" width="6" style="2" customWidth="1"/>
    <col min="2" max="2" width="29.1640625" style="2" customWidth="1"/>
    <col min="3" max="16384" width="10.83203125" style="2"/>
  </cols>
  <sheetData>
    <row r="4" spans="2:22" x14ac:dyDescent="0.25">
      <c r="B4" s="2" t="s">
        <v>104</v>
      </c>
      <c r="C4" s="7" t="s">
        <v>3</v>
      </c>
      <c r="D4" s="7" t="s">
        <v>4</v>
      </c>
      <c r="E4" s="7" t="s">
        <v>5</v>
      </c>
      <c r="F4" s="7" t="s">
        <v>6</v>
      </c>
      <c r="G4" s="34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34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34">
        <v>2024</v>
      </c>
      <c r="R4" s="7" t="s">
        <v>39</v>
      </c>
      <c r="S4" s="7" t="s">
        <v>33</v>
      </c>
      <c r="T4" s="7" t="s">
        <v>37</v>
      </c>
      <c r="U4" s="7" t="s">
        <v>38</v>
      </c>
      <c r="V4" s="35">
        <v>2025</v>
      </c>
    </row>
    <row r="5" spans="2:22" x14ac:dyDescent="0.25">
      <c r="B5" s="1" t="s">
        <v>111</v>
      </c>
      <c r="G5" s="35"/>
      <c r="L5" s="35"/>
      <c r="Q5" s="35"/>
      <c r="V5" s="35"/>
    </row>
    <row r="6" spans="2:22" x14ac:dyDescent="0.25">
      <c r="B6" s="1" t="s">
        <v>40</v>
      </c>
      <c r="C6" s="1">
        <v>2240</v>
      </c>
      <c r="D6" s="1">
        <v>2279</v>
      </c>
      <c r="E6" s="1">
        <v>1954</v>
      </c>
      <c r="F6" s="1">
        <v>2466</v>
      </c>
      <c r="G6" s="35">
        <f>SUM(C6:F6)</f>
        <v>8939</v>
      </c>
      <c r="H6" s="1">
        <v>2595</v>
      </c>
      <c r="I6" s="1">
        <v>2601</v>
      </c>
      <c r="J6" s="1">
        <v>2249</v>
      </c>
      <c r="K6" s="1">
        <v>2737</v>
      </c>
      <c r="L6" s="35">
        <f>SUM(H6:K6)</f>
        <v>10182</v>
      </c>
      <c r="M6" s="1">
        <v>2670</v>
      </c>
      <c r="N6" s="1">
        <v>2771</v>
      </c>
      <c r="O6" s="1">
        <v>2240</v>
      </c>
      <c r="P6" s="1">
        <v>2790</v>
      </c>
      <c r="Q6" s="35">
        <f>SUM(M6:P6)</f>
        <v>10471</v>
      </c>
      <c r="R6" s="1">
        <v>2695</v>
      </c>
      <c r="S6" s="1">
        <v>2650</v>
      </c>
      <c r="T6" s="1"/>
      <c r="U6" s="1"/>
      <c r="V6" s="35">
        <f>SUM(R6:U6)</f>
        <v>5345</v>
      </c>
    </row>
    <row r="7" spans="2:22" x14ac:dyDescent="0.25">
      <c r="B7" s="2" t="s">
        <v>47</v>
      </c>
      <c r="C7" s="2">
        <v>183</v>
      </c>
      <c r="D7" s="2">
        <v>171</v>
      </c>
      <c r="E7" s="2">
        <v>119</v>
      </c>
      <c r="F7" s="2">
        <v>193</v>
      </c>
      <c r="G7" s="35">
        <f>SUM(C7:F7)</f>
        <v>666</v>
      </c>
      <c r="H7" s="2">
        <v>253</v>
      </c>
      <c r="I7" s="2">
        <v>103</v>
      </c>
      <c r="J7" s="2">
        <v>65</v>
      </c>
      <c r="K7" s="2">
        <v>229</v>
      </c>
      <c r="L7" s="35">
        <f>SUM(H7:K7)</f>
        <v>650</v>
      </c>
      <c r="M7" s="2">
        <v>216</v>
      </c>
      <c r="N7" s="2">
        <v>213</v>
      </c>
      <c r="O7" s="2">
        <v>120</v>
      </c>
      <c r="P7" s="2">
        <v>261</v>
      </c>
      <c r="Q7" s="35">
        <f>SUM(M7:P7)</f>
        <v>810</v>
      </c>
      <c r="R7" s="2">
        <v>231</v>
      </c>
      <c r="S7" s="2">
        <v>171</v>
      </c>
      <c r="V7" s="35">
        <f>SUM(R7:U7)</f>
        <v>402</v>
      </c>
    </row>
    <row r="8" spans="2:22" x14ac:dyDescent="0.25">
      <c r="B8" s="2" t="s">
        <v>96</v>
      </c>
      <c r="C8" s="10">
        <v>8.2000000000000003E-2</v>
      </c>
      <c r="D8" s="10">
        <v>7.4999999999999997E-2</v>
      </c>
      <c r="E8" s="10">
        <v>6.0999999999999999E-2</v>
      </c>
      <c r="F8" s="10">
        <v>7.8E-2</v>
      </c>
      <c r="G8" s="39">
        <f>G7/G6</f>
        <v>7.4504978185479354E-2</v>
      </c>
      <c r="H8" s="10">
        <v>9.8000000000000004E-2</v>
      </c>
      <c r="I8" s="10">
        <v>0.04</v>
      </c>
      <c r="J8" s="10">
        <v>2.9000000000000001E-2</v>
      </c>
      <c r="K8" s="10">
        <v>8.4000000000000005E-2</v>
      </c>
      <c r="L8" s="39">
        <f>L7/L6</f>
        <v>6.3838145747397365E-2</v>
      </c>
      <c r="M8" s="10">
        <v>8.1000000000000003E-2</v>
      </c>
      <c r="N8" s="10">
        <v>7.6999999999999999E-2</v>
      </c>
      <c r="O8" s="10">
        <v>5.2999999999999999E-2</v>
      </c>
      <c r="P8" s="10">
        <v>9.4E-2</v>
      </c>
      <c r="Q8" s="39">
        <f>Q7/Q6</f>
        <v>7.7356508451914816E-2</v>
      </c>
      <c r="R8" s="10">
        <v>8.5999999999999993E-2</v>
      </c>
      <c r="S8" s="10">
        <v>6.5000000000000002E-2</v>
      </c>
      <c r="T8" s="10"/>
      <c r="U8" s="10"/>
      <c r="V8" s="39">
        <f>V7/V6</f>
        <v>7.5210477081384466E-2</v>
      </c>
    </row>
    <row r="9" spans="2:22" x14ac:dyDescent="0.25">
      <c r="B9" s="2" t="s">
        <v>112</v>
      </c>
      <c r="C9" s="2">
        <v>7191</v>
      </c>
      <c r="D9" s="2">
        <v>0</v>
      </c>
      <c r="E9" s="2">
        <v>0</v>
      </c>
      <c r="F9" s="2">
        <v>0</v>
      </c>
      <c r="G9" s="35"/>
      <c r="H9" s="2">
        <v>8080</v>
      </c>
      <c r="I9" s="2">
        <v>0</v>
      </c>
      <c r="J9" s="2">
        <v>0</v>
      </c>
      <c r="K9" s="2">
        <v>0</v>
      </c>
      <c r="L9" s="35"/>
      <c r="M9" s="2">
        <v>8679</v>
      </c>
      <c r="N9" s="2">
        <v>8526</v>
      </c>
      <c r="O9" s="2">
        <v>0</v>
      </c>
      <c r="P9" s="2">
        <v>0</v>
      </c>
      <c r="Q9" s="35"/>
      <c r="R9" s="2">
        <v>8399</v>
      </c>
      <c r="S9" s="2">
        <v>9039</v>
      </c>
      <c r="V9" s="35"/>
    </row>
    <row r="10" spans="2:22" x14ac:dyDescent="0.25">
      <c r="B10" s="27" t="s">
        <v>113</v>
      </c>
      <c r="C10" s="27">
        <v>6436</v>
      </c>
      <c r="D10" s="27">
        <v>6455</v>
      </c>
      <c r="E10" s="27">
        <v>6433</v>
      </c>
      <c r="F10" s="27">
        <v>6603</v>
      </c>
      <c r="G10" s="38"/>
      <c r="H10" s="27">
        <v>6748</v>
      </c>
      <c r="I10" s="27">
        <v>6923</v>
      </c>
      <c r="J10" s="27">
        <v>6867</v>
      </c>
      <c r="K10" s="27">
        <v>6901</v>
      </c>
      <c r="L10" s="38"/>
      <c r="M10" s="27">
        <v>6740</v>
      </c>
      <c r="N10" s="27">
        <v>6746</v>
      </c>
      <c r="O10" s="27">
        <v>6644</v>
      </c>
      <c r="P10" s="27">
        <v>6706</v>
      </c>
      <c r="Q10" s="38"/>
      <c r="R10" s="27">
        <v>6684</v>
      </c>
      <c r="S10" s="27">
        <v>6752</v>
      </c>
      <c r="T10" s="27"/>
      <c r="U10" s="27"/>
      <c r="V10" s="38"/>
    </row>
    <row r="11" spans="2:22" x14ac:dyDescent="0.25">
      <c r="B11" s="1" t="s">
        <v>114</v>
      </c>
      <c r="C11" s="42">
        <v>0.13600000000000001</v>
      </c>
      <c r="D11" s="42">
        <v>0.114</v>
      </c>
      <c r="E11" s="42">
        <v>0.193</v>
      </c>
      <c r="F11" s="42">
        <v>0.19800000000000001</v>
      </c>
      <c r="G11" s="39"/>
      <c r="H11" s="42">
        <v>0.158</v>
      </c>
      <c r="I11" s="42">
        <v>0.13100000000000001</v>
      </c>
      <c r="J11" s="42">
        <v>0.14000000000000001</v>
      </c>
      <c r="K11" s="42">
        <v>9.8000000000000004E-2</v>
      </c>
      <c r="L11" s="39">
        <f>(L6-G6)/G6</f>
        <v>0.1390535854122385</v>
      </c>
      <c r="M11" s="42">
        <v>1.6E-2</v>
      </c>
      <c r="N11" s="42">
        <v>6.5000000000000002E-2</v>
      </c>
      <c r="O11" s="42">
        <v>-4.0000000000000001E-3</v>
      </c>
      <c r="P11" s="42">
        <v>0.02</v>
      </c>
      <c r="Q11" s="39">
        <f>(Q6-L6)/L6</f>
        <v>2.838342172461206E-2</v>
      </c>
      <c r="R11" s="42">
        <v>0.01</v>
      </c>
      <c r="S11" s="42">
        <v>-4.3999999999999997E-2</v>
      </c>
      <c r="T11" s="42"/>
      <c r="U11" s="42"/>
      <c r="V11" s="39">
        <f>(V6-Q6)/Q6</f>
        <v>-0.48954254607964853</v>
      </c>
    </row>
    <row r="12" spans="2:22" x14ac:dyDescent="0.25">
      <c r="B12" s="2" t="s">
        <v>115</v>
      </c>
      <c r="C12" s="10">
        <v>7.0999999999999994E-2</v>
      </c>
      <c r="D12" s="10">
        <v>7.0999999999999994E-2</v>
      </c>
      <c r="E12" s="10">
        <v>6.4000000000000001E-2</v>
      </c>
      <c r="F12" s="10">
        <v>5.8000000000000003E-2</v>
      </c>
      <c r="G12" s="39"/>
      <c r="H12" s="10">
        <v>3.0000000000000001E-3</v>
      </c>
      <c r="I12" s="10">
        <v>8.9999999999999993E-3</v>
      </c>
      <c r="J12" s="10">
        <v>0.01</v>
      </c>
      <c r="K12" s="10">
        <v>1.0999999999999999E-2</v>
      </c>
      <c r="L12" s="39"/>
      <c r="M12" s="10">
        <v>8.0000000000000002E-3</v>
      </c>
      <c r="N12" s="10">
        <v>0</v>
      </c>
      <c r="O12" s="10">
        <v>0</v>
      </c>
      <c r="P12" s="10">
        <v>0</v>
      </c>
      <c r="Q12" s="39"/>
      <c r="R12" s="10">
        <v>0</v>
      </c>
      <c r="S12" s="10">
        <v>0</v>
      </c>
      <c r="T12" s="10"/>
      <c r="U12" s="10"/>
      <c r="V12" s="39"/>
    </row>
    <row r="13" spans="2:22" x14ac:dyDescent="0.25">
      <c r="B13" s="2" t="s">
        <v>116</v>
      </c>
      <c r="C13" s="10">
        <v>3.4000000000000002E-2</v>
      </c>
      <c r="D13" s="10">
        <v>2.7E-2</v>
      </c>
      <c r="E13" s="10">
        <v>4.9000000000000002E-2</v>
      </c>
      <c r="F13" s="10">
        <v>4.8000000000000001E-2</v>
      </c>
      <c r="G13" s="39"/>
      <c r="H13" s="10">
        <v>2.8000000000000001E-2</v>
      </c>
      <c r="I13" s="10">
        <v>4.2000000000000003E-2</v>
      </c>
      <c r="J13" s="10">
        <v>5.3999999999999999E-2</v>
      </c>
      <c r="K13" s="10">
        <v>1.2E-2</v>
      </c>
      <c r="L13" s="39"/>
      <c r="M13" s="10">
        <v>1E-3</v>
      </c>
      <c r="N13" s="10">
        <v>3.0000000000000001E-3</v>
      </c>
      <c r="O13" s="10">
        <v>-2.5000000000000001E-2</v>
      </c>
      <c r="P13" s="10">
        <v>1E-3</v>
      </c>
      <c r="Q13" s="39"/>
      <c r="R13" s="10">
        <v>-6.0000000000000001E-3</v>
      </c>
      <c r="S13" s="10">
        <v>-2.5999999999999999E-2</v>
      </c>
      <c r="T13" s="10"/>
      <c r="U13" s="10"/>
      <c r="V13" s="39"/>
    </row>
    <row r="14" spans="2:22" x14ac:dyDescent="0.25">
      <c r="B14" s="2" t="s">
        <v>117</v>
      </c>
      <c r="C14" s="10">
        <v>1.7000000000000001E-2</v>
      </c>
      <c r="D14" s="10">
        <v>-1.0999999999999999E-2</v>
      </c>
      <c r="E14" s="10">
        <v>-4.0000000000000001E-3</v>
      </c>
      <c r="F14" s="10">
        <v>9.2999999999999999E-2</v>
      </c>
      <c r="G14" s="39"/>
      <c r="H14" s="10">
        <v>1.2E-2</v>
      </c>
      <c r="I14" s="10">
        <v>-1.4999999999999999E-2</v>
      </c>
      <c r="J14" s="10">
        <v>-1.4E-2</v>
      </c>
      <c r="K14" s="10">
        <v>-4.0000000000000001E-3</v>
      </c>
      <c r="L14" s="39"/>
      <c r="M14" s="10">
        <v>-2.5000000000000001E-2</v>
      </c>
      <c r="N14" s="10">
        <v>2.5999999999999999E-2</v>
      </c>
      <c r="O14" s="10">
        <v>4.0000000000000001E-3</v>
      </c>
      <c r="P14" s="10">
        <v>-1.2999999999999999E-2</v>
      </c>
      <c r="Q14" s="39"/>
      <c r="R14" s="10">
        <v>-1E-3</v>
      </c>
      <c r="S14" s="10">
        <v>-2.3E-2</v>
      </c>
      <c r="T14" s="10"/>
      <c r="U14" s="10"/>
      <c r="V14" s="39"/>
    </row>
    <row r="15" spans="2:22" ht="20" thickBot="1" x14ac:dyDescent="0.3">
      <c r="B15" s="36" t="s">
        <v>118</v>
      </c>
      <c r="C15" s="40">
        <v>1.2999999999999999E-2</v>
      </c>
      <c r="D15" s="40">
        <v>2.7E-2</v>
      </c>
      <c r="E15" s="40">
        <v>8.5000000000000006E-2</v>
      </c>
      <c r="F15" s="40">
        <v>0.104</v>
      </c>
      <c r="G15" s="41"/>
      <c r="H15" s="40">
        <v>0.115</v>
      </c>
      <c r="I15" s="40">
        <v>9.5000000000000001E-2</v>
      </c>
      <c r="J15" s="40">
        <v>8.8999999999999996E-2</v>
      </c>
      <c r="K15" s="40">
        <v>0.08</v>
      </c>
      <c r="L15" s="41"/>
      <c r="M15" s="40">
        <v>3.2000000000000001E-2</v>
      </c>
      <c r="N15" s="40">
        <v>3.6999999999999998E-2</v>
      </c>
      <c r="O15" s="40">
        <v>1.7999999999999999E-2</v>
      </c>
      <c r="P15" s="40">
        <v>3.2000000000000001E-2</v>
      </c>
      <c r="Q15" s="41"/>
      <c r="R15" s="40">
        <v>1.7000000000000001E-2</v>
      </c>
      <c r="S15" s="40">
        <v>5.0000000000000001E-3</v>
      </c>
      <c r="T15" s="40"/>
      <c r="U15" s="40"/>
      <c r="V15" s="41"/>
    </row>
    <row r="16" spans="2:22" x14ac:dyDescent="0.25">
      <c r="B16" s="1" t="s">
        <v>119</v>
      </c>
      <c r="G16" s="35"/>
      <c r="L16" s="35"/>
      <c r="Q16" s="35"/>
      <c r="V16" s="35"/>
    </row>
    <row r="17" spans="2:22" x14ac:dyDescent="0.25">
      <c r="B17" s="1" t="s">
        <v>40</v>
      </c>
      <c r="C17" s="1">
        <v>1355</v>
      </c>
      <c r="D17" s="1">
        <v>1388</v>
      </c>
      <c r="E17" s="1">
        <v>1200</v>
      </c>
      <c r="F17" s="1">
        <v>1548</v>
      </c>
      <c r="G17" s="35">
        <f>SUM(C17:F17)</f>
        <v>5491</v>
      </c>
      <c r="H17" s="1">
        <v>1566</v>
      </c>
      <c r="I17" s="1">
        <v>1747</v>
      </c>
      <c r="J17" s="1">
        <v>1455</v>
      </c>
      <c r="K17" s="1">
        <v>1775</v>
      </c>
      <c r="L17" s="35">
        <f>SUM(H17:K17)</f>
        <v>6543</v>
      </c>
      <c r="M17" s="1">
        <v>1792</v>
      </c>
      <c r="N17" s="1">
        <v>1810</v>
      </c>
      <c r="O17" s="1">
        <v>1478</v>
      </c>
      <c r="P17" s="1">
        <v>1778</v>
      </c>
      <c r="Q17" s="35">
        <f>SUM(M17:P17)</f>
        <v>6858</v>
      </c>
      <c r="R17" s="1">
        <v>1711</v>
      </c>
      <c r="S17" s="1">
        <v>1665</v>
      </c>
      <c r="T17" s="1"/>
      <c r="U17" s="1"/>
      <c r="V17" s="35">
        <f>SUM(R17:U17)</f>
        <v>3376</v>
      </c>
    </row>
    <row r="18" spans="2:22" x14ac:dyDescent="0.25">
      <c r="B18" s="2" t="s">
        <v>47</v>
      </c>
      <c r="C18" s="2">
        <v>121</v>
      </c>
      <c r="D18" s="2">
        <v>101</v>
      </c>
      <c r="E18" s="2">
        <v>93</v>
      </c>
      <c r="F18" s="2">
        <v>130</v>
      </c>
      <c r="G18" s="35">
        <f>SUM(C18:F18)</f>
        <v>445</v>
      </c>
      <c r="H18" s="2">
        <v>159</v>
      </c>
      <c r="I18" s="2">
        <v>101</v>
      </c>
      <c r="J18" s="2">
        <v>69</v>
      </c>
      <c r="K18" s="2">
        <v>120</v>
      </c>
      <c r="L18" s="35">
        <f>SUM(H18:K18)</f>
        <v>449</v>
      </c>
      <c r="M18" s="2">
        <v>165</v>
      </c>
      <c r="N18" s="2">
        <v>116</v>
      </c>
      <c r="O18" s="2">
        <v>76</v>
      </c>
      <c r="P18" s="2">
        <v>108</v>
      </c>
      <c r="Q18" s="35">
        <f>SUM(M18:P18)</f>
        <v>465</v>
      </c>
      <c r="R18" s="2">
        <v>119</v>
      </c>
      <c r="S18" s="2">
        <v>104</v>
      </c>
      <c r="V18" s="35">
        <f>SUM(R18:U18)</f>
        <v>223</v>
      </c>
    </row>
    <row r="19" spans="2:22" x14ac:dyDescent="0.25">
      <c r="B19" s="2" t="s">
        <v>96</v>
      </c>
      <c r="C19" s="10">
        <v>8.8999999999999996E-2</v>
      </c>
      <c r="D19" s="10">
        <v>7.2999999999999995E-2</v>
      </c>
      <c r="E19" s="10">
        <v>7.8E-2</v>
      </c>
      <c r="F19" s="10">
        <v>8.4000000000000005E-2</v>
      </c>
      <c r="G19" s="39">
        <f>G18/G17</f>
        <v>8.1041704607539608E-2</v>
      </c>
      <c r="H19" s="10">
        <v>0.10199999999999999</v>
      </c>
      <c r="I19" s="10">
        <v>5.8000000000000003E-2</v>
      </c>
      <c r="J19" s="10">
        <v>4.7E-2</v>
      </c>
      <c r="K19" s="10">
        <v>6.7000000000000004E-2</v>
      </c>
      <c r="L19" s="39">
        <f>L18/L17</f>
        <v>6.8622955830658722E-2</v>
      </c>
      <c r="M19" s="10">
        <v>9.1999999999999998E-2</v>
      </c>
      <c r="N19" s="10">
        <v>6.4000000000000001E-2</v>
      </c>
      <c r="O19" s="10">
        <v>5.0999999999999997E-2</v>
      </c>
      <c r="P19" s="10">
        <v>6.0999999999999999E-2</v>
      </c>
      <c r="Q19" s="39">
        <f>Q18/Q17</f>
        <v>6.7804024496937884E-2</v>
      </c>
      <c r="R19" s="10">
        <v>7.0000000000000007E-2</v>
      </c>
      <c r="S19" s="10">
        <v>6.2E-2</v>
      </c>
      <c r="T19" s="10"/>
      <c r="U19" s="10"/>
      <c r="V19" s="39">
        <f>V18/V17</f>
        <v>6.6054502369668242E-2</v>
      </c>
    </row>
    <row r="20" spans="2:22" x14ac:dyDescent="0.25">
      <c r="B20" s="2" t="s">
        <v>112</v>
      </c>
      <c r="C20" s="2">
        <v>2411</v>
      </c>
      <c r="D20" s="2">
        <v>0</v>
      </c>
      <c r="E20" s="2">
        <v>0</v>
      </c>
      <c r="F20" s="2">
        <v>0</v>
      </c>
      <c r="G20" s="35"/>
      <c r="H20" s="2">
        <v>2544</v>
      </c>
      <c r="I20" s="2">
        <v>0</v>
      </c>
      <c r="J20" s="2">
        <v>0</v>
      </c>
      <c r="K20" s="2">
        <v>0</v>
      </c>
      <c r="L20" s="35"/>
      <c r="M20" s="2">
        <v>2814</v>
      </c>
      <c r="N20" s="2">
        <v>0</v>
      </c>
      <c r="O20" s="2">
        <v>0</v>
      </c>
      <c r="P20" s="2">
        <v>0</v>
      </c>
      <c r="Q20" s="35"/>
      <c r="R20" s="2">
        <v>3074</v>
      </c>
      <c r="S20" s="2">
        <v>3132</v>
      </c>
      <c r="V20" s="35"/>
    </row>
    <row r="21" spans="2:22" x14ac:dyDescent="0.25">
      <c r="B21" s="27" t="s">
        <v>113</v>
      </c>
      <c r="C21" s="27">
        <v>3141</v>
      </c>
      <c r="D21" s="27">
        <v>3239</v>
      </c>
      <c r="E21" s="27">
        <v>3265</v>
      </c>
      <c r="F21" s="33">
        <v>3376</v>
      </c>
      <c r="G21" s="38"/>
      <c r="H21" s="27">
        <v>3322</v>
      </c>
      <c r="I21" s="27">
        <v>3840</v>
      </c>
      <c r="J21" s="27">
        <v>3834</v>
      </c>
      <c r="K21" s="27">
        <v>3846</v>
      </c>
      <c r="L21" s="38"/>
      <c r="M21" s="27">
        <v>3757</v>
      </c>
      <c r="N21" s="27">
        <v>3699</v>
      </c>
      <c r="O21" s="27">
        <v>3603</v>
      </c>
      <c r="P21" s="27">
        <v>3589</v>
      </c>
      <c r="Q21" s="38"/>
      <c r="R21" s="27">
        <v>3460</v>
      </c>
      <c r="S21" s="27">
        <v>3407</v>
      </c>
      <c r="T21" s="27"/>
      <c r="U21" s="27"/>
      <c r="V21" s="38"/>
    </row>
    <row r="22" spans="2:22" x14ac:dyDescent="0.25">
      <c r="B22" s="1" t="s">
        <v>114</v>
      </c>
      <c r="C22" s="42">
        <v>0.14099999999999999</v>
      </c>
      <c r="D22" s="42">
        <v>0.109</v>
      </c>
      <c r="E22" s="42">
        <v>9.1999999999999998E-2</v>
      </c>
      <c r="F22" s="42">
        <v>0.12</v>
      </c>
      <c r="G22" s="39"/>
      <c r="H22" s="42">
        <v>0.156</v>
      </c>
      <c r="I22" s="42">
        <v>9.4E-2</v>
      </c>
      <c r="J22" s="42">
        <v>5.7000000000000002E-2</v>
      </c>
      <c r="K22" s="42">
        <v>-6.0000000000000001E-3</v>
      </c>
      <c r="L22" s="39">
        <f>(L17-G17)/G17</f>
        <v>0.19158623201602623</v>
      </c>
      <c r="M22" s="42">
        <v>-1.2999999999999999E-2</v>
      </c>
      <c r="N22" s="42">
        <v>3.5999999999999997E-2</v>
      </c>
      <c r="O22" s="42">
        <v>1.6E-2</v>
      </c>
      <c r="P22" s="42">
        <v>2E-3</v>
      </c>
      <c r="Q22" s="39">
        <f>(Q17-L17)/L17</f>
        <v>4.8143053645116916E-2</v>
      </c>
      <c r="R22" s="42">
        <v>-4.4999999999999998E-2</v>
      </c>
      <c r="S22" s="42">
        <v>-8.1000000000000003E-2</v>
      </c>
      <c r="T22" s="42"/>
      <c r="U22" s="42"/>
      <c r="V22" s="39">
        <f>(V17-Q17)/Q17</f>
        <v>-0.50772820064158641</v>
      </c>
    </row>
    <row r="23" spans="2:22" x14ac:dyDescent="0.25">
      <c r="B23" s="2" t="s">
        <v>115</v>
      </c>
      <c r="C23" s="10">
        <v>2.4E-2</v>
      </c>
      <c r="D23" s="10">
        <v>2.1000000000000001E-2</v>
      </c>
      <c r="E23" s="10">
        <v>1.4999999999999999E-2</v>
      </c>
      <c r="F23" s="10">
        <v>8.0000000000000002E-3</v>
      </c>
      <c r="G23" s="39"/>
      <c r="H23" s="10">
        <v>0</v>
      </c>
      <c r="I23" s="10">
        <v>0</v>
      </c>
      <c r="J23" s="10">
        <v>0</v>
      </c>
      <c r="K23" s="10">
        <v>0</v>
      </c>
      <c r="L23" s="39"/>
      <c r="M23" s="10">
        <v>0</v>
      </c>
      <c r="N23" s="10">
        <v>0</v>
      </c>
      <c r="O23" s="10">
        <v>0</v>
      </c>
      <c r="P23" s="10">
        <v>0</v>
      </c>
      <c r="Q23" s="39"/>
      <c r="R23" s="10">
        <v>0</v>
      </c>
      <c r="S23" s="10">
        <v>0</v>
      </c>
      <c r="T23" s="10"/>
      <c r="U23" s="10"/>
      <c r="V23" s="39"/>
    </row>
    <row r="24" spans="2:22" x14ac:dyDescent="0.25">
      <c r="B24" s="2" t="s">
        <v>116</v>
      </c>
      <c r="C24" s="10">
        <v>3.0000000000000001E-3</v>
      </c>
      <c r="D24" s="10">
        <v>0.01</v>
      </c>
      <c r="E24" s="10">
        <v>1.7999999999999999E-2</v>
      </c>
      <c r="F24" s="10">
        <v>1.4E-2</v>
      </c>
      <c r="G24" s="39"/>
      <c r="H24" s="10">
        <v>0.01</v>
      </c>
      <c r="I24" s="10">
        <v>1.0999999999999999E-2</v>
      </c>
      <c r="J24" s="10">
        <v>1.2999999999999999E-2</v>
      </c>
      <c r="K24" s="10">
        <v>2E-3</v>
      </c>
      <c r="L24" s="39"/>
      <c r="M24" s="10">
        <v>-1E-3</v>
      </c>
      <c r="N24" s="10">
        <v>0</v>
      </c>
      <c r="O24" s="10">
        <v>-7.0000000000000001E-3</v>
      </c>
      <c r="P24" s="10">
        <v>0</v>
      </c>
      <c r="Q24" s="39"/>
      <c r="R24" s="10">
        <v>-1E-3</v>
      </c>
      <c r="S24" s="10">
        <v>-7.0000000000000001E-3</v>
      </c>
      <c r="T24" s="10"/>
      <c r="U24" s="10"/>
      <c r="V24" s="39"/>
    </row>
    <row r="25" spans="2:22" x14ac:dyDescent="0.25">
      <c r="B25" s="2" t="s">
        <v>117</v>
      </c>
      <c r="C25" s="10">
        <v>1.6E-2</v>
      </c>
      <c r="D25" s="10">
        <v>-1.6E-2</v>
      </c>
      <c r="E25" s="10">
        <v>-1E-3</v>
      </c>
      <c r="F25" s="10">
        <v>-1E-3</v>
      </c>
      <c r="G25" s="39"/>
      <c r="H25" s="10">
        <v>1.2999999999999999E-2</v>
      </c>
      <c r="I25" s="10">
        <v>-1.4E-2</v>
      </c>
      <c r="J25" s="10">
        <v>-1.7000000000000001E-2</v>
      </c>
      <c r="K25" s="10">
        <v>-3.0000000000000001E-3</v>
      </c>
      <c r="L25" s="39"/>
      <c r="M25" s="10">
        <v>-1.7000000000000001E-2</v>
      </c>
      <c r="N25" s="10">
        <v>1.7999999999999999E-2</v>
      </c>
      <c r="O25" s="10">
        <v>6.0000000000000001E-3</v>
      </c>
      <c r="P25" s="10">
        <v>-2.4E-2</v>
      </c>
      <c r="Q25" s="39"/>
      <c r="R25" s="10">
        <v>-1.2999999999999999E-2</v>
      </c>
      <c r="S25" s="10">
        <v>-1.7000000000000001E-2</v>
      </c>
      <c r="T25" s="10"/>
      <c r="U25" s="10"/>
      <c r="V25" s="39"/>
    </row>
    <row r="26" spans="2:22" ht="20" thickBot="1" x14ac:dyDescent="0.3">
      <c r="B26" s="36" t="s">
        <v>118</v>
      </c>
      <c r="C26" s="40">
        <v>9.8000000000000004E-2</v>
      </c>
      <c r="D26" s="40">
        <v>9.4E-2</v>
      </c>
      <c r="E26" s="40">
        <v>0.06</v>
      </c>
      <c r="F26" s="40">
        <v>9.9000000000000005E-2</v>
      </c>
      <c r="G26" s="41"/>
      <c r="H26" s="40">
        <v>0.13200000000000001</v>
      </c>
      <c r="I26" s="40">
        <v>9.8000000000000004E-2</v>
      </c>
      <c r="J26" s="40">
        <v>6.0999999999999999E-2</v>
      </c>
      <c r="K26" s="40">
        <v>-5.0000000000000001E-3</v>
      </c>
      <c r="L26" s="41"/>
      <c r="M26" s="40">
        <v>4.0000000000000001E-3</v>
      </c>
      <c r="N26" s="40">
        <v>1.7999999999999999E-2</v>
      </c>
      <c r="O26" s="40">
        <v>1.6E-2</v>
      </c>
      <c r="P26" s="40">
        <v>2.5999999999999999E-2</v>
      </c>
      <c r="Q26" s="41"/>
      <c r="R26" s="40">
        <v>-3.1E-2</v>
      </c>
      <c r="S26" s="40">
        <v>-5.7000000000000002E-2</v>
      </c>
      <c r="T26" s="40"/>
      <c r="U26" s="40"/>
      <c r="V26" s="41"/>
    </row>
    <row r="27" spans="2:22" x14ac:dyDescent="0.25">
      <c r="B27" s="1" t="s">
        <v>120</v>
      </c>
      <c r="G27" s="35"/>
      <c r="L27" s="35"/>
      <c r="Q27" s="35"/>
      <c r="V27" s="35"/>
    </row>
    <row r="28" spans="2:22" x14ac:dyDescent="0.25">
      <c r="B28" s="32" t="s">
        <v>40</v>
      </c>
      <c r="C28" s="1">
        <v>1060</v>
      </c>
      <c r="D28" s="1">
        <v>1157</v>
      </c>
      <c r="E28" s="1">
        <v>1107</v>
      </c>
      <c r="F28" s="1">
        <v>1294</v>
      </c>
      <c r="G28" s="35">
        <f>SUM(C28:F28)</f>
        <v>4618</v>
      </c>
      <c r="H28" s="1">
        <v>1402</v>
      </c>
      <c r="I28" s="1">
        <v>1457</v>
      </c>
      <c r="J28" s="1">
        <v>1282</v>
      </c>
      <c r="K28" s="1">
        <v>1432</v>
      </c>
      <c r="L28" s="35">
        <f>SUM(H28:K28)</f>
        <v>5573</v>
      </c>
      <c r="M28" s="1">
        <v>1361</v>
      </c>
      <c r="N28" s="1">
        <v>1397</v>
      </c>
      <c r="O28" s="1">
        <v>1138</v>
      </c>
      <c r="P28" s="1">
        <v>1293</v>
      </c>
      <c r="Q28" s="35">
        <f>SUM(M28:P28)</f>
        <v>5189</v>
      </c>
      <c r="R28" s="1">
        <v>1260</v>
      </c>
      <c r="S28" s="1">
        <v>1247</v>
      </c>
      <c r="T28" s="1"/>
      <c r="U28" s="1"/>
      <c r="V28" s="35">
        <f>SUM(R28:U28)</f>
        <v>2507</v>
      </c>
    </row>
    <row r="29" spans="2:22" x14ac:dyDescent="0.25">
      <c r="B29" s="31" t="s">
        <v>47</v>
      </c>
      <c r="C29" s="2">
        <v>123</v>
      </c>
      <c r="D29" s="2">
        <v>113</v>
      </c>
      <c r="E29" s="2">
        <v>101</v>
      </c>
      <c r="F29" s="2">
        <v>148</v>
      </c>
      <c r="G29" s="35">
        <f>SUM(C29:F29)</f>
        <v>485</v>
      </c>
      <c r="H29" s="2">
        <v>199</v>
      </c>
      <c r="I29" s="2">
        <v>168</v>
      </c>
      <c r="J29" s="2">
        <v>122</v>
      </c>
      <c r="K29" s="2">
        <v>170</v>
      </c>
      <c r="L29" s="35">
        <f>SUM(H29:K29)</f>
        <v>659</v>
      </c>
      <c r="M29" s="2">
        <v>142</v>
      </c>
      <c r="N29" s="2">
        <v>129</v>
      </c>
      <c r="O29" s="2">
        <v>81</v>
      </c>
      <c r="P29" s="2">
        <v>125</v>
      </c>
      <c r="Q29" s="35">
        <f>SUM(M29:P29)</f>
        <v>477</v>
      </c>
      <c r="R29" s="2">
        <v>98</v>
      </c>
      <c r="S29" s="2">
        <v>125</v>
      </c>
      <c r="V29" s="35">
        <f>SUM(R29:U29)</f>
        <v>223</v>
      </c>
    </row>
    <row r="30" spans="2:22" x14ac:dyDescent="0.25">
      <c r="B30" s="31" t="s">
        <v>96</v>
      </c>
      <c r="C30" s="10">
        <v>0.11600000000000001</v>
      </c>
      <c r="D30" s="10">
        <v>9.8000000000000004E-2</v>
      </c>
      <c r="E30" s="10">
        <v>9.1999999999999998E-2</v>
      </c>
      <c r="F30" s="10">
        <v>0.115</v>
      </c>
      <c r="G30" s="39">
        <f>G29/G28</f>
        <v>0.10502381983542659</v>
      </c>
      <c r="H30" s="10">
        <v>0.14199999999999999</v>
      </c>
      <c r="I30" s="10">
        <v>0.115</v>
      </c>
      <c r="J30" s="10">
        <v>9.5000000000000001E-2</v>
      </c>
      <c r="K30" s="10">
        <v>0.11899999999999999</v>
      </c>
      <c r="L30" s="39">
        <f>L29/L28</f>
        <v>0.1182486990848735</v>
      </c>
      <c r="M30" s="10">
        <v>0.104</v>
      </c>
      <c r="N30" s="10">
        <v>9.2999999999999999E-2</v>
      </c>
      <c r="O30" s="10">
        <v>7.1999999999999995E-2</v>
      </c>
      <c r="P30" s="10">
        <v>9.7000000000000003E-2</v>
      </c>
      <c r="Q30" s="39">
        <f>Q29/Q28</f>
        <v>9.1925226440547306E-2</v>
      </c>
      <c r="R30" s="10">
        <v>7.8E-2</v>
      </c>
      <c r="S30" s="10">
        <v>0.1</v>
      </c>
      <c r="T30" s="10"/>
      <c r="U30" s="10"/>
      <c r="V30" s="39">
        <f>V29/V28</f>
        <v>8.8950937375349023E-2</v>
      </c>
    </row>
    <row r="31" spans="2:22" x14ac:dyDescent="0.25">
      <c r="B31" s="31" t="s">
        <v>112</v>
      </c>
      <c r="C31" s="2">
        <v>3332</v>
      </c>
      <c r="D31" s="2">
        <v>0</v>
      </c>
      <c r="E31" s="2">
        <v>0</v>
      </c>
      <c r="F31" s="2">
        <v>0</v>
      </c>
      <c r="G31" s="35"/>
      <c r="H31" s="2">
        <v>3770</v>
      </c>
      <c r="I31" s="2">
        <v>0</v>
      </c>
      <c r="J31" s="2">
        <v>0</v>
      </c>
      <c r="K31" s="2">
        <v>0</v>
      </c>
      <c r="L31" s="35"/>
      <c r="M31" s="2">
        <v>3098</v>
      </c>
      <c r="N31" s="2">
        <v>0</v>
      </c>
      <c r="O31" s="2">
        <v>0</v>
      </c>
      <c r="P31" s="2">
        <v>0</v>
      </c>
      <c r="Q31" s="35"/>
      <c r="R31" s="2">
        <v>3125</v>
      </c>
      <c r="S31" s="2">
        <v>2931</v>
      </c>
      <c r="V31" s="35"/>
    </row>
    <row r="32" spans="2:22" x14ac:dyDescent="0.25">
      <c r="B32" s="27" t="s">
        <v>113</v>
      </c>
      <c r="C32" s="27">
        <v>3870</v>
      </c>
      <c r="D32" s="27">
        <v>4072</v>
      </c>
      <c r="E32" s="27">
        <v>4202</v>
      </c>
      <c r="F32" s="27">
        <v>4314</v>
      </c>
      <c r="G32" s="38"/>
      <c r="H32" s="27">
        <v>4394</v>
      </c>
      <c r="I32" s="27">
        <v>4383</v>
      </c>
      <c r="J32" s="27">
        <v>4334</v>
      </c>
      <c r="K32" s="27">
        <v>4230</v>
      </c>
      <c r="L32" s="38"/>
      <c r="M32" s="27">
        <v>4137</v>
      </c>
      <c r="N32" s="27">
        <v>4024</v>
      </c>
      <c r="O32" s="27">
        <v>3908</v>
      </c>
      <c r="P32" s="27">
        <v>3820</v>
      </c>
      <c r="Q32" s="38"/>
      <c r="R32" s="27">
        <v>3787</v>
      </c>
      <c r="S32" s="27">
        <v>3725</v>
      </c>
      <c r="T32" s="27"/>
      <c r="U32" s="27"/>
      <c r="V32" s="38"/>
    </row>
    <row r="33" spans="2:22" x14ac:dyDescent="0.25">
      <c r="B33" s="32" t="s">
        <v>114</v>
      </c>
      <c r="C33" s="42">
        <v>0.16600000000000001</v>
      </c>
      <c r="D33" s="42">
        <v>0.17299999999999999</v>
      </c>
      <c r="E33" s="42">
        <v>0.30099999999999999</v>
      </c>
      <c r="F33" s="42">
        <v>0.20899999999999999</v>
      </c>
      <c r="G33" s="39"/>
      <c r="H33" s="42">
        <v>0.32200000000000001</v>
      </c>
      <c r="I33" s="42">
        <v>0.25900000000000001</v>
      </c>
      <c r="J33" s="42">
        <v>0.158</v>
      </c>
      <c r="K33" s="42">
        <v>0.107</v>
      </c>
      <c r="L33" s="39">
        <f>(L28-G28)/G28</f>
        <v>0.20679948029449979</v>
      </c>
      <c r="M33" s="42">
        <v>-2.8000000000000001E-2</v>
      </c>
      <c r="N33" s="42">
        <v>-4.1000000000000002E-2</v>
      </c>
      <c r="O33" s="42">
        <v>-0.113</v>
      </c>
      <c r="P33" s="42">
        <v>-9.7000000000000003E-2</v>
      </c>
      <c r="Q33" s="39">
        <f>(Q28-L28)/L28</f>
        <v>-6.8903642562354206E-2</v>
      </c>
      <c r="R33" s="42">
        <v>-7.3999999999999996E-2</v>
      </c>
      <c r="S33" s="42">
        <v>-0.106</v>
      </c>
      <c r="T33" s="42"/>
      <c r="U33" s="42"/>
      <c r="V33" s="39">
        <f>(V28-Q28)/Q28</f>
        <v>-0.51686259394873768</v>
      </c>
    </row>
    <row r="34" spans="2:22" x14ac:dyDescent="0.25">
      <c r="B34" s="31" t="s">
        <v>115</v>
      </c>
      <c r="C34" s="10">
        <v>2.8000000000000001E-2</v>
      </c>
      <c r="D34" s="10">
        <v>1.6E-2</v>
      </c>
      <c r="E34" s="10">
        <v>0</v>
      </c>
      <c r="F34" s="10">
        <v>0</v>
      </c>
      <c r="G34" s="39"/>
      <c r="H34" s="10">
        <v>4.0000000000000001E-3</v>
      </c>
      <c r="I34" s="10">
        <v>5.0000000000000001E-3</v>
      </c>
      <c r="J34" s="10">
        <v>3.2000000000000001E-2</v>
      </c>
      <c r="K34" s="10">
        <v>3.1E-2</v>
      </c>
      <c r="L34" s="39"/>
      <c r="M34" s="10">
        <v>0.03</v>
      </c>
      <c r="N34" s="10">
        <v>2E-3</v>
      </c>
      <c r="O34" s="10">
        <v>0</v>
      </c>
      <c r="P34" s="10">
        <v>0</v>
      </c>
      <c r="Q34" s="39"/>
      <c r="R34" s="10">
        <v>0</v>
      </c>
      <c r="S34" s="10">
        <v>0</v>
      </c>
      <c r="T34" s="10"/>
      <c r="U34" s="10"/>
      <c r="V34" s="39"/>
    </row>
    <row r="35" spans="2:22" x14ac:dyDescent="0.25">
      <c r="B35" s="31" t="s">
        <v>116</v>
      </c>
      <c r="C35" s="10">
        <v>4.8000000000000001E-2</v>
      </c>
      <c r="D35" s="10">
        <v>7.5999999999999998E-2</v>
      </c>
      <c r="E35" s="10">
        <v>0.109</v>
      </c>
      <c r="F35" s="10">
        <v>0.11</v>
      </c>
      <c r="G35" s="39"/>
      <c r="H35" s="10">
        <v>7.2999999999999995E-2</v>
      </c>
      <c r="I35" s="10">
        <v>5.7000000000000002E-2</v>
      </c>
      <c r="J35" s="10">
        <v>6.3E-2</v>
      </c>
      <c r="K35" s="10">
        <v>2.1000000000000001E-2</v>
      </c>
      <c r="L35" s="39"/>
      <c r="M35" s="10">
        <v>3.0000000000000001E-3</v>
      </c>
      <c r="N35" s="10">
        <v>-1E-3</v>
      </c>
      <c r="O35" s="10">
        <v>-3.7999999999999999E-2</v>
      </c>
      <c r="P35" s="10">
        <v>-1.4E-2</v>
      </c>
      <c r="Q35" s="39"/>
      <c r="R35" s="10">
        <v>-1.6E-2</v>
      </c>
      <c r="S35" s="10">
        <v>-4.9000000000000002E-2</v>
      </c>
      <c r="T35" s="10"/>
      <c r="U35" s="10"/>
      <c r="V35" s="39"/>
    </row>
    <row r="36" spans="2:22" x14ac:dyDescent="0.25">
      <c r="B36" s="31" t="s">
        <v>117</v>
      </c>
      <c r="C36" s="10">
        <v>4.0000000000000001E-3</v>
      </c>
      <c r="D36" s="10">
        <v>-1.7000000000000001E-2</v>
      </c>
      <c r="E36" s="10">
        <v>0.191</v>
      </c>
      <c r="F36" s="10">
        <v>-8.0000000000000002E-3</v>
      </c>
      <c r="G36" s="39"/>
      <c r="H36" s="10">
        <v>2.1999999999999999E-2</v>
      </c>
      <c r="I36" s="10">
        <v>-8.0000000000000002E-3</v>
      </c>
      <c r="J36" s="10">
        <v>-2.1000000000000001E-2</v>
      </c>
      <c r="K36" s="10">
        <v>-0.02</v>
      </c>
      <c r="L36" s="39"/>
      <c r="M36" s="10">
        <v>-2.1999999999999999E-2</v>
      </c>
      <c r="N36" s="10">
        <v>1.7000000000000001E-2</v>
      </c>
      <c r="O36" s="10">
        <v>0.01</v>
      </c>
      <c r="P36" s="10">
        <v>1.2999999999999999E-2</v>
      </c>
      <c r="Q36" s="39"/>
      <c r="R36" s="10">
        <v>-6.0000000000000001E-3</v>
      </c>
      <c r="S36" s="10">
        <v>-0.02</v>
      </c>
      <c r="T36" s="10"/>
      <c r="U36" s="10"/>
      <c r="V36" s="39"/>
    </row>
    <row r="37" spans="2:22" ht="20" thickBot="1" x14ac:dyDescent="0.3">
      <c r="B37" s="37" t="s">
        <v>118</v>
      </c>
      <c r="C37" s="40">
        <v>8.5999999999999993E-2</v>
      </c>
      <c r="D37" s="40">
        <v>9.8000000000000004E-2</v>
      </c>
      <c r="E37" s="40">
        <v>0.191</v>
      </c>
      <c r="F37" s="40">
        <v>0.106</v>
      </c>
      <c r="G37" s="41"/>
      <c r="H37" s="40">
        <v>0.224</v>
      </c>
      <c r="I37" s="40">
        <v>0.20499999999999999</v>
      </c>
      <c r="J37" s="40">
        <v>8.4000000000000005E-2</v>
      </c>
      <c r="K37" s="40">
        <v>7.5999999999999998E-2</v>
      </c>
      <c r="L37" s="41"/>
      <c r="M37" s="40">
        <v>-3.9E-2</v>
      </c>
      <c r="N37" s="40">
        <v>-5.8999999999999997E-2</v>
      </c>
      <c r="O37" s="40">
        <v>-8.5000000000000006E-2</v>
      </c>
      <c r="P37" s="40">
        <v>-9.6000000000000002E-2</v>
      </c>
      <c r="Q37" s="41"/>
      <c r="R37" s="40">
        <v>-5.0999999999999997E-2</v>
      </c>
      <c r="S37" s="40">
        <v>-3.5999999999999997E-2</v>
      </c>
      <c r="T37" s="40"/>
      <c r="U37" s="40"/>
      <c r="V37" s="41"/>
    </row>
    <row r="38" spans="2:22" x14ac:dyDescent="0.25">
      <c r="B38" s="1" t="s">
        <v>121</v>
      </c>
      <c r="G38" s="35"/>
      <c r="L38" s="35"/>
      <c r="Q38" s="35"/>
      <c r="V38" s="35"/>
    </row>
    <row r="39" spans="2:22" x14ac:dyDescent="0.25">
      <c r="B39" s="32" t="s">
        <v>40</v>
      </c>
      <c r="C39" s="1">
        <v>695</v>
      </c>
      <c r="D39" s="1">
        <v>771</v>
      </c>
      <c r="E39" s="1">
        <v>726</v>
      </c>
      <c r="F39" s="1">
        <v>840</v>
      </c>
      <c r="G39" s="35">
        <f>SUM(C39:F39)</f>
        <v>3032</v>
      </c>
      <c r="H39" s="1">
        <v>867</v>
      </c>
      <c r="I39" s="1">
        <v>884</v>
      </c>
      <c r="J39" s="1">
        <v>869</v>
      </c>
      <c r="K39" s="1">
        <v>961</v>
      </c>
      <c r="L39" s="35">
        <f>SUM(H39:K39)</f>
        <v>3581</v>
      </c>
      <c r="M39" s="1">
        <v>877</v>
      </c>
      <c r="N39" s="1">
        <v>986</v>
      </c>
      <c r="O39" s="1">
        <v>949</v>
      </c>
      <c r="P39" s="1">
        <v>1052</v>
      </c>
      <c r="Q39" s="35">
        <f>SUM(M39:P39)</f>
        <v>3864</v>
      </c>
      <c r="R39" s="1">
        <v>966</v>
      </c>
      <c r="S39" s="1">
        <v>978</v>
      </c>
      <c r="T39" s="1"/>
      <c r="U39" s="1"/>
      <c r="V39" s="35">
        <f>SUM(R39:U39)</f>
        <v>1944</v>
      </c>
    </row>
    <row r="40" spans="2:22" x14ac:dyDescent="0.25">
      <c r="B40" s="31" t="s">
        <v>47</v>
      </c>
      <c r="C40" s="2">
        <v>72</v>
      </c>
      <c r="D40" s="2">
        <v>71</v>
      </c>
      <c r="E40" s="2">
        <v>58</v>
      </c>
      <c r="F40" s="2">
        <v>94</v>
      </c>
      <c r="G40" s="35">
        <f>SUM(C40:F40)</f>
        <v>295</v>
      </c>
      <c r="H40" s="2">
        <v>91</v>
      </c>
      <c r="I40" s="2">
        <v>80</v>
      </c>
      <c r="J40" s="2">
        <v>79</v>
      </c>
      <c r="K40" s="2">
        <v>110</v>
      </c>
      <c r="L40" s="35">
        <f>SUM(H40:K40)</f>
        <v>360</v>
      </c>
      <c r="M40" s="2">
        <v>84</v>
      </c>
      <c r="N40" s="2">
        <v>97</v>
      </c>
      <c r="O40" s="2">
        <v>98</v>
      </c>
      <c r="P40" s="2">
        <v>125</v>
      </c>
      <c r="Q40" s="35">
        <f>SUM(M40:P40)</f>
        <v>404</v>
      </c>
      <c r="R40" s="2">
        <v>95</v>
      </c>
      <c r="S40" s="2">
        <v>92</v>
      </c>
      <c r="V40" s="35">
        <f>SUM(R40:U40)</f>
        <v>187</v>
      </c>
    </row>
    <row r="41" spans="2:22" x14ac:dyDescent="0.25">
      <c r="B41" s="31" t="s">
        <v>96</v>
      </c>
      <c r="C41" s="10">
        <v>0.10299999999999999</v>
      </c>
      <c r="D41" s="10">
        <v>9.1999999999999998E-2</v>
      </c>
      <c r="E41" s="10">
        <v>0.08</v>
      </c>
      <c r="F41" s="10">
        <v>0.112</v>
      </c>
      <c r="G41" s="39">
        <f>G40/G39</f>
        <v>9.7295514511873349E-2</v>
      </c>
      <c r="H41" s="10">
        <v>0.105</v>
      </c>
      <c r="I41" s="10">
        <v>0.09</v>
      </c>
      <c r="J41" s="10">
        <v>9.0999999999999998E-2</v>
      </c>
      <c r="K41" s="10">
        <v>0.114</v>
      </c>
      <c r="L41" s="39">
        <f>L40/L39</f>
        <v>0.1005305780508238</v>
      </c>
      <c r="M41" s="10">
        <v>9.6000000000000002E-2</v>
      </c>
      <c r="N41" s="10">
        <v>9.8000000000000004E-2</v>
      </c>
      <c r="O41" s="10">
        <v>0.10299999999999999</v>
      </c>
      <c r="P41" s="10">
        <v>0.11899999999999999</v>
      </c>
      <c r="Q41" s="39">
        <f>Q40/Q39</f>
        <v>0.10455486542443064</v>
      </c>
      <c r="R41" s="10">
        <v>9.9000000000000005E-2</v>
      </c>
      <c r="S41" s="10">
        <v>9.4E-2</v>
      </c>
      <c r="T41" s="10"/>
      <c r="U41" s="10"/>
      <c r="V41" s="39">
        <f>V40/V39</f>
        <v>9.6193415637860089E-2</v>
      </c>
    </row>
    <row r="42" spans="2:22" x14ac:dyDescent="0.25">
      <c r="B42" s="31" t="s">
        <v>112</v>
      </c>
      <c r="C42" s="2">
        <v>3874</v>
      </c>
      <c r="D42" s="2">
        <v>0</v>
      </c>
      <c r="E42" s="2">
        <v>0</v>
      </c>
      <c r="F42" s="2">
        <v>0</v>
      </c>
      <c r="G42" s="35"/>
      <c r="H42" s="2">
        <v>4882</v>
      </c>
      <c r="I42" s="2">
        <v>0</v>
      </c>
      <c r="J42" s="2">
        <v>0</v>
      </c>
      <c r="K42" s="2">
        <v>0</v>
      </c>
      <c r="L42" s="35"/>
      <c r="M42" s="2">
        <v>5255</v>
      </c>
      <c r="N42" s="2">
        <v>0</v>
      </c>
      <c r="O42" s="2">
        <v>0</v>
      </c>
      <c r="P42" s="2">
        <v>0</v>
      </c>
      <c r="Q42" s="35"/>
      <c r="R42" s="2">
        <v>5124</v>
      </c>
      <c r="S42" s="2">
        <v>5125</v>
      </c>
      <c r="V42" s="35"/>
    </row>
    <row r="43" spans="2:22" x14ac:dyDescent="0.25">
      <c r="B43" s="27" t="s">
        <v>113</v>
      </c>
      <c r="C43" s="27">
        <v>1676</v>
      </c>
      <c r="D43" s="27">
        <v>1738</v>
      </c>
      <c r="E43" s="27">
        <v>1783</v>
      </c>
      <c r="F43" s="27">
        <v>1819</v>
      </c>
      <c r="G43" s="38"/>
      <c r="H43" s="27">
        <v>1851</v>
      </c>
      <c r="I43" s="27">
        <v>1907</v>
      </c>
      <c r="J43" s="27">
        <v>1907</v>
      </c>
      <c r="K43" s="27">
        <v>1938</v>
      </c>
      <c r="L43" s="38"/>
      <c r="M43" s="27">
        <v>1945</v>
      </c>
      <c r="N43" s="27">
        <v>1973</v>
      </c>
      <c r="O43" s="27">
        <v>1959</v>
      </c>
      <c r="P43" s="27">
        <v>2009</v>
      </c>
      <c r="Q43" s="38"/>
      <c r="R43" s="27">
        <v>2015</v>
      </c>
      <c r="S43" s="27">
        <v>2038</v>
      </c>
      <c r="T43" s="27"/>
      <c r="U43" s="27"/>
      <c r="V43" s="38"/>
    </row>
    <row r="44" spans="2:22" x14ac:dyDescent="0.25">
      <c r="B44" s="32" t="s">
        <v>114</v>
      </c>
      <c r="C44" s="42">
        <v>-1.7000000000000001E-2</v>
      </c>
      <c r="D44" s="42">
        <v>0.14399999999999999</v>
      </c>
      <c r="E44" s="42">
        <v>0.25</v>
      </c>
      <c r="F44" s="42">
        <v>0.16500000000000001</v>
      </c>
      <c r="G44" s="39"/>
      <c r="H44" s="42">
        <v>0.247</v>
      </c>
      <c r="I44" s="42">
        <v>0.14599999999999999</v>
      </c>
      <c r="J44" s="42">
        <v>0.19700000000000001</v>
      </c>
      <c r="K44" s="42">
        <v>0.14399999999999999</v>
      </c>
      <c r="L44" s="39">
        <f>(L39-G39)/G39</f>
        <v>0.18106860158311347</v>
      </c>
      <c r="M44" s="42">
        <v>1.0999999999999999E-2</v>
      </c>
      <c r="N44" s="42">
        <v>0.11600000000000001</v>
      </c>
      <c r="O44" s="42">
        <v>9.1999999999999998E-2</v>
      </c>
      <c r="P44" s="42">
        <v>9.4E-2</v>
      </c>
      <c r="Q44" s="39">
        <f>(Q39-L39)/L39</f>
        <v>7.9028204412175368E-2</v>
      </c>
      <c r="R44" s="42">
        <v>0.10100000000000001</v>
      </c>
      <c r="S44" s="42">
        <v>-8.0000000000000002E-3</v>
      </c>
      <c r="T44" s="42"/>
      <c r="U44" s="42"/>
      <c r="V44" s="39">
        <f>(V39-Q39)/Q39</f>
        <v>-0.49689440993788819</v>
      </c>
    </row>
    <row r="45" spans="2:22" x14ac:dyDescent="0.25">
      <c r="B45" s="31" t="s">
        <v>115</v>
      </c>
      <c r="C45" s="10">
        <v>1.2999999999999999E-2</v>
      </c>
      <c r="D45" s="10">
        <v>1.4999999999999999E-2</v>
      </c>
      <c r="E45" s="10">
        <v>3.7999999999999999E-2</v>
      </c>
      <c r="F45" s="10">
        <v>2.1000000000000001E-2</v>
      </c>
      <c r="G45" s="39"/>
      <c r="H45" s="10">
        <v>2.9000000000000001E-2</v>
      </c>
      <c r="I45" s="10">
        <v>4.2999999999999997E-2</v>
      </c>
      <c r="J45" s="10">
        <v>0.03</v>
      </c>
      <c r="K45" s="10">
        <v>2.4E-2</v>
      </c>
      <c r="L45" s="39"/>
      <c r="M45" s="10">
        <v>1.6E-2</v>
      </c>
      <c r="N45" s="10">
        <v>2.5000000000000001E-2</v>
      </c>
      <c r="O45" s="10">
        <v>3.7999999999999999E-2</v>
      </c>
      <c r="P45" s="10">
        <v>3.3000000000000002E-2</v>
      </c>
      <c r="Q45" s="39"/>
      <c r="R45" s="10">
        <v>0</v>
      </c>
      <c r="S45" s="10">
        <v>0</v>
      </c>
      <c r="T45" s="10"/>
      <c r="U45" s="10"/>
      <c r="V45" s="39"/>
    </row>
    <row r="46" spans="2:22" x14ac:dyDescent="0.25">
      <c r="B46" s="31" t="s">
        <v>116</v>
      </c>
      <c r="C46" s="10">
        <v>0.04</v>
      </c>
      <c r="D46" s="10">
        <v>5.3999999999999999E-2</v>
      </c>
      <c r="E46" s="10">
        <v>8.1000000000000003E-2</v>
      </c>
      <c r="F46" s="10">
        <v>0.09</v>
      </c>
      <c r="G46" s="39"/>
      <c r="H46" s="10">
        <v>6.6000000000000003E-2</v>
      </c>
      <c r="I46" s="10">
        <v>7.6999999999999999E-2</v>
      </c>
      <c r="J46" s="10">
        <v>8.8999999999999996E-2</v>
      </c>
      <c r="K46" s="10">
        <v>3.9E-2</v>
      </c>
      <c r="L46" s="39"/>
      <c r="M46" s="10">
        <v>7.0000000000000001E-3</v>
      </c>
      <c r="N46" s="10">
        <v>-2E-3</v>
      </c>
      <c r="O46" s="10">
        <v>-2.5999999999999999E-2</v>
      </c>
      <c r="P46" s="10">
        <v>4.0000000000000001E-3</v>
      </c>
      <c r="Q46" s="39"/>
      <c r="R46" s="10">
        <v>1E-3</v>
      </c>
      <c r="S46" s="10">
        <v>-3.9E-2</v>
      </c>
      <c r="T46" s="10"/>
      <c r="U46" s="10"/>
      <c r="V46" s="39"/>
    </row>
    <row r="47" spans="2:22" x14ac:dyDescent="0.25">
      <c r="B47" s="31" t="s">
        <v>117</v>
      </c>
      <c r="C47" s="10">
        <v>8.0000000000000002E-3</v>
      </c>
      <c r="D47" s="10">
        <v>7.0000000000000001E-3</v>
      </c>
      <c r="E47" s="10">
        <v>-3.0000000000000001E-3</v>
      </c>
      <c r="F47" s="10">
        <v>-3.5999999999999997E-2</v>
      </c>
      <c r="G47" s="39"/>
      <c r="H47" s="10">
        <v>4.0000000000000001E-3</v>
      </c>
      <c r="I47" s="10">
        <v>-0.02</v>
      </c>
      <c r="J47" s="10">
        <v>-1.7000000000000001E-2</v>
      </c>
      <c r="K47" s="10">
        <v>-1.2999999999999999E-2</v>
      </c>
      <c r="L47" s="39"/>
      <c r="M47" s="10">
        <v>-2.4E-2</v>
      </c>
      <c r="N47" s="10">
        <v>5.0000000000000001E-3</v>
      </c>
      <c r="O47" s="10">
        <v>4.0000000000000001E-3</v>
      </c>
      <c r="P47" s="10">
        <v>-0.01</v>
      </c>
      <c r="Q47" s="39"/>
      <c r="R47" s="10">
        <v>-1.7000000000000001E-2</v>
      </c>
      <c r="S47" s="10">
        <v>-1.2E-2</v>
      </c>
      <c r="T47" s="10"/>
      <c r="U47" s="10"/>
      <c r="V47" s="39"/>
    </row>
    <row r="48" spans="2:22" ht="20" thickBot="1" x14ac:dyDescent="0.3">
      <c r="B48" s="37" t="s">
        <v>118</v>
      </c>
      <c r="C48" s="40">
        <v>-7.8E-2</v>
      </c>
      <c r="D48" s="40">
        <v>6.7000000000000004E-2</v>
      </c>
      <c r="E48" s="40">
        <v>0.13400000000000001</v>
      </c>
      <c r="F48" s="40">
        <v>8.8999999999999996E-2</v>
      </c>
      <c r="G48" s="41"/>
      <c r="H48" s="40">
        <v>0.14699999999999999</v>
      </c>
      <c r="I48" s="40">
        <v>4.7E-2</v>
      </c>
      <c r="J48" s="40">
        <v>9.5000000000000001E-2</v>
      </c>
      <c r="K48" s="40">
        <v>9.4E-2</v>
      </c>
      <c r="L48" s="41"/>
      <c r="M48" s="40">
        <v>1.2999999999999999E-2</v>
      </c>
      <c r="N48" s="40">
        <v>8.7999999999999995E-2</v>
      </c>
      <c r="O48" s="40">
        <v>7.5999999999999998E-2</v>
      </c>
      <c r="P48" s="40">
        <v>6.7000000000000004E-2</v>
      </c>
      <c r="Q48" s="41"/>
      <c r="R48" s="40">
        <v>0.11700000000000001</v>
      </c>
      <c r="S48" s="40">
        <v>4.2000000000000003E-2</v>
      </c>
      <c r="T48" s="40"/>
      <c r="U48" s="40"/>
      <c r="V48" s="41"/>
    </row>
    <row r="49" spans="2:22" x14ac:dyDescent="0.25">
      <c r="B49" s="1" t="s">
        <v>122</v>
      </c>
      <c r="G49" s="35"/>
      <c r="L49" s="35"/>
      <c r="Q49" s="35"/>
      <c r="V49" s="35"/>
    </row>
    <row r="50" spans="2:22" x14ac:dyDescent="0.25">
      <c r="B50" s="32" t="s">
        <v>40</v>
      </c>
      <c r="C50" s="1">
        <v>256</v>
      </c>
      <c r="D50" s="1">
        <v>298</v>
      </c>
      <c r="E50" s="1">
        <v>286</v>
      </c>
      <c r="F50" s="1">
        <v>327</v>
      </c>
      <c r="G50" s="35">
        <f>SUM(C50:F50)</f>
        <v>1167</v>
      </c>
      <c r="H50" s="1">
        <v>331</v>
      </c>
      <c r="I50" s="1">
        <v>398</v>
      </c>
      <c r="J50" s="1">
        <v>385</v>
      </c>
      <c r="K50" s="1">
        <v>453</v>
      </c>
      <c r="L50" s="35">
        <f>SUM(H50:K50)</f>
        <v>1567</v>
      </c>
      <c r="M50" s="1">
        <v>397</v>
      </c>
      <c r="N50" s="1">
        <v>459</v>
      </c>
      <c r="O50" s="1">
        <v>385</v>
      </c>
      <c r="P50" s="1">
        <v>421</v>
      </c>
      <c r="Q50" s="35">
        <f>SUM(M50:P50)</f>
        <v>1662</v>
      </c>
      <c r="R50" s="1">
        <v>388</v>
      </c>
      <c r="S50" s="1">
        <v>393</v>
      </c>
      <c r="T50" s="1"/>
      <c r="U50" s="1"/>
      <c r="V50" s="35">
        <f>SUM(R50:U50)</f>
        <v>781</v>
      </c>
    </row>
    <row r="51" spans="2:22" x14ac:dyDescent="0.25">
      <c r="B51" s="31" t="s">
        <v>47</v>
      </c>
      <c r="C51" s="2">
        <v>34</v>
      </c>
      <c r="D51" s="2">
        <v>50</v>
      </c>
      <c r="E51" s="2">
        <v>42</v>
      </c>
      <c r="F51" s="2">
        <v>7</v>
      </c>
      <c r="G51" s="35">
        <f>SUM(C51:F51)</f>
        <v>133</v>
      </c>
      <c r="H51" s="2">
        <v>45</v>
      </c>
      <c r="I51" s="2">
        <v>49</v>
      </c>
      <c r="J51" s="2">
        <v>42</v>
      </c>
      <c r="K51" s="2">
        <v>46</v>
      </c>
      <c r="L51" s="35">
        <f>SUM(H51:K51)</f>
        <v>182</v>
      </c>
      <c r="M51" s="2">
        <v>45</v>
      </c>
      <c r="N51" s="2">
        <v>72</v>
      </c>
      <c r="O51" s="2">
        <v>36</v>
      </c>
      <c r="P51" s="2">
        <v>42</v>
      </c>
      <c r="Q51" s="35">
        <f>SUM(M51:P51)</f>
        <v>195</v>
      </c>
      <c r="R51" s="2">
        <v>38</v>
      </c>
      <c r="S51" s="2">
        <v>37</v>
      </c>
      <c r="V51" s="35">
        <f>SUM(R51:U51)</f>
        <v>75</v>
      </c>
    </row>
    <row r="52" spans="2:22" x14ac:dyDescent="0.25">
      <c r="B52" s="31" t="s">
        <v>96</v>
      </c>
      <c r="C52" s="10">
        <v>0.13400000000000001</v>
      </c>
      <c r="D52" s="10">
        <v>0.16800000000000001</v>
      </c>
      <c r="E52" s="10">
        <v>0.14699999999999999</v>
      </c>
      <c r="F52" s="10">
        <v>2.3E-2</v>
      </c>
      <c r="G52" s="39">
        <f>G51/G50</f>
        <v>0.11396743787489289</v>
      </c>
      <c r="H52" s="10">
        <v>0.13600000000000001</v>
      </c>
      <c r="I52" s="10">
        <v>0.123</v>
      </c>
      <c r="J52" s="10">
        <v>0.108</v>
      </c>
      <c r="K52" s="10">
        <v>0.10199999999999999</v>
      </c>
      <c r="L52" s="39">
        <f>L51/L50</f>
        <v>0.11614550095724314</v>
      </c>
      <c r="M52" s="10">
        <v>0.114</v>
      </c>
      <c r="N52" s="10">
        <v>0.157</v>
      </c>
      <c r="O52" s="10">
        <v>9.2999999999999999E-2</v>
      </c>
      <c r="P52" s="10">
        <v>0.10100000000000001</v>
      </c>
      <c r="Q52" s="39">
        <f>Q51/Q50</f>
        <v>0.11732851985559567</v>
      </c>
      <c r="R52" s="10">
        <v>9.9000000000000005E-2</v>
      </c>
      <c r="S52" s="10">
        <v>9.4E-2</v>
      </c>
      <c r="T52" s="10"/>
      <c r="U52" s="10"/>
      <c r="V52" s="39">
        <f>V51/V50</f>
        <v>9.6030729833546741E-2</v>
      </c>
    </row>
    <row r="53" spans="2:22" x14ac:dyDescent="0.25">
      <c r="B53" s="31" t="s">
        <v>112</v>
      </c>
      <c r="C53" s="2">
        <v>307</v>
      </c>
      <c r="D53" s="2">
        <v>0</v>
      </c>
      <c r="E53" s="2">
        <v>0</v>
      </c>
      <c r="G53" s="35"/>
      <c r="H53" s="2">
        <v>352</v>
      </c>
      <c r="I53" s="2">
        <v>0</v>
      </c>
      <c r="J53" s="2">
        <v>0</v>
      </c>
      <c r="K53" s="2">
        <v>0</v>
      </c>
      <c r="L53" s="35"/>
      <c r="M53" s="2">
        <v>503</v>
      </c>
      <c r="N53" s="2">
        <v>0</v>
      </c>
      <c r="O53" s="2">
        <v>0</v>
      </c>
      <c r="P53" s="2">
        <v>0</v>
      </c>
      <c r="Q53" s="35"/>
      <c r="R53" s="2">
        <v>453</v>
      </c>
      <c r="S53" s="2">
        <v>479</v>
      </c>
      <c r="V53" s="35"/>
    </row>
    <row r="54" spans="2:22" x14ac:dyDescent="0.25">
      <c r="B54" s="27" t="s">
        <v>113</v>
      </c>
      <c r="C54" s="27">
        <v>484</v>
      </c>
      <c r="D54" s="27">
        <v>511</v>
      </c>
      <c r="E54" s="27">
        <v>527</v>
      </c>
      <c r="F54" s="27">
        <v>681</v>
      </c>
      <c r="G54" s="38"/>
      <c r="H54" s="27">
        <v>578</v>
      </c>
      <c r="I54" s="27">
        <v>758</v>
      </c>
      <c r="J54" s="27">
        <v>774</v>
      </c>
      <c r="K54" s="27">
        <v>791</v>
      </c>
      <c r="L54" s="38"/>
      <c r="M54" s="27">
        <v>770</v>
      </c>
      <c r="N54" s="27">
        <v>774</v>
      </c>
      <c r="O54" s="27">
        <v>740</v>
      </c>
      <c r="P54" s="27">
        <v>746</v>
      </c>
      <c r="Q54" s="38"/>
      <c r="R54" s="27">
        <v>752</v>
      </c>
      <c r="S54" s="27">
        <v>743</v>
      </c>
      <c r="T54" s="27"/>
      <c r="U54" s="27"/>
      <c r="V54" s="38"/>
    </row>
    <row r="55" spans="2:22" x14ac:dyDescent="0.25">
      <c r="B55" s="32" t="s">
        <v>114</v>
      </c>
      <c r="C55" s="42">
        <v>0.17799999999999999</v>
      </c>
      <c r="D55" s="42">
        <v>0.29199999999999998</v>
      </c>
      <c r="E55" s="42">
        <v>0.17</v>
      </c>
      <c r="F55" s="42">
        <v>0.11600000000000001</v>
      </c>
      <c r="G55" s="39"/>
      <c r="H55" s="42">
        <v>0.29299999999999998</v>
      </c>
      <c r="I55" s="42">
        <v>0.191</v>
      </c>
      <c r="J55" s="42">
        <v>0.249</v>
      </c>
      <c r="K55" s="42">
        <v>0.23499999999999999</v>
      </c>
      <c r="L55" s="39">
        <f>(L50-G50)/G50</f>
        <v>0.34275921165381318</v>
      </c>
      <c r="M55" s="42">
        <v>6.8000000000000005E-2</v>
      </c>
      <c r="N55" s="42">
        <v>0.152</v>
      </c>
      <c r="O55" s="42">
        <v>0</v>
      </c>
      <c r="P55" s="42">
        <v>-6.9000000000000006E-2</v>
      </c>
      <c r="Q55" s="39">
        <f>(Q50-L50)/L50</f>
        <v>6.0625398851308229E-2</v>
      </c>
      <c r="R55" s="42">
        <v>-2.3E-2</v>
      </c>
      <c r="S55" s="42">
        <v>-0.14399999999999999</v>
      </c>
      <c r="T55" s="42"/>
      <c r="U55" s="42"/>
      <c r="V55" s="39">
        <f>(V50-Q50)/Q50</f>
        <v>-0.53008423586040909</v>
      </c>
    </row>
    <row r="56" spans="2:22" x14ac:dyDescent="0.25">
      <c r="B56" s="31" t="s">
        <v>115</v>
      </c>
      <c r="C56" s="10">
        <v>0</v>
      </c>
      <c r="D56" s="10">
        <v>0</v>
      </c>
      <c r="E56" s="10">
        <v>0</v>
      </c>
      <c r="F56" s="10">
        <v>0.05</v>
      </c>
      <c r="G56" s="39"/>
      <c r="H56" s="10">
        <v>0</v>
      </c>
      <c r="I56" s="10">
        <v>0</v>
      </c>
      <c r="J56" s="10">
        <v>0</v>
      </c>
      <c r="K56" s="10">
        <v>0</v>
      </c>
      <c r="L56" s="39"/>
      <c r="M56" s="10">
        <v>0</v>
      </c>
      <c r="N56" s="10">
        <v>0</v>
      </c>
      <c r="O56" s="10">
        <v>0</v>
      </c>
      <c r="P56" s="10">
        <v>0</v>
      </c>
      <c r="Q56" s="39"/>
      <c r="R56" s="10">
        <v>0</v>
      </c>
      <c r="S56" s="10">
        <v>0</v>
      </c>
      <c r="T56" s="10"/>
      <c r="U56" s="10"/>
      <c r="V56" s="39"/>
    </row>
    <row r="57" spans="2:22" x14ac:dyDescent="0.25">
      <c r="B57" s="31" t="s">
        <v>116</v>
      </c>
      <c r="C57" s="10">
        <v>7.9000000000000001E-2</v>
      </c>
      <c r="D57" s="10">
        <v>8.2000000000000003E-2</v>
      </c>
      <c r="E57" s="10">
        <v>9.2999999999999999E-2</v>
      </c>
      <c r="F57" s="10">
        <v>1.4E-2</v>
      </c>
      <c r="G57" s="39"/>
      <c r="H57" s="10">
        <v>8.5000000000000006E-2</v>
      </c>
      <c r="I57" s="10">
        <v>0.11</v>
      </c>
      <c r="J57" s="10">
        <v>0.127</v>
      </c>
      <c r="K57" s="10">
        <v>0.05</v>
      </c>
      <c r="L57" s="39"/>
      <c r="M57" s="10">
        <v>0.01</v>
      </c>
      <c r="N57" s="10">
        <v>0.01</v>
      </c>
      <c r="O57" s="10">
        <v>-2.8000000000000001E-2</v>
      </c>
      <c r="P57" s="10">
        <v>0.01</v>
      </c>
      <c r="Q57" s="39"/>
      <c r="R57" s="10">
        <v>4.0000000000000001E-3</v>
      </c>
      <c r="S57" s="10">
        <v>-4.4999999999999998E-2</v>
      </c>
      <c r="T57" s="10"/>
      <c r="U57" s="10"/>
      <c r="V57" s="39"/>
    </row>
    <row r="58" spans="2:22" x14ac:dyDescent="0.25">
      <c r="B58" s="31" t="s">
        <v>117</v>
      </c>
      <c r="C58" s="10">
        <v>-4.0000000000000001E-3</v>
      </c>
      <c r="D58" s="10">
        <v>1.2999999999999999E-2</v>
      </c>
      <c r="E58" s="10">
        <v>-1.0999999999999999E-2</v>
      </c>
      <c r="F58" s="10">
        <v>2.7E-2</v>
      </c>
      <c r="G58" s="39"/>
      <c r="H58" s="10">
        <v>1.2E-2</v>
      </c>
      <c r="I58" s="10">
        <v>-0.02</v>
      </c>
      <c r="J58" s="10">
        <v>-1.2E-2</v>
      </c>
      <c r="K58" s="10">
        <v>-1.7999999999999999E-2</v>
      </c>
      <c r="L58" s="39"/>
      <c r="M58" s="10">
        <v>-1.6E-2</v>
      </c>
      <c r="N58" s="10">
        <v>2.7E-2</v>
      </c>
      <c r="O58" s="10">
        <v>1.4E-2</v>
      </c>
      <c r="P58" s="10">
        <v>1.7000000000000001E-2</v>
      </c>
      <c r="Q58" s="39"/>
      <c r="R58" s="10">
        <v>-1E-3</v>
      </c>
      <c r="S58" s="10">
        <v>-5.0000000000000001E-3</v>
      </c>
      <c r="T58" s="10"/>
      <c r="U58" s="10"/>
      <c r="V58" s="39"/>
    </row>
    <row r="59" spans="2:22" ht="20" thickBot="1" x14ac:dyDescent="0.3">
      <c r="B59" s="37" t="s">
        <v>118</v>
      </c>
      <c r="C59" s="40">
        <v>0.104</v>
      </c>
      <c r="D59" s="40">
        <v>0.19700000000000001</v>
      </c>
      <c r="E59" s="40">
        <v>8.7999999999999995E-2</v>
      </c>
      <c r="F59" s="40">
        <v>2.4E-2</v>
      </c>
      <c r="G59" s="41"/>
      <c r="H59" s="40">
        <v>0.19600000000000001</v>
      </c>
      <c r="I59" s="40">
        <v>0.1</v>
      </c>
      <c r="J59" s="40">
        <v>0.13400000000000001</v>
      </c>
      <c r="K59" s="40">
        <v>0.20300000000000001</v>
      </c>
      <c r="L59" s="41"/>
      <c r="M59" s="40">
        <v>7.3999999999999996E-2</v>
      </c>
      <c r="N59" s="40">
        <v>0.115</v>
      </c>
      <c r="O59" s="40">
        <v>1.4E-2</v>
      </c>
      <c r="P59" s="40">
        <v>-9.6000000000000002E-2</v>
      </c>
      <c r="Q59" s="41"/>
      <c r="R59" s="40">
        <v>-2.5999999999999999E-2</v>
      </c>
      <c r="S59" s="40">
        <v>-9.4E-2</v>
      </c>
      <c r="T59" s="40"/>
      <c r="U59" s="40"/>
      <c r="V5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7"/>
  <sheetViews>
    <sheetView showGridLines="0" workbookViewId="0">
      <selection activeCell="F14" sqref="F14"/>
    </sheetView>
  </sheetViews>
  <sheetFormatPr baseColWidth="10" defaultRowHeight="16" x14ac:dyDescent="0.2"/>
  <cols>
    <col min="3" max="3" width="34.5" bestFit="1" customWidth="1"/>
    <col min="4" max="6" width="18.6640625" bestFit="1" customWidth="1"/>
  </cols>
  <sheetData>
    <row r="4" spans="3:6" ht="62" x14ac:dyDescent="0.7">
      <c r="C4" s="25"/>
      <c r="D4" s="25">
        <v>2025</v>
      </c>
      <c r="E4" s="25">
        <v>2026</v>
      </c>
      <c r="F4" s="25">
        <v>2027</v>
      </c>
    </row>
    <row r="5" spans="3:6" ht="62" x14ac:dyDescent="0.7">
      <c r="C5" s="25" t="s">
        <v>98</v>
      </c>
      <c r="D5" s="26">
        <f>Modell!$B$9/Modell!AE11</f>
        <v>11.777020337363957</v>
      </c>
      <c r="E5" s="26">
        <f>Modell!$B$9/Modell!AF11</f>
        <v>10.53074172456159</v>
      </c>
      <c r="F5" s="26">
        <f>Modell!$B$9/Modell!AG11</f>
        <v>9.9132764219118901</v>
      </c>
    </row>
    <row r="6" spans="3:6" ht="62" x14ac:dyDescent="0.7">
      <c r="C6" s="25" t="s">
        <v>31</v>
      </c>
      <c r="D6" s="26">
        <f>Modell!$B$9/Modell!AE13</f>
        <v>12.835216725649923</v>
      </c>
      <c r="E6" s="26">
        <f>Modell!$B$9/Modell!AF13</f>
        <v>11.414277922566326</v>
      </c>
      <c r="F6" s="26">
        <f>Modell!$B$9/Modell!AG13</f>
        <v>10.777108006816187</v>
      </c>
    </row>
    <row r="7" spans="3:6" ht="62" x14ac:dyDescent="0.7">
      <c r="C7" s="25" t="s">
        <v>32</v>
      </c>
      <c r="D7" s="26">
        <f>Modell!$B$4/Modell!AE19</f>
        <v>13.512417804415687</v>
      </c>
      <c r="E7" s="26">
        <f>Modell!$B$4/Modell!AF19</f>
        <v>11.966002247040411</v>
      </c>
      <c r="F7" s="26">
        <f>Modell!$B$4/Modell!AG19</f>
        <v>11.323928316697861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CAD9-09F3-AF43-8AC1-08C61255878F}">
  <dimension ref="A3:CZ49"/>
  <sheetViews>
    <sheetView showGridLines="0" tabSelected="1"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40" sqref="R40"/>
    </sheetView>
  </sheetViews>
  <sheetFormatPr baseColWidth="10" defaultRowHeight="19" x14ac:dyDescent="0.25"/>
  <cols>
    <col min="1" max="1" width="16" style="2" customWidth="1"/>
    <col min="2" max="2" width="18.83203125" style="4" customWidth="1"/>
    <col min="3" max="3" width="35.33203125" style="2" customWidth="1"/>
    <col min="4" max="4" width="13.83203125" style="2" customWidth="1"/>
    <col min="5" max="5" width="10.83203125" style="2"/>
    <col min="6" max="13" width="11" style="2" bestFit="1" customWidth="1"/>
    <col min="14" max="14" width="11" style="4" bestFit="1" customWidth="1"/>
    <col min="15" max="26" width="11" style="2" bestFit="1" customWidth="1"/>
    <col min="27" max="27" width="14.83203125" style="2" bestFit="1" customWidth="1"/>
    <col min="28" max="28" width="11.5" style="2" customWidth="1"/>
    <col min="29" max="29" width="10.33203125" style="2" customWidth="1"/>
    <col min="30" max="106" width="11" style="2" bestFit="1" customWidth="1"/>
    <col min="107" max="16384" width="10.83203125" style="2"/>
  </cols>
  <sheetData>
    <row r="3" spans="1:25" x14ac:dyDescent="0.25">
      <c r="A3" s="1" t="s">
        <v>134</v>
      </c>
      <c r="D3" s="7" t="s">
        <v>131</v>
      </c>
      <c r="E3" s="7" t="s">
        <v>128</v>
      </c>
      <c r="F3" s="7" t="s">
        <v>129</v>
      </c>
      <c r="G3" s="7" t="s">
        <v>130</v>
      </c>
      <c r="H3" s="7" t="s">
        <v>34</v>
      </c>
      <c r="I3" s="7" t="s">
        <v>35</v>
      </c>
      <c r="J3" s="7" t="s">
        <v>36</v>
      </c>
      <c r="K3" s="7" t="s">
        <v>15</v>
      </c>
      <c r="L3" s="7" t="s">
        <v>16</v>
      </c>
      <c r="M3" s="7" t="s">
        <v>17</v>
      </c>
      <c r="N3" s="1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</row>
    <row r="4" spans="1:25" x14ac:dyDescent="0.25">
      <c r="A4" s="1" t="s">
        <v>135</v>
      </c>
      <c r="C4" s="1" t="s">
        <v>40</v>
      </c>
      <c r="D4" s="12">
        <v>9851</v>
      </c>
      <c r="E4" s="12">
        <v>11070</v>
      </c>
      <c r="F4" s="12">
        <v>12658</v>
      </c>
      <c r="G4" s="12">
        <v>13975</v>
      </c>
      <c r="H4" s="12">
        <v>19792</v>
      </c>
      <c r="I4" s="12">
        <v>18991</v>
      </c>
      <c r="J4" s="12">
        <v>20104</v>
      </c>
      <c r="K4" s="12">
        <v>23552</v>
      </c>
      <c r="L4" s="12">
        <v>26978</v>
      </c>
      <c r="M4" s="12">
        <v>27160</v>
      </c>
      <c r="N4" s="13">
        <f>M4*0.99</f>
        <v>26888.400000000001</v>
      </c>
      <c r="O4" s="12">
        <f>N4*1</f>
        <v>26888.400000000001</v>
      </c>
      <c r="P4" s="12">
        <f t="shared" ref="P4:X4" si="0">O4*1</f>
        <v>26888.400000000001</v>
      </c>
      <c r="Q4" s="12">
        <f t="shared" si="0"/>
        <v>26888.400000000001</v>
      </c>
      <c r="R4" s="12">
        <f t="shared" si="0"/>
        <v>26888.400000000001</v>
      </c>
      <c r="S4" s="12">
        <f t="shared" si="0"/>
        <v>26888.400000000001</v>
      </c>
      <c r="T4" s="12">
        <f t="shared" si="0"/>
        <v>26888.400000000001</v>
      </c>
      <c r="U4" s="12">
        <f t="shared" si="0"/>
        <v>26888.400000000001</v>
      </c>
      <c r="V4" s="12">
        <f t="shared" si="0"/>
        <v>26888.400000000001</v>
      </c>
      <c r="W4" s="12">
        <f t="shared" si="0"/>
        <v>26888.400000000001</v>
      </c>
      <c r="X4" s="12">
        <f t="shared" si="0"/>
        <v>26888.400000000001</v>
      </c>
    </row>
    <row r="5" spans="1:25" x14ac:dyDescent="0.25">
      <c r="A5" s="48">
        <f>AA24</f>
        <v>113.31842305737044</v>
      </c>
      <c r="C5" s="2" t="s">
        <v>41</v>
      </c>
      <c r="D5" s="14">
        <v>-5467</v>
      </c>
      <c r="E5" s="14">
        <v>-6139</v>
      </c>
      <c r="F5" s="14">
        <v>-7269</v>
      </c>
      <c r="G5" s="14">
        <v>-7996</v>
      </c>
      <c r="H5" s="14">
        <v>-11782</v>
      </c>
      <c r="I5" s="14">
        <v>-11860</v>
      </c>
      <c r="J5" s="14">
        <v>-12266</v>
      </c>
      <c r="K5" s="14">
        <v>-14428</v>
      </c>
      <c r="L5" s="14">
        <v>-5585</v>
      </c>
      <c r="M5" s="14">
        <v>-5701</v>
      </c>
      <c r="N5" s="15">
        <v>-5701</v>
      </c>
      <c r="O5" s="14">
        <f>N5*1.01</f>
        <v>-5758.01</v>
      </c>
      <c r="P5" s="14">
        <f t="shared" ref="P5:X5" si="1">O5*1</f>
        <v>-5758.01</v>
      </c>
      <c r="Q5" s="14">
        <f t="shared" si="1"/>
        <v>-5758.01</v>
      </c>
      <c r="R5" s="14">
        <f t="shared" si="1"/>
        <v>-5758.01</v>
      </c>
      <c r="S5" s="14">
        <f t="shared" si="1"/>
        <v>-5758.01</v>
      </c>
      <c r="T5" s="14">
        <f t="shared" si="1"/>
        <v>-5758.01</v>
      </c>
      <c r="U5" s="14">
        <f t="shared" si="1"/>
        <v>-5758.01</v>
      </c>
      <c r="V5" s="14">
        <f t="shared" si="1"/>
        <v>-5758.01</v>
      </c>
      <c r="W5" s="14">
        <f t="shared" si="1"/>
        <v>-5758.01</v>
      </c>
      <c r="X5" s="14">
        <f t="shared" si="1"/>
        <v>-5758.01</v>
      </c>
    </row>
    <row r="6" spans="1:25" x14ac:dyDescent="0.25">
      <c r="A6" s="21">
        <f>AA25</f>
        <v>-0.24353522658631221</v>
      </c>
      <c r="C6" s="2" t="s">
        <v>42</v>
      </c>
      <c r="D6" s="14">
        <v>-2672</v>
      </c>
      <c r="E6" s="14">
        <v>-2944</v>
      </c>
      <c r="F6" s="14">
        <v>-3192</v>
      </c>
      <c r="G6" s="14">
        <v>-3547</v>
      </c>
      <c r="H6" s="14">
        <v>-4408</v>
      </c>
      <c r="I6" s="14">
        <v>-3811</v>
      </c>
      <c r="J6" s="14">
        <v>-3918</v>
      </c>
      <c r="K6" s="14">
        <v>-4897</v>
      </c>
      <c r="L6" s="14">
        <v>-2366</v>
      </c>
      <c r="M6" s="14">
        <v>-2337</v>
      </c>
      <c r="N6" s="15">
        <v>-2337</v>
      </c>
      <c r="O6" s="14">
        <f t="shared" ref="O6:O8" si="2">N6*1.01</f>
        <v>-2360.37</v>
      </c>
      <c r="P6" s="14">
        <f t="shared" ref="P6:X8" si="3">O6*1</f>
        <v>-2360.37</v>
      </c>
      <c r="Q6" s="14">
        <f t="shared" si="3"/>
        <v>-2360.37</v>
      </c>
      <c r="R6" s="14">
        <f t="shared" si="3"/>
        <v>-2360.37</v>
      </c>
      <c r="S6" s="14">
        <f t="shared" si="3"/>
        <v>-2360.37</v>
      </c>
      <c r="T6" s="14">
        <f t="shared" si="3"/>
        <v>-2360.37</v>
      </c>
      <c r="U6" s="14">
        <f t="shared" si="3"/>
        <v>-2360.37</v>
      </c>
      <c r="V6" s="14">
        <f t="shared" si="3"/>
        <v>-2360.37</v>
      </c>
      <c r="W6" s="14">
        <f t="shared" si="3"/>
        <v>-2360.37</v>
      </c>
      <c r="X6" s="14">
        <f t="shared" si="3"/>
        <v>-2360.37</v>
      </c>
    </row>
    <row r="7" spans="1:25" x14ac:dyDescent="0.25">
      <c r="C7" s="2" t="s">
        <v>43</v>
      </c>
      <c r="D7" s="14">
        <f>-826-2</f>
        <v>-828</v>
      </c>
      <c r="E7" s="14">
        <f>-917</f>
        <v>-917</v>
      </c>
      <c r="F7" s="14">
        <v>-1066</v>
      </c>
      <c r="G7" s="14">
        <f>-1073</f>
        <v>-1073</v>
      </c>
      <c r="H7" s="14">
        <v>-1608</v>
      </c>
      <c r="I7" s="14">
        <v>-1245</v>
      </c>
      <c r="J7" s="14">
        <v>-1622</v>
      </c>
      <c r="K7" s="14">
        <v>-1903</v>
      </c>
      <c r="L7" s="14">
        <v>-16310</v>
      </c>
      <c r="M7" s="14">
        <v>-16315</v>
      </c>
      <c r="N7" s="15">
        <v>-16315</v>
      </c>
      <c r="O7" s="14">
        <f t="shared" si="2"/>
        <v>-16478.150000000001</v>
      </c>
      <c r="P7" s="14">
        <f t="shared" si="3"/>
        <v>-16478.150000000001</v>
      </c>
      <c r="Q7" s="14">
        <f t="shared" si="3"/>
        <v>-16478.150000000001</v>
      </c>
      <c r="R7" s="14">
        <f t="shared" si="3"/>
        <v>-16478.150000000001</v>
      </c>
      <c r="S7" s="14">
        <f t="shared" si="3"/>
        <v>-16478.150000000001</v>
      </c>
      <c r="T7" s="14">
        <f t="shared" si="3"/>
        <v>-16478.150000000001</v>
      </c>
      <c r="U7" s="14">
        <f t="shared" si="3"/>
        <v>-16478.150000000001</v>
      </c>
      <c r="V7" s="14">
        <f t="shared" si="3"/>
        <v>-16478.150000000001</v>
      </c>
      <c r="W7" s="14">
        <f t="shared" si="3"/>
        <v>-16478.150000000001</v>
      </c>
      <c r="X7" s="14">
        <f t="shared" si="3"/>
        <v>-16478.150000000001</v>
      </c>
    </row>
    <row r="8" spans="1:25" x14ac:dyDescent="0.25">
      <c r="C8" s="2" t="s">
        <v>44</v>
      </c>
      <c r="D8" s="14">
        <v>0</v>
      </c>
      <c r="E8" s="14">
        <v>10</v>
      </c>
      <c r="F8" s="14">
        <v>1</v>
      </c>
      <c r="G8" s="14">
        <v>-1</v>
      </c>
      <c r="H8" s="14">
        <v>31</v>
      </c>
      <c r="I8" s="14">
        <f>198-24+5</f>
        <v>179</v>
      </c>
      <c r="J8" s="14">
        <f>58-1+5</f>
        <v>62</v>
      </c>
      <c r="K8" s="14">
        <f>98+8</f>
        <v>106</v>
      </c>
      <c r="L8" s="14">
        <v>0</v>
      </c>
      <c r="M8" s="14">
        <f>42-8</f>
        <v>34</v>
      </c>
      <c r="N8" s="15">
        <f>42-8</f>
        <v>34</v>
      </c>
      <c r="O8" s="14">
        <f t="shared" si="2"/>
        <v>34.340000000000003</v>
      </c>
      <c r="P8" s="14">
        <f t="shared" si="3"/>
        <v>34.340000000000003</v>
      </c>
      <c r="Q8" s="14">
        <f t="shared" si="3"/>
        <v>34.340000000000003</v>
      </c>
      <c r="R8" s="14">
        <f t="shared" si="3"/>
        <v>34.340000000000003</v>
      </c>
      <c r="S8" s="14">
        <f t="shared" si="3"/>
        <v>34.340000000000003</v>
      </c>
      <c r="T8" s="14">
        <f t="shared" si="3"/>
        <v>34.340000000000003</v>
      </c>
      <c r="U8" s="14">
        <f t="shared" si="3"/>
        <v>34.340000000000003</v>
      </c>
      <c r="V8" s="14">
        <f t="shared" si="3"/>
        <v>34.340000000000003</v>
      </c>
      <c r="W8" s="14">
        <f t="shared" si="3"/>
        <v>34.340000000000003</v>
      </c>
      <c r="X8" s="14">
        <f t="shared" si="3"/>
        <v>34.340000000000003</v>
      </c>
    </row>
    <row r="9" spans="1:25" x14ac:dyDescent="0.25">
      <c r="C9" s="1" t="s">
        <v>45</v>
      </c>
      <c r="D9" s="12">
        <f t="shared" ref="D9:X9" si="4">SUM(D4:D8)</f>
        <v>884</v>
      </c>
      <c r="E9" s="12">
        <f t="shared" si="4"/>
        <v>1080</v>
      </c>
      <c r="F9" s="12">
        <f t="shared" si="4"/>
        <v>1132</v>
      </c>
      <c r="G9" s="12">
        <f t="shared" si="4"/>
        <v>1358</v>
      </c>
      <c r="H9" s="12">
        <f t="shared" si="4"/>
        <v>2025</v>
      </c>
      <c r="I9" s="12">
        <f t="shared" si="4"/>
        <v>2254</v>
      </c>
      <c r="J9" s="12">
        <f t="shared" si="4"/>
        <v>2360</v>
      </c>
      <c r="K9" s="12">
        <f t="shared" si="4"/>
        <v>2430</v>
      </c>
      <c r="L9" s="12">
        <f t="shared" si="4"/>
        <v>2717</v>
      </c>
      <c r="M9" s="12">
        <f t="shared" si="4"/>
        <v>2841</v>
      </c>
      <c r="N9" s="13">
        <f t="shared" si="4"/>
        <v>2569.4000000000015</v>
      </c>
      <c r="O9" s="12">
        <f t="shared" si="4"/>
        <v>2326.2099999999991</v>
      </c>
      <c r="P9" s="12">
        <f t="shared" si="4"/>
        <v>2326.2099999999991</v>
      </c>
      <c r="Q9" s="12">
        <f t="shared" si="4"/>
        <v>2326.2099999999991</v>
      </c>
      <c r="R9" s="12">
        <f t="shared" si="4"/>
        <v>2326.2099999999991</v>
      </c>
      <c r="S9" s="12">
        <f t="shared" si="4"/>
        <v>2326.2099999999991</v>
      </c>
      <c r="T9" s="12">
        <f t="shared" si="4"/>
        <v>2326.2099999999991</v>
      </c>
      <c r="U9" s="12">
        <f t="shared" si="4"/>
        <v>2326.2099999999991</v>
      </c>
      <c r="V9" s="12">
        <f t="shared" si="4"/>
        <v>2326.2099999999991</v>
      </c>
      <c r="W9" s="12">
        <f t="shared" si="4"/>
        <v>2326.2099999999991</v>
      </c>
      <c r="X9" s="12">
        <f t="shared" si="4"/>
        <v>2326.2099999999991</v>
      </c>
    </row>
    <row r="10" spans="1:25" x14ac:dyDescent="0.25">
      <c r="C10" s="2" t="s">
        <v>46</v>
      </c>
      <c r="D10" s="14">
        <v>-45</v>
      </c>
      <c r="E10" s="14">
        <v>-48</v>
      </c>
      <c r="F10" s="14">
        <v>-105</v>
      </c>
      <c r="G10" s="14">
        <v>-115</v>
      </c>
      <c r="H10" s="14">
        <v>-657</v>
      </c>
      <c r="I10" s="14">
        <v>-670</v>
      </c>
      <c r="J10" s="14">
        <v>-698</v>
      </c>
      <c r="K10" s="14">
        <v>-702</v>
      </c>
      <c r="L10" s="14">
        <v>-780</v>
      </c>
      <c r="M10" s="14">
        <v>-737</v>
      </c>
      <c r="N10" s="15">
        <v>-750</v>
      </c>
      <c r="O10" s="14">
        <v>-500</v>
      </c>
      <c r="P10" s="14">
        <v>-500</v>
      </c>
      <c r="Q10" s="14">
        <v>-500</v>
      </c>
      <c r="R10" s="14">
        <v>-500</v>
      </c>
      <c r="S10" s="14">
        <v>-500</v>
      </c>
      <c r="T10" s="14">
        <v>-500</v>
      </c>
      <c r="U10" s="14">
        <v>-500</v>
      </c>
      <c r="V10" s="14">
        <v>-500</v>
      </c>
      <c r="W10" s="14">
        <v>-500</v>
      </c>
      <c r="X10" s="14">
        <v>-500</v>
      </c>
    </row>
    <row r="11" spans="1:25" x14ac:dyDescent="0.25">
      <c r="C11" s="1" t="s">
        <v>47</v>
      </c>
      <c r="D11" s="12">
        <f t="shared" ref="D11:X11" si="5">SUM(D9:D10)</f>
        <v>839</v>
      </c>
      <c r="E11" s="12">
        <f t="shared" si="5"/>
        <v>1032</v>
      </c>
      <c r="F11" s="12">
        <f t="shared" si="5"/>
        <v>1027</v>
      </c>
      <c r="G11" s="12">
        <f t="shared" si="5"/>
        <v>1243</v>
      </c>
      <c r="H11" s="12">
        <f t="shared" si="5"/>
        <v>1368</v>
      </c>
      <c r="I11" s="12">
        <f t="shared" si="5"/>
        <v>1584</v>
      </c>
      <c r="J11" s="12">
        <f t="shared" si="5"/>
        <v>1662</v>
      </c>
      <c r="K11" s="12">
        <f t="shared" si="5"/>
        <v>1728</v>
      </c>
      <c r="L11" s="12">
        <f t="shared" si="5"/>
        <v>1937</v>
      </c>
      <c r="M11" s="12">
        <f t="shared" si="5"/>
        <v>2104</v>
      </c>
      <c r="N11" s="13">
        <f t="shared" si="5"/>
        <v>1819.4000000000015</v>
      </c>
      <c r="O11" s="12">
        <f t="shared" si="5"/>
        <v>1826.2099999999991</v>
      </c>
      <c r="P11" s="12">
        <f t="shared" si="5"/>
        <v>1826.2099999999991</v>
      </c>
      <c r="Q11" s="12">
        <f t="shared" si="5"/>
        <v>1826.2099999999991</v>
      </c>
      <c r="R11" s="12">
        <f t="shared" si="5"/>
        <v>1826.2099999999991</v>
      </c>
      <c r="S11" s="12">
        <f t="shared" si="5"/>
        <v>1826.2099999999991</v>
      </c>
      <c r="T11" s="12">
        <f t="shared" si="5"/>
        <v>1826.2099999999991</v>
      </c>
      <c r="U11" s="12">
        <f t="shared" si="5"/>
        <v>1826.2099999999991</v>
      </c>
      <c r="V11" s="12">
        <f t="shared" si="5"/>
        <v>1826.2099999999991</v>
      </c>
      <c r="W11" s="12">
        <f t="shared" si="5"/>
        <v>1826.2099999999991</v>
      </c>
      <c r="X11" s="12">
        <f t="shared" si="5"/>
        <v>1826.2099999999991</v>
      </c>
    </row>
    <row r="12" spans="1:25" x14ac:dyDescent="0.25">
      <c r="C12" s="2" t="s">
        <v>48</v>
      </c>
      <c r="D12" s="14">
        <v>0</v>
      </c>
      <c r="E12" s="14">
        <v>-67</v>
      </c>
      <c r="F12" s="14">
        <v>6</v>
      </c>
      <c r="G12" s="14">
        <v>-40</v>
      </c>
      <c r="H12" s="14">
        <v>-91</v>
      </c>
      <c r="I12" s="14">
        <v>-128</v>
      </c>
      <c r="J12" s="14">
        <v>-139</v>
      </c>
      <c r="K12" s="14">
        <v>-285</v>
      </c>
      <c r="L12" s="14">
        <v>-159</v>
      </c>
      <c r="M12" s="14">
        <v>-164</v>
      </c>
      <c r="N12" s="15">
        <v>-150</v>
      </c>
      <c r="O12" s="14">
        <f>N12*1.05</f>
        <v>-157.5</v>
      </c>
      <c r="P12" s="14">
        <f>O12*1.1</f>
        <v>-173.25</v>
      </c>
      <c r="Q12" s="14">
        <f t="shared" ref="Q12:X12" si="6">P12*1.1</f>
        <v>-190.57500000000002</v>
      </c>
      <c r="R12" s="14">
        <f t="shared" si="6"/>
        <v>-209.63250000000002</v>
      </c>
      <c r="S12" s="14">
        <f t="shared" si="6"/>
        <v>-230.59575000000004</v>
      </c>
      <c r="T12" s="14">
        <f t="shared" si="6"/>
        <v>-253.65532500000006</v>
      </c>
      <c r="U12" s="14">
        <f t="shared" si="6"/>
        <v>-279.02085750000009</v>
      </c>
      <c r="V12" s="14">
        <f t="shared" si="6"/>
        <v>-306.92294325000012</v>
      </c>
      <c r="W12" s="14">
        <f t="shared" si="6"/>
        <v>-337.61523757500015</v>
      </c>
      <c r="X12" s="14">
        <f t="shared" si="6"/>
        <v>-371.37676133250022</v>
      </c>
    </row>
    <row r="13" spans="1:25" x14ac:dyDescent="0.25">
      <c r="C13" s="1" t="s">
        <v>49</v>
      </c>
      <c r="D13" s="12">
        <f t="shared" ref="D13:X13" si="7">SUM(D11:D12)</f>
        <v>839</v>
      </c>
      <c r="E13" s="12">
        <f t="shared" si="7"/>
        <v>965</v>
      </c>
      <c r="F13" s="12">
        <f t="shared" si="7"/>
        <v>1033</v>
      </c>
      <c r="G13" s="12">
        <f t="shared" si="7"/>
        <v>1203</v>
      </c>
      <c r="H13" s="12">
        <f t="shared" si="7"/>
        <v>1277</v>
      </c>
      <c r="I13" s="12">
        <f t="shared" si="7"/>
        <v>1456</v>
      </c>
      <c r="J13" s="12">
        <f t="shared" si="7"/>
        <v>1523</v>
      </c>
      <c r="K13" s="12">
        <f t="shared" si="7"/>
        <v>1443</v>
      </c>
      <c r="L13" s="12">
        <f t="shared" si="7"/>
        <v>1778</v>
      </c>
      <c r="M13" s="12">
        <f t="shared" si="7"/>
        <v>1940</v>
      </c>
      <c r="N13" s="13">
        <f t="shared" si="7"/>
        <v>1669.4000000000015</v>
      </c>
      <c r="O13" s="12">
        <f t="shared" si="7"/>
        <v>1668.7099999999991</v>
      </c>
      <c r="P13" s="12">
        <f t="shared" si="7"/>
        <v>1652.9599999999991</v>
      </c>
      <c r="Q13" s="12">
        <f t="shared" si="7"/>
        <v>1635.6349999999991</v>
      </c>
      <c r="R13" s="12">
        <f t="shared" si="7"/>
        <v>1616.5774999999992</v>
      </c>
      <c r="S13" s="12">
        <f t="shared" si="7"/>
        <v>1595.6142499999992</v>
      </c>
      <c r="T13" s="12">
        <f t="shared" si="7"/>
        <v>1572.554674999999</v>
      </c>
      <c r="U13" s="12">
        <f t="shared" si="7"/>
        <v>1547.189142499999</v>
      </c>
      <c r="V13" s="12">
        <f t="shared" si="7"/>
        <v>1519.287056749999</v>
      </c>
      <c r="W13" s="12">
        <f t="shared" si="7"/>
        <v>1488.5947624249989</v>
      </c>
      <c r="X13" s="12">
        <f t="shared" si="7"/>
        <v>1454.8332386674988</v>
      </c>
    </row>
    <row r="14" spans="1:25" x14ac:dyDescent="0.25">
      <c r="C14" s="2" t="s">
        <v>50</v>
      </c>
      <c r="D14" s="14">
        <v>-40</v>
      </c>
      <c r="E14" s="14">
        <v>-42</v>
      </c>
      <c r="F14" s="14">
        <v>-76</v>
      </c>
      <c r="G14" s="14">
        <v>-99</v>
      </c>
      <c r="H14" s="14">
        <v>-237</v>
      </c>
      <c r="I14" s="14">
        <v>-185</v>
      </c>
      <c r="J14" s="14">
        <v>-129</v>
      </c>
      <c r="K14" s="14">
        <v>-224</v>
      </c>
      <c r="L14" s="14">
        <v>-337</v>
      </c>
      <c r="M14" s="14">
        <v>-305</v>
      </c>
      <c r="N14" s="15">
        <v>-100</v>
      </c>
      <c r="O14" s="14">
        <f>N14*1.05</f>
        <v>-105</v>
      </c>
      <c r="P14" s="14">
        <f>O14*1.1</f>
        <v>-115.50000000000001</v>
      </c>
      <c r="Q14" s="14">
        <f t="shared" ref="Q14:X14" si="8">P14*1.1</f>
        <v>-127.05000000000003</v>
      </c>
      <c r="R14" s="14">
        <f t="shared" si="8"/>
        <v>-139.75500000000005</v>
      </c>
      <c r="S14" s="14">
        <f t="shared" si="8"/>
        <v>-153.73050000000006</v>
      </c>
      <c r="T14" s="14">
        <f t="shared" si="8"/>
        <v>-169.10355000000007</v>
      </c>
      <c r="U14" s="14">
        <f t="shared" si="8"/>
        <v>-186.01390500000008</v>
      </c>
      <c r="V14" s="14">
        <f t="shared" si="8"/>
        <v>-204.61529550000012</v>
      </c>
      <c r="W14" s="14">
        <f t="shared" si="8"/>
        <v>-225.07682505000014</v>
      </c>
      <c r="X14" s="14">
        <f t="shared" si="8"/>
        <v>-247.58450755500019</v>
      </c>
    </row>
    <row r="15" spans="1:25" x14ac:dyDescent="0.25">
      <c r="C15" s="2" t="s">
        <v>51</v>
      </c>
      <c r="D15" s="14">
        <f t="shared" ref="D15:X15" si="9">SUM(D13:D14)</f>
        <v>799</v>
      </c>
      <c r="E15" s="14">
        <f t="shared" si="9"/>
        <v>923</v>
      </c>
      <c r="F15" s="14">
        <f t="shared" si="9"/>
        <v>957</v>
      </c>
      <c r="G15" s="14">
        <f t="shared" si="9"/>
        <v>1104</v>
      </c>
      <c r="H15" s="14">
        <f t="shared" si="9"/>
        <v>1040</v>
      </c>
      <c r="I15" s="14">
        <f t="shared" si="9"/>
        <v>1271</v>
      </c>
      <c r="J15" s="14">
        <f t="shared" si="9"/>
        <v>1394</v>
      </c>
      <c r="K15" s="14">
        <f t="shared" si="9"/>
        <v>1219</v>
      </c>
      <c r="L15" s="14">
        <f t="shared" si="9"/>
        <v>1441</v>
      </c>
      <c r="M15" s="14">
        <f t="shared" si="9"/>
        <v>1635</v>
      </c>
      <c r="N15" s="15">
        <f t="shared" si="9"/>
        <v>1569.4000000000015</v>
      </c>
      <c r="O15" s="14">
        <f t="shared" si="9"/>
        <v>1563.7099999999991</v>
      </c>
      <c r="P15" s="14">
        <f t="shared" si="9"/>
        <v>1537.4599999999991</v>
      </c>
      <c r="Q15" s="14">
        <f t="shared" si="9"/>
        <v>1508.5849999999991</v>
      </c>
      <c r="R15" s="14">
        <f t="shared" si="9"/>
        <v>1476.8224999999991</v>
      </c>
      <c r="S15" s="14">
        <f t="shared" si="9"/>
        <v>1441.8837499999991</v>
      </c>
      <c r="T15" s="14">
        <f t="shared" si="9"/>
        <v>1403.4511249999989</v>
      </c>
      <c r="U15" s="14">
        <f t="shared" si="9"/>
        <v>1361.175237499999</v>
      </c>
      <c r="V15" s="14">
        <f t="shared" si="9"/>
        <v>1314.6717612499988</v>
      </c>
      <c r="W15" s="14">
        <f t="shared" si="9"/>
        <v>1263.5179373749988</v>
      </c>
      <c r="X15" s="14">
        <f t="shared" si="9"/>
        <v>1207.2487311124987</v>
      </c>
    </row>
    <row r="16" spans="1:25" x14ac:dyDescent="0.25">
      <c r="C16" s="2" t="s">
        <v>52</v>
      </c>
      <c r="D16" s="14">
        <v>-190</v>
      </c>
      <c r="E16" s="14">
        <v>-212</v>
      </c>
      <c r="F16" s="14">
        <v>-215</v>
      </c>
      <c r="G16" s="14">
        <v>-253</v>
      </c>
      <c r="H16" s="14">
        <v>-219</v>
      </c>
      <c r="I16" s="14">
        <v>-279</v>
      </c>
      <c r="J16" s="14">
        <v>-264</v>
      </c>
      <c r="K16" s="14">
        <v>-246</v>
      </c>
      <c r="L16" s="14">
        <v>-341</v>
      </c>
      <c r="M16" s="14">
        <v>-401</v>
      </c>
      <c r="N16" s="15">
        <f>N15*-0.2</f>
        <v>-313.88000000000034</v>
      </c>
      <c r="O16" s="14">
        <f t="shared" ref="O16:X16" si="10">O15*-0.2</f>
        <v>-312.74199999999985</v>
      </c>
      <c r="P16" s="14">
        <f t="shared" si="10"/>
        <v>-307.49199999999985</v>
      </c>
      <c r="Q16" s="14">
        <f t="shared" si="10"/>
        <v>-301.71699999999981</v>
      </c>
      <c r="R16" s="14">
        <f t="shared" si="10"/>
        <v>-295.36449999999985</v>
      </c>
      <c r="S16" s="14">
        <f t="shared" si="10"/>
        <v>-288.37674999999984</v>
      </c>
      <c r="T16" s="14">
        <f t="shared" si="10"/>
        <v>-280.69022499999977</v>
      </c>
      <c r="U16" s="14">
        <f t="shared" si="10"/>
        <v>-272.23504749999978</v>
      </c>
      <c r="V16" s="14">
        <f t="shared" si="10"/>
        <v>-262.93435224999979</v>
      </c>
      <c r="W16" s="14">
        <f t="shared" si="10"/>
        <v>-252.70358747499978</v>
      </c>
      <c r="X16" s="14">
        <f t="shared" si="10"/>
        <v>-241.44974622249975</v>
      </c>
      <c r="Y16" s="14"/>
    </row>
    <row r="17" spans="1:104" x14ac:dyDescent="0.25">
      <c r="C17" s="1" t="s">
        <v>53</v>
      </c>
      <c r="D17" s="12">
        <f t="shared" ref="D17:X17" si="11">SUM(D15:D16)</f>
        <v>609</v>
      </c>
      <c r="E17" s="12">
        <f t="shared" si="11"/>
        <v>711</v>
      </c>
      <c r="F17" s="12">
        <f t="shared" si="11"/>
        <v>742</v>
      </c>
      <c r="G17" s="12">
        <f t="shared" si="11"/>
        <v>851</v>
      </c>
      <c r="H17" s="12">
        <f t="shared" si="11"/>
        <v>821</v>
      </c>
      <c r="I17" s="12">
        <f t="shared" si="11"/>
        <v>992</v>
      </c>
      <c r="J17" s="12">
        <f t="shared" si="11"/>
        <v>1130</v>
      </c>
      <c r="K17" s="12">
        <f t="shared" si="11"/>
        <v>973</v>
      </c>
      <c r="L17" s="12">
        <f t="shared" si="11"/>
        <v>1100</v>
      </c>
      <c r="M17" s="12">
        <f t="shared" si="11"/>
        <v>1234</v>
      </c>
      <c r="N17" s="13">
        <f t="shared" si="11"/>
        <v>1255.5200000000011</v>
      </c>
      <c r="O17" s="12">
        <f t="shared" si="11"/>
        <v>1250.9679999999994</v>
      </c>
      <c r="P17" s="12">
        <f t="shared" si="11"/>
        <v>1229.9679999999994</v>
      </c>
      <c r="Q17" s="12">
        <f t="shared" si="11"/>
        <v>1206.8679999999993</v>
      </c>
      <c r="R17" s="12">
        <f t="shared" si="11"/>
        <v>1181.4579999999992</v>
      </c>
      <c r="S17" s="12">
        <f t="shared" si="11"/>
        <v>1153.5069999999992</v>
      </c>
      <c r="T17" s="12">
        <f t="shared" si="11"/>
        <v>1122.7608999999991</v>
      </c>
      <c r="U17" s="12">
        <f t="shared" si="11"/>
        <v>1088.9401899999991</v>
      </c>
      <c r="V17" s="12">
        <f t="shared" si="11"/>
        <v>1051.7374089999989</v>
      </c>
      <c r="W17" s="12">
        <f t="shared" si="11"/>
        <v>1010.8143498999991</v>
      </c>
      <c r="X17" s="12">
        <f t="shared" si="11"/>
        <v>965.79898488999902</v>
      </c>
      <c r="Y17" s="12">
        <f>X17*(1+$AA$21)</f>
        <v>956.14099504109902</v>
      </c>
      <c r="Z17" s="12">
        <f t="shared" ref="Z17:CK17" si="12">Y17*(1+$AA$21)</f>
        <v>946.57958509068806</v>
      </c>
      <c r="AA17" s="12">
        <f t="shared" si="12"/>
        <v>937.11378923978111</v>
      </c>
      <c r="AB17" s="12">
        <f t="shared" si="12"/>
        <v>927.74265134738334</v>
      </c>
      <c r="AC17" s="12">
        <f t="shared" si="12"/>
        <v>918.46522483390947</v>
      </c>
      <c r="AD17" s="12">
        <f t="shared" si="12"/>
        <v>909.28057258557033</v>
      </c>
      <c r="AE17" s="12">
        <f t="shared" si="12"/>
        <v>900.18776685971466</v>
      </c>
      <c r="AF17" s="12">
        <f t="shared" si="12"/>
        <v>891.18588919111755</v>
      </c>
      <c r="AG17" s="12">
        <f t="shared" si="12"/>
        <v>882.2740302992064</v>
      </c>
      <c r="AH17" s="12">
        <f t="shared" si="12"/>
        <v>873.45128999621431</v>
      </c>
      <c r="AI17" s="12">
        <f t="shared" si="12"/>
        <v>864.71677709625214</v>
      </c>
      <c r="AJ17" s="12">
        <f t="shared" si="12"/>
        <v>856.06960932528966</v>
      </c>
      <c r="AK17" s="12">
        <f t="shared" si="12"/>
        <v>847.50891323203678</v>
      </c>
      <c r="AL17" s="12">
        <f t="shared" si="12"/>
        <v>839.03382409971641</v>
      </c>
      <c r="AM17" s="12">
        <f t="shared" si="12"/>
        <v>830.64348585871926</v>
      </c>
      <c r="AN17" s="12">
        <f t="shared" si="12"/>
        <v>822.33705100013208</v>
      </c>
      <c r="AO17" s="12">
        <f t="shared" si="12"/>
        <v>814.11368049013072</v>
      </c>
      <c r="AP17" s="12">
        <f t="shared" si="12"/>
        <v>805.97254368522943</v>
      </c>
      <c r="AQ17" s="12">
        <f t="shared" si="12"/>
        <v>797.91281824837711</v>
      </c>
      <c r="AR17" s="12">
        <f t="shared" si="12"/>
        <v>789.9336900658933</v>
      </c>
      <c r="AS17" s="12">
        <f t="shared" si="12"/>
        <v>782.03435316523439</v>
      </c>
      <c r="AT17" s="12">
        <f t="shared" si="12"/>
        <v>774.21400963358201</v>
      </c>
      <c r="AU17" s="12">
        <f t="shared" si="12"/>
        <v>766.47186953724622</v>
      </c>
      <c r="AV17" s="12">
        <f t="shared" si="12"/>
        <v>758.80715084187375</v>
      </c>
      <c r="AW17" s="12">
        <f t="shared" si="12"/>
        <v>751.21907933345506</v>
      </c>
      <c r="AX17" s="12">
        <f t="shared" si="12"/>
        <v>743.70688854012053</v>
      </c>
      <c r="AY17" s="12">
        <f t="shared" si="12"/>
        <v>736.2698196547193</v>
      </c>
      <c r="AZ17" s="12">
        <f t="shared" si="12"/>
        <v>728.90712145817213</v>
      </c>
      <c r="BA17" s="12">
        <f t="shared" si="12"/>
        <v>721.61805024359035</v>
      </c>
      <c r="BB17" s="12">
        <f t="shared" si="12"/>
        <v>714.40186974115443</v>
      </c>
      <c r="BC17" s="12">
        <f t="shared" si="12"/>
        <v>707.2578510437429</v>
      </c>
      <c r="BD17" s="12">
        <f t="shared" si="12"/>
        <v>700.18527253330547</v>
      </c>
      <c r="BE17" s="12">
        <f t="shared" si="12"/>
        <v>693.18341980797243</v>
      </c>
      <c r="BF17" s="12">
        <f t="shared" si="12"/>
        <v>686.25158560989269</v>
      </c>
      <c r="BG17" s="12">
        <f t="shared" si="12"/>
        <v>679.38906975379371</v>
      </c>
      <c r="BH17" s="12">
        <f t="shared" si="12"/>
        <v>672.5951790562558</v>
      </c>
      <c r="BI17" s="12">
        <f t="shared" si="12"/>
        <v>665.86922726569321</v>
      </c>
      <c r="BJ17" s="12">
        <f t="shared" si="12"/>
        <v>659.21053499303628</v>
      </c>
      <c r="BK17" s="12">
        <f t="shared" si="12"/>
        <v>652.61842964310586</v>
      </c>
      <c r="BL17" s="12">
        <f t="shared" si="12"/>
        <v>646.09224534667476</v>
      </c>
      <c r="BM17" s="12">
        <f t="shared" si="12"/>
        <v>639.63132289320799</v>
      </c>
      <c r="BN17" s="12">
        <f t="shared" si="12"/>
        <v>633.23500966427594</v>
      </c>
      <c r="BO17" s="12">
        <f t="shared" si="12"/>
        <v>626.90265956763312</v>
      </c>
      <c r="BP17" s="12">
        <f t="shared" si="12"/>
        <v>620.63363297195679</v>
      </c>
      <c r="BQ17" s="12">
        <f t="shared" si="12"/>
        <v>614.42729664223725</v>
      </c>
      <c r="BR17" s="12">
        <f t="shared" si="12"/>
        <v>608.28302367581489</v>
      </c>
      <c r="BS17" s="12">
        <f t="shared" si="12"/>
        <v>602.20019343905676</v>
      </c>
      <c r="BT17" s="12">
        <f t="shared" si="12"/>
        <v>596.17819150466619</v>
      </c>
      <c r="BU17" s="12">
        <f t="shared" si="12"/>
        <v>590.2164095896195</v>
      </c>
      <c r="BV17" s="12">
        <f t="shared" si="12"/>
        <v>584.31424549372332</v>
      </c>
      <c r="BW17" s="12">
        <f t="shared" si="12"/>
        <v>578.47110303878605</v>
      </c>
      <c r="BX17" s="12">
        <f t="shared" si="12"/>
        <v>572.68639200839823</v>
      </c>
      <c r="BY17" s="12">
        <f t="shared" si="12"/>
        <v>566.95952808831419</v>
      </c>
      <c r="BZ17" s="12">
        <f t="shared" si="12"/>
        <v>561.289932807431</v>
      </c>
      <c r="CA17" s="12">
        <f t="shared" si="12"/>
        <v>555.67703347935674</v>
      </c>
      <c r="CB17" s="12">
        <f t="shared" si="12"/>
        <v>550.12026314456318</v>
      </c>
      <c r="CC17" s="12">
        <f t="shared" si="12"/>
        <v>544.61906051311757</v>
      </c>
      <c r="CD17" s="12">
        <f t="shared" si="12"/>
        <v>539.17286990798641</v>
      </c>
      <c r="CE17" s="12">
        <f t="shared" si="12"/>
        <v>533.78114120890655</v>
      </c>
      <c r="CF17" s="12">
        <f t="shared" si="12"/>
        <v>528.44332979681747</v>
      </c>
      <c r="CG17" s="12">
        <f t="shared" si="12"/>
        <v>523.15889649884923</v>
      </c>
      <c r="CH17" s="12">
        <f t="shared" si="12"/>
        <v>517.9273075338607</v>
      </c>
      <c r="CI17" s="12">
        <f t="shared" si="12"/>
        <v>512.74803445852206</v>
      </c>
      <c r="CJ17" s="12">
        <f t="shared" si="12"/>
        <v>507.62055411393681</v>
      </c>
      <c r="CK17" s="12">
        <f t="shared" si="12"/>
        <v>502.54434857279745</v>
      </c>
      <c r="CL17" s="12">
        <f t="shared" ref="CL17:CZ17" si="13">CK17*(1+$AA$21)</f>
        <v>497.51890508706947</v>
      </c>
      <c r="CM17" s="12">
        <f t="shared" si="13"/>
        <v>492.54371603619876</v>
      </c>
      <c r="CN17" s="12">
        <f t="shared" si="13"/>
        <v>487.61827887583678</v>
      </c>
      <c r="CO17" s="12">
        <f t="shared" si="13"/>
        <v>482.74209608707838</v>
      </c>
      <c r="CP17" s="12">
        <f t="shared" si="13"/>
        <v>477.91467512620761</v>
      </c>
      <c r="CQ17" s="12">
        <f t="shared" si="13"/>
        <v>473.13552837494552</v>
      </c>
      <c r="CR17" s="12">
        <f t="shared" si="13"/>
        <v>468.40417309119607</v>
      </c>
      <c r="CS17" s="12">
        <f t="shared" si="13"/>
        <v>463.72013136028409</v>
      </c>
      <c r="CT17" s="12">
        <f t="shared" si="13"/>
        <v>459.08293004668121</v>
      </c>
      <c r="CU17" s="12">
        <f t="shared" si="13"/>
        <v>454.49210074621442</v>
      </c>
      <c r="CV17" s="12">
        <f t="shared" si="13"/>
        <v>449.94717973875225</v>
      </c>
      <c r="CW17" s="12">
        <f t="shared" si="13"/>
        <v>445.44770794136474</v>
      </c>
      <c r="CX17" s="12">
        <f t="shared" si="13"/>
        <v>440.99323086195108</v>
      </c>
      <c r="CY17" s="12">
        <f t="shared" si="13"/>
        <v>436.58329855333159</v>
      </c>
      <c r="CZ17" s="12">
        <f t="shared" si="13"/>
        <v>432.21746556779829</v>
      </c>
    </row>
    <row r="18" spans="1:104" x14ac:dyDescent="0.25">
      <c r="C18" s="2" t="s">
        <v>54</v>
      </c>
      <c r="D18" s="9">
        <v>79.931532000000004</v>
      </c>
      <c r="E18" s="9">
        <v>80.220365999999999</v>
      </c>
      <c r="F18" s="9">
        <v>80.169882000000001</v>
      </c>
      <c r="G18" s="9">
        <v>80.021396999999993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8">
        <v>113.251741</v>
      </c>
      <c r="O18" s="9">
        <v>113.251741</v>
      </c>
      <c r="P18" s="9">
        <v>113.251741</v>
      </c>
      <c r="Q18" s="9">
        <v>113.251741</v>
      </c>
      <c r="R18" s="9">
        <v>113.251741</v>
      </c>
      <c r="S18" s="9">
        <v>113.251741</v>
      </c>
      <c r="T18" s="9">
        <v>113.251741</v>
      </c>
      <c r="U18" s="9">
        <v>113.251741</v>
      </c>
      <c r="V18" s="9">
        <v>113.251741</v>
      </c>
      <c r="W18" s="9">
        <v>113.251741</v>
      </c>
      <c r="X18" s="9">
        <v>113.251741</v>
      </c>
    </row>
    <row r="19" spans="1:104" x14ac:dyDescent="0.25">
      <c r="C19" s="2" t="s">
        <v>55</v>
      </c>
      <c r="D19" s="19">
        <f t="shared" ref="D19:X19" si="14">D17/D18</f>
        <v>7.6190207388993869</v>
      </c>
      <c r="E19" s="19">
        <f t="shared" si="14"/>
        <v>8.8630859649780209</v>
      </c>
      <c r="F19" s="19">
        <f t="shared" si="14"/>
        <v>9.2553460412976527</v>
      </c>
      <c r="G19" s="19">
        <f t="shared" si="14"/>
        <v>10.634655628418985</v>
      </c>
      <c r="H19" s="19">
        <f t="shared" si="14"/>
        <v>7.2493366790714502</v>
      </c>
      <c r="I19" s="19">
        <f t="shared" si="14"/>
        <v>8.7592472419474774</v>
      </c>
      <c r="J19" s="19">
        <f t="shared" si="14"/>
        <v>9.9777715558474291</v>
      </c>
      <c r="K19" s="19">
        <f t="shared" si="14"/>
        <v>8.5914794016279181</v>
      </c>
      <c r="L19" s="19">
        <f t="shared" si="14"/>
        <v>9.7128749658691778</v>
      </c>
      <c r="M19" s="19">
        <f t="shared" si="14"/>
        <v>10.896079734438697</v>
      </c>
      <c r="N19" s="18">
        <f t="shared" si="14"/>
        <v>11.086098888316439</v>
      </c>
      <c r="O19" s="19">
        <f t="shared" si="14"/>
        <v>11.04590524573039</v>
      </c>
      <c r="P19" s="19">
        <f t="shared" si="14"/>
        <v>10.860477632745614</v>
      </c>
      <c r="Q19" s="19">
        <f t="shared" si="14"/>
        <v>10.65650725846236</v>
      </c>
      <c r="R19" s="19">
        <f t="shared" si="14"/>
        <v>10.432139846750781</v>
      </c>
      <c r="S19" s="19">
        <f t="shared" si="14"/>
        <v>10.185335693868046</v>
      </c>
      <c r="T19" s="19">
        <f t="shared" si="14"/>
        <v>9.9138511256970361</v>
      </c>
      <c r="U19" s="19">
        <f t="shared" si="14"/>
        <v>9.6152181007089261</v>
      </c>
      <c r="V19" s="19">
        <f t="shared" si="14"/>
        <v>9.286721773222002</v>
      </c>
      <c r="W19" s="19">
        <f t="shared" si="14"/>
        <v>8.92537581298639</v>
      </c>
      <c r="X19" s="19">
        <f t="shared" si="14"/>
        <v>8.5278952567272146</v>
      </c>
    </row>
    <row r="20" spans="1:104" x14ac:dyDescent="0.25">
      <c r="Z20" s="2" t="s">
        <v>99</v>
      </c>
      <c r="AA20" s="28">
        <v>0.08</v>
      </c>
    </row>
    <row r="21" spans="1:104" x14ac:dyDescent="0.25">
      <c r="C21" s="1" t="s">
        <v>29</v>
      </c>
      <c r="E21" s="21">
        <f t="shared" ref="E21:M21" si="15">(E4-D4)/D4</f>
        <v>0.12374378235712111</v>
      </c>
      <c r="F21" s="21">
        <f t="shared" si="15"/>
        <v>0.14345076784101174</v>
      </c>
      <c r="G21" s="21">
        <f t="shared" si="15"/>
        <v>0.10404487280771053</v>
      </c>
      <c r="H21" s="21">
        <f t="shared" si="15"/>
        <v>0.41624329159212881</v>
      </c>
      <c r="I21" s="21">
        <f t="shared" si="15"/>
        <v>-4.0470897332255458E-2</v>
      </c>
      <c r="J21" s="21">
        <f t="shared" si="15"/>
        <v>5.8606708440840399E-2</v>
      </c>
      <c r="K21" s="21">
        <f t="shared" si="15"/>
        <v>0.17150815758058097</v>
      </c>
      <c r="L21" s="21">
        <f t="shared" si="15"/>
        <v>0.14546535326086957</v>
      </c>
      <c r="M21" s="21">
        <f t="shared" si="15"/>
        <v>6.7462376751427086E-3</v>
      </c>
      <c r="N21" s="22">
        <f>(N4-M4)/M4</f>
        <v>-9.9999999999999464E-3</v>
      </c>
      <c r="O21" s="21">
        <f t="shared" ref="O21:X21" si="16">(O4-N4)/N4</f>
        <v>0</v>
      </c>
      <c r="P21" s="21">
        <f t="shared" si="16"/>
        <v>0</v>
      </c>
      <c r="Q21" s="21">
        <f t="shared" si="16"/>
        <v>0</v>
      </c>
      <c r="R21" s="21">
        <f t="shared" si="16"/>
        <v>0</v>
      </c>
      <c r="S21" s="21">
        <f t="shared" si="16"/>
        <v>0</v>
      </c>
      <c r="T21" s="21">
        <f t="shared" si="16"/>
        <v>0</v>
      </c>
      <c r="U21" s="21">
        <f t="shared" si="16"/>
        <v>0</v>
      </c>
      <c r="V21" s="21">
        <f t="shared" si="16"/>
        <v>0</v>
      </c>
      <c r="W21" s="21">
        <f t="shared" si="16"/>
        <v>0</v>
      </c>
      <c r="X21" s="21">
        <f t="shared" si="16"/>
        <v>0</v>
      </c>
      <c r="Z21" s="2" t="s">
        <v>100</v>
      </c>
      <c r="AA21" s="28">
        <v>-0.01</v>
      </c>
    </row>
    <row r="22" spans="1:104" x14ac:dyDescent="0.25">
      <c r="C22" s="2" t="s">
        <v>96</v>
      </c>
      <c r="D22" s="20">
        <f t="shared" ref="D22:X22" si="17">D11/D4</f>
        <v>8.5169018373769154E-2</v>
      </c>
      <c r="E22" s="20">
        <f t="shared" si="17"/>
        <v>9.322493224932249E-2</v>
      </c>
      <c r="F22" s="20">
        <f t="shared" si="17"/>
        <v>8.113446042028756E-2</v>
      </c>
      <c r="G22" s="20">
        <f t="shared" si="17"/>
        <v>8.8944543828264763E-2</v>
      </c>
      <c r="H22" s="20">
        <f t="shared" si="17"/>
        <v>6.9118835893290223E-2</v>
      </c>
      <c r="I22" s="20">
        <f t="shared" si="17"/>
        <v>8.3407930072139438E-2</v>
      </c>
      <c r="J22" s="20">
        <f t="shared" si="17"/>
        <v>8.2670115399920419E-2</v>
      </c>
      <c r="K22" s="20">
        <f t="shared" si="17"/>
        <v>7.3369565217391311E-2</v>
      </c>
      <c r="L22" s="20">
        <f t="shared" si="17"/>
        <v>7.1799243828304549E-2</v>
      </c>
      <c r="M22" s="20">
        <f t="shared" si="17"/>
        <v>7.7466863033873345E-2</v>
      </c>
      <c r="N22" s="23">
        <f t="shared" si="17"/>
        <v>6.766486663393885E-2</v>
      </c>
      <c r="O22" s="20">
        <f t="shared" si="17"/>
        <v>6.7918135701640819E-2</v>
      </c>
      <c r="P22" s="20">
        <f t="shared" si="17"/>
        <v>6.7918135701640819E-2</v>
      </c>
      <c r="Q22" s="20">
        <f t="shared" si="17"/>
        <v>6.7918135701640819E-2</v>
      </c>
      <c r="R22" s="20">
        <f t="shared" si="17"/>
        <v>6.7918135701640819E-2</v>
      </c>
      <c r="S22" s="20">
        <f t="shared" si="17"/>
        <v>6.7918135701640819E-2</v>
      </c>
      <c r="T22" s="20">
        <f t="shared" si="17"/>
        <v>6.7918135701640819E-2</v>
      </c>
      <c r="U22" s="20">
        <f t="shared" si="17"/>
        <v>6.7918135701640819E-2</v>
      </c>
      <c r="V22" s="20">
        <f t="shared" si="17"/>
        <v>6.7918135701640819E-2</v>
      </c>
      <c r="W22" s="20">
        <f t="shared" si="17"/>
        <v>6.7918135701640819E-2</v>
      </c>
      <c r="X22" s="20">
        <f t="shared" si="17"/>
        <v>6.7918135701640819E-2</v>
      </c>
      <c r="Z22" s="27" t="s">
        <v>101</v>
      </c>
      <c r="AA22" s="29">
        <f>NPV(AA20,N17:CZ17)</f>
        <v>12833.508698621745</v>
      </c>
    </row>
    <row r="23" spans="1:104" x14ac:dyDescent="0.25">
      <c r="C23" s="2" t="s">
        <v>30</v>
      </c>
      <c r="D23" s="20">
        <f t="shared" ref="D23:X23" si="18">D13/D4</f>
        <v>8.5169018373769154E-2</v>
      </c>
      <c r="E23" s="20">
        <f t="shared" si="18"/>
        <v>8.717253839205058E-2</v>
      </c>
      <c r="F23" s="20">
        <f t="shared" si="18"/>
        <v>8.1608468952441143E-2</v>
      </c>
      <c r="G23" s="20">
        <f t="shared" si="18"/>
        <v>8.6082289803220038E-2</v>
      </c>
      <c r="H23" s="20">
        <f t="shared" si="18"/>
        <v>6.452101859337106E-2</v>
      </c>
      <c r="I23" s="20">
        <f t="shared" si="18"/>
        <v>7.6667895318835236E-2</v>
      </c>
      <c r="J23" s="20">
        <f t="shared" si="18"/>
        <v>7.5756068444090732E-2</v>
      </c>
      <c r="K23" s="20">
        <f t="shared" si="18"/>
        <v>6.1268682065217392E-2</v>
      </c>
      <c r="L23" s="20">
        <f t="shared" si="18"/>
        <v>6.5905552672547996E-2</v>
      </c>
      <c r="M23" s="20">
        <f t="shared" si="18"/>
        <v>7.1428571428571425E-2</v>
      </c>
      <c r="N23" s="23">
        <f t="shared" si="18"/>
        <v>6.2086252807902344E-2</v>
      </c>
      <c r="O23" s="20">
        <f t="shared" si="18"/>
        <v>6.2060591184302488E-2</v>
      </c>
      <c r="P23" s="20">
        <f t="shared" si="18"/>
        <v>6.1474836732568656E-2</v>
      </c>
      <c r="Q23" s="20">
        <f t="shared" si="18"/>
        <v>6.0830506835661435E-2</v>
      </c>
      <c r="R23" s="20">
        <f t="shared" si="18"/>
        <v>6.0121743949063507E-2</v>
      </c>
      <c r="S23" s="20">
        <f t="shared" si="18"/>
        <v>5.9342104773805769E-2</v>
      </c>
      <c r="T23" s="20">
        <f t="shared" si="18"/>
        <v>5.8484501681022261E-2</v>
      </c>
      <c r="U23" s="20">
        <f t="shared" si="18"/>
        <v>5.7541138278960402E-2</v>
      </c>
      <c r="V23" s="20">
        <f t="shared" si="18"/>
        <v>5.650343853669236E-2</v>
      </c>
      <c r="W23" s="20">
        <f t="shared" si="18"/>
        <v>5.5361968820197512E-2</v>
      </c>
      <c r="X23" s="20">
        <f t="shared" si="18"/>
        <v>5.4106352132053177E-2</v>
      </c>
      <c r="Z23" s="2" t="s">
        <v>2</v>
      </c>
      <c r="AA23" s="9">
        <v>113.251741</v>
      </c>
    </row>
    <row r="24" spans="1:104" x14ac:dyDescent="0.25">
      <c r="C24" s="2" t="s">
        <v>133</v>
      </c>
      <c r="D24" s="20">
        <v>0.76900000000000002</v>
      </c>
      <c r="E24" s="20">
        <v>0.77600000000000002</v>
      </c>
      <c r="F24" s="20">
        <v>0.77600000000000002</v>
      </c>
      <c r="G24" s="20">
        <v>0.77200000000000002</v>
      </c>
      <c r="H24" s="20">
        <v>0.75800000000000001</v>
      </c>
      <c r="I24" s="20">
        <v>0.75600000000000001</v>
      </c>
      <c r="J24" s="20">
        <v>0.747</v>
      </c>
      <c r="K24" s="20">
        <v>0.747</v>
      </c>
      <c r="L24" s="20">
        <v>0.73499999999999999</v>
      </c>
      <c r="M24" s="20">
        <v>0.72699999999999998</v>
      </c>
      <c r="N24" s="23"/>
      <c r="O24" s="20"/>
      <c r="P24" s="20"/>
      <c r="Q24" s="20"/>
      <c r="R24" s="20"/>
      <c r="S24" s="20"/>
      <c r="T24" s="20"/>
      <c r="U24" s="20"/>
      <c r="V24" s="20"/>
      <c r="W24" s="20"/>
      <c r="X24" s="20"/>
      <c r="Z24" s="2" t="s">
        <v>102</v>
      </c>
      <c r="AA24" s="30">
        <f>AA22/AA23</f>
        <v>113.31842305737044</v>
      </c>
    </row>
    <row r="25" spans="1:104" s="27" customFormat="1" x14ac:dyDescent="0.25">
      <c r="B25" s="33"/>
      <c r="C25" s="27" t="s">
        <v>132</v>
      </c>
      <c r="D25" s="44">
        <v>0.14799999999999999</v>
      </c>
      <c r="E25" s="44">
        <v>0.159</v>
      </c>
      <c r="F25" s="44">
        <v>0.154</v>
      </c>
      <c r="G25" s="44">
        <v>0.161</v>
      </c>
      <c r="H25" s="44">
        <v>0.106</v>
      </c>
      <c r="I25" s="44">
        <v>9.5000000000000001E-2</v>
      </c>
      <c r="J25" s="44">
        <v>0.108</v>
      </c>
      <c r="K25" s="44">
        <v>8.5000000000000006E-2</v>
      </c>
      <c r="L25" s="44">
        <v>8.7999999999999995E-2</v>
      </c>
      <c r="M25" s="44">
        <v>9.6000000000000002E-2</v>
      </c>
      <c r="N25" s="45"/>
      <c r="O25" s="44"/>
      <c r="P25" s="44"/>
      <c r="Q25" s="44"/>
      <c r="R25" s="44"/>
      <c r="S25" s="44"/>
      <c r="T25" s="44"/>
      <c r="U25" s="44"/>
      <c r="V25" s="44"/>
      <c r="W25" s="44"/>
      <c r="X25" s="44"/>
      <c r="Z25" s="46" t="s">
        <v>103</v>
      </c>
      <c r="AA25" s="47">
        <f>(AA24-Modell!$B$4)/Modell!$B$4</f>
        <v>-0.24353522658631221</v>
      </c>
    </row>
    <row r="27" spans="1:104" x14ac:dyDescent="0.25">
      <c r="A27" s="46" t="s">
        <v>134</v>
      </c>
      <c r="B27" s="33"/>
      <c r="C27" s="27"/>
      <c r="D27" s="49" t="s">
        <v>131</v>
      </c>
      <c r="E27" s="49" t="s">
        <v>128</v>
      </c>
      <c r="F27" s="49" t="s">
        <v>129</v>
      </c>
      <c r="G27" s="49" t="s">
        <v>130</v>
      </c>
      <c r="H27" s="49" t="s">
        <v>34</v>
      </c>
      <c r="I27" s="49" t="s">
        <v>35</v>
      </c>
      <c r="J27" s="49" t="s">
        <v>36</v>
      </c>
      <c r="K27" s="49" t="s">
        <v>15</v>
      </c>
      <c r="L27" s="49" t="s">
        <v>16</v>
      </c>
      <c r="M27" s="49" t="s">
        <v>17</v>
      </c>
      <c r="N27" s="50" t="s">
        <v>18</v>
      </c>
      <c r="O27" s="49" t="s">
        <v>19</v>
      </c>
      <c r="P27" s="49" t="s">
        <v>20</v>
      </c>
      <c r="Q27" s="49" t="s">
        <v>21</v>
      </c>
      <c r="R27" s="49" t="s">
        <v>22</v>
      </c>
      <c r="S27" s="49" t="s">
        <v>23</v>
      </c>
      <c r="T27" s="49" t="s">
        <v>24</v>
      </c>
      <c r="U27" s="49" t="s">
        <v>25</v>
      </c>
      <c r="V27" s="49" t="s">
        <v>26</v>
      </c>
      <c r="W27" s="49" t="s">
        <v>27</v>
      </c>
      <c r="X27" s="49" t="s">
        <v>28</v>
      </c>
    </row>
    <row r="28" spans="1:104" x14ac:dyDescent="0.25">
      <c r="A28" s="1" t="s">
        <v>136</v>
      </c>
      <c r="C28" s="1" t="s">
        <v>40</v>
      </c>
      <c r="D28" s="12">
        <v>9851</v>
      </c>
      <c r="E28" s="12">
        <v>11070</v>
      </c>
      <c r="F28" s="12">
        <v>12658</v>
      </c>
      <c r="G28" s="12">
        <v>13975</v>
      </c>
      <c r="H28" s="12">
        <v>19792</v>
      </c>
      <c r="I28" s="12">
        <v>18991</v>
      </c>
      <c r="J28" s="12">
        <v>20104</v>
      </c>
      <c r="K28" s="12">
        <v>23552</v>
      </c>
      <c r="L28" s="12">
        <v>26978</v>
      </c>
      <c r="M28" s="12">
        <v>27160</v>
      </c>
      <c r="N28" s="13">
        <f>M28*0.99</f>
        <v>26888.400000000001</v>
      </c>
      <c r="O28" s="12">
        <f>N28*1</f>
        <v>26888.400000000001</v>
      </c>
      <c r="P28" s="12">
        <f t="shared" ref="P28:X28" si="19">O28*1</f>
        <v>26888.400000000001</v>
      </c>
      <c r="Q28" s="12">
        <f t="shared" si="19"/>
        <v>26888.400000000001</v>
      </c>
      <c r="R28" s="12">
        <f t="shared" si="19"/>
        <v>26888.400000000001</v>
      </c>
      <c r="S28" s="12">
        <f t="shared" si="19"/>
        <v>26888.400000000001</v>
      </c>
      <c r="T28" s="12">
        <f t="shared" si="19"/>
        <v>26888.400000000001</v>
      </c>
      <c r="U28" s="12">
        <f t="shared" si="19"/>
        <v>26888.400000000001</v>
      </c>
      <c r="V28" s="12">
        <f t="shared" si="19"/>
        <v>26888.400000000001</v>
      </c>
      <c r="W28" s="12">
        <f t="shared" si="19"/>
        <v>26888.400000000001</v>
      </c>
      <c r="X28" s="12">
        <f t="shared" si="19"/>
        <v>26888.400000000001</v>
      </c>
    </row>
    <row r="29" spans="1:104" x14ac:dyDescent="0.25">
      <c r="A29" s="48">
        <f>AA48</f>
        <v>88.133863961044767</v>
      </c>
      <c r="C29" s="2" t="s">
        <v>41</v>
      </c>
      <c r="D29" s="14">
        <v>-5467</v>
      </c>
      <c r="E29" s="14">
        <v>-6139</v>
      </c>
      <c r="F29" s="14">
        <v>-7269</v>
      </c>
      <c r="G29" s="14">
        <v>-7996</v>
      </c>
      <c r="H29" s="14">
        <v>-11782</v>
      </c>
      <c r="I29" s="14">
        <v>-11860</v>
      </c>
      <c r="J29" s="14">
        <v>-12266</v>
      </c>
      <c r="K29" s="14">
        <v>-14428</v>
      </c>
      <c r="L29" s="14">
        <v>-5585</v>
      </c>
      <c r="M29" s="14">
        <v>-5701</v>
      </c>
      <c r="N29" s="15">
        <v>-5701</v>
      </c>
      <c r="O29" s="14">
        <f>N29*1.01</f>
        <v>-5758.01</v>
      </c>
      <c r="P29" s="14">
        <f t="shared" ref="P29:X29" si="20">O29*1</f>
        <v>-5758.01</v>
      </c>
      <c r="Q29" s="14">
        <f t="shared" si="20"/>
        <v>-5758.01</v>
      </c>
      <c r="R29" s="14">
        <f t="shared" si="20"/>
        <v>-5758.01</v>
      </c>
      <c r="S29" s="14">
        <f t="shared" si="20"/>
        <v>-5758.01</v>
      </c>
      <c r="T29" s="14">
        <f t="shared" si="20"/>
        <v>-5758.01</v>
      </c>
      <c r="U29" s="14">
        <f t="shared" si="20"/>
        <v>-5758.01</v>
      </c>
      <c r="V29" s="14">
        <f t="shared" si="20"/>
        <v>-5758.01</v>
      </c>
      <c r="W29" s="14">
        <f t="shared" si="20"/>
        <v>-5758.01</v>
      </c>
      <c r="X29" s="14">
        <f t="shared" si="20"/>
        <v>-5758.01</v>
      </c>
    </row>
    <row r="30" spans="1:104" x14ac:dyDescent="0.25">
      <c r="A30" s="21">
        <f>AA49</f>
        <v>-0.41165644885817915</v>
      </c>
      <c r="C30" s="2" t="s">
        <v>42</v>
      </c>
      <c r="D30" s="14">
        <v>-2672</v>
      </c>
      <c r="E30" s="14">
        <v>-2944</v>
      </c>
      <c r="F30" s="14">
        <v>-3192</v>
      </c>
      <c r="G30" s="14">
        <v>-3547</v>
      </c>
      <c r="H30" s="14">
        <v>-4408</v>
      </c>
      <c r="I30" s="14">
        <v>-3811</v>
      </c>
      <c r="J30" s="14">
        <v>-3918</v>
      </c>
      <c r="K30" s="14">
        <v>-4897</v>
      </c>
      <c r="L30" s="14">
        <v>-2366</v>
      </c>
      <c r="M30" s="14">
        <v>-2337</v>
      </c>
      <c r="N30" s="15">
        <v>-2337</v>
      </c>
      <c r="O30" s="14">
        <f t="shared" ref="O30:O32" si="21">N30*1.01</f>
        <v>-2360.37</v>
      </c>
      <c r="P30" s="14">
        <f t="shared" ref="P30:X30" si="22">O30*1</f>
        <v>-2360.37</v>
      </c>
      <c r="Q30" s="14">
        <f t="shared" si="22"/>
        <v>-2360.37</v>
      </c>
      <c r="R30" s="14">
        <f t="shared" si="22"/>
        <v>-2360.37</v>
      </c>
      <c r="S30" s="14">
        <f t="shared" si="22"/>
        <v>-2360.37</v>
      </c>
      <c r="T30" s="14">
        <f t="shared" si="22"/>
        <v>-2360.37</v>
      </c>
      <c r="U30" s="14">
        <f t="shared" si="22"/>
        <v>-2360.37</v>
      </c>
      <c r="V30" s="14">
        <f t="shared" si="22"/>
        <v>-2360.37</v>
      </c>
      <c r="W30" s="14">
        <f t="shared" si="22"/>
        <v>-2360.37</v>
      </c>
      <c r="X30" s="14">
        <f t="shared" si="22"/>
        <v>-2360.37</v>
      </c>
    </row>
    <row r="31" spans="1:104" x14ac:dyDescent="0.25">
      <c r="C31" s="2" t="s">
        <v>43</v>
      </c>
      <c r="D31" s="14">
        <f>-826-2</f>
        <v>-828</v>
      </c>
      <c r="E31" s="14">
        <f>-917</f>
        <v>-917</v>
      </c>
      <c r="F31" s="14">
        <v>-1066</v>
      </c>
      <c r="G31" s="14">
        <f>-1073</f>
        <v>-1073</v>
      </c>
      <c r="H31" s="14">
        <v>-1608</v>
      </c>
      <c r="I31" s="14">
        <v>-1245</v>
      </c>
      <c r="J31" s="14">
        <v>-1622</v>
      </c>
      <c r="K31" s="14">
        <v>-1903</v>
      </c>
      <c r="L31" s="14">
        <v>-16310</v>
      </c>
      <c r="M31" s="14">
        <v>-16315</v>
      </c>
      <c r="N31" s="15">
        <v>-16315</v>
      </c>
      <c r="O31" s="14">
        <f>N31*1.03</f>
        <v>-16804.45</v>
      </c>
      <c r="P31" s="14">
        <f t="shared" ref="P31:X31" si="23">O31*1</f>
        <v>-16804.45</v>
      </c>
      <c r="Q31" s="14">
        <f t="shared" si="23"/>
        <v>-16804.45</v>
      </c>
      <c r="R31" s="14">
        <f t="shared" si="23"/>
        <v>-16804.45</v>
      </c>
      <c r="S31" s="14">
        <f t="shared" si="23"/>
        <v>-16804.45</v>
      </c>
      <c r="T31" s="14">
        <f t="shared" si="23"/>
        <v>-16804.45</v>
      </c>
      <c r="U31" s="14">
        <f t="shared" si="23"/>
        <v>-16804.45</v>
      </c>
      <c r="V31" s="14">
        <f t="shared" si="23"/>
        <v>-16804.45</v>
      </c>
      <c r="W31" s="14">
        <f t="shared" si="23"/>
        <v>-16804.45</v>
      </c>
      <c r="X31" s="14">
        <f t="shared" si="23"/>
        <v>-16804.45</v>
      </c>
    </row>
    <row r="32" spans="1:104" x14ac:dyDescent="0.25">
      <c r="C32" s="2" t="s">
        <v>44</v>
      </c>
      <c r="D32" s="14">
        <v>0</v>
      </c>
      <c r="E32" s="14">
        <v>10</v>
      </c>
      <c r="F32" s="14">
        <v>1</v>
      </c>
      <c r="G32" s="14">
        <v>-1</v>
      </c>
      <c r="H32" s="14">
        <v>31</v>
      </c>
      <c r="I32" s="14">
        <f>198-24+5</f>
        <v>179</v>
      </c>
      <c r="J32" s="14">
        <f>58-1+5</f>
        <v>62</v>
      </c>
      <c r="K32" s="14">
        <f>98+8</f>
        <v>106</v>
      </c>
      <c r="L32" s="14">
        <v>0</v>
      </c>
      <c r="M32" s="14">
        <f>42-8</f>
        <v>34</v>
      </c>
      <c r="N32" s="15">
        <f>42-8</f>
        <v>34</v>
      </c>
      <c r="O32" s="14">
        <f t="shared" si="21"/>
        <v>34.340000000000003</v>
      </c>
      <c r="P32" s="14">
        <f t="shared" ref="P32:X32" si="24">O32*1</f>
        <v>34.340000000000003</v>
      </c>
      <c r="Q32" s="14">
        <f t="shared" si="24"/>
        <v>34.340000000000003</v>
      </c>
      <c r="R32" s="14">
        <f t="shared" si="24"/>
        <v>34.340000000000003</v>
      </c>
      <c r="S32" s="14">
        <f t="shared" si="24"/>
        <v>34.340000000000003</v>
      </c>
      <c r="T32" s="14">
        <f t="shared" si="24"/>
        <v>34.340000000000003</v>
      </c>
      <c r="U32" s="14">
        <f t="shared" si="24"/>
        <v>34.340000000000003</v>
      </c>
      <c r="V32" s="14">
        <f t="shared" si="24"/>
        <v>34.340000000000003</v>
      </c>
      <c r="W32" s="14">
        <f t="shared" si="24"/>
        <v>34.340000000000003</v>
      </c>
      <c r="X32" s="14">
        <f t="shared" si="24"/>
        <v>34.340000000000003</v>
      </c>
    </row>
    <row r="33" spans="3:104" x14ac:dyDescent="0.25">
      <c r="C33" s="1" t="s">
        <v>45</v>
      </c>
      <c r="D33" s="12">
        <f t="shared" ref="D33:X33" si="25">SUM(D28:D32)</f>
        <v>884</v>
      </c>
      <c r="E33" s="12">
        <f t="shared" si="25"/>
        <v>1080</v>
      </c>
      <c r="F33" s="12">
        <f t="shared" si="25"/>
        <v>1132</v>
      </c>
      <c r="G33" s="12">
        <f t="shared" si="25"/>
        <v>1358</v>
      </c>
      <c r="H33" s="12">
        <f t="shared" si="25"/>
        <v>2025</v>
      </c>
      <c r="I33" s="12">
        <f t="shared" si="25"/>
        <v>2254</v>
      </c>
      <c r="J33" s="12">
        <f t="shared" si="25"/>
        <v>2360</v>
      </c>
      <c r="K33" s="12">
        <f t="shared" si="25"/>
        <v>2430</v>
      </c>
      <c r="L33" s="12">
        <f t="shared" si="25"/>
        <v>2717</v>
      </c>
      <c r="M33" s="12">
        <f t="shared" si="25"/>
        <v>2841</v>
      </c>
      <c r="N33" s="13">
        <f t="shared" si="25"/>
        <v>2569.4000000000015</v>
      </c>
      <c r="O33" s="12">
        <f t="shared" si="25"/>
        <v>1999.9099999999996</v>
      </c>
      <c r="P33" s="12">
        <f t="shared" si="25"/>
        <v>1999.9099999999996</v>
      </c>
      <c r="Q33" s="12">
        <f t="shared" si="25"/>
        <v>1999.9099999999996</v>
      </c>
      <c r="R33" s="12">
        <f t="shared" si="25"/>
        <v>1999.9099999999996</v>
      </c>
      <c r="S33" s="12">
        <f t="shared" si="25"/>
        <v>1999.9099999999996</v>
      </c>
      <c r="T33" s="12">
        <f t="shared" si="25"/>
        <v>1999.9099999999996</v>
      </c>
      <c r="U33" s="12">
        <f t="shared" si="25"/>
        <v>1999.9099999999996</v>
      </c>
      <c r="V33" s="12">
        <f t="shared" si="25"/>
        <v>1999.9099999999996</v>
      </c>
      <c r="W33" s="12">
        <f t="shared" si="25"/>
        <v>1999.9099999999996</v>
      </c>
      <c r="X33" s="12">
        <f t="shared" si="25"/>
        <v>1999.9099999999996</v>
      </c>
    </row>
    <row r="34" spans="3:104" x14ac:dyDescent="0.25">
      <c r="C34" s="2" t="s">
        <v>46</v>
      </c>
      <c r="D34" s="14">
        <v>-45</v>
      </c>
      <c r="E34" s="14">
        <v>-48</v>
      </c>
      <c r="F34" s="14">
        <v>-105</v>
      </c>
      <c r="G34" s="14">
        <v>-115</v>
      </c>
      <c r="H34" s="14">
        <v>-657</v>
      </c>
      <c r="I34" s="14">
        <v>-670</v>
      </c>
      <c r="J34" s="14">
        <v>-698</v>
      </c>
      <c r="K34" s="14">
        <v>-702</v>
      </c>
      <c r="L34" s="14">
        <v>-780</v>
      </c>
      <c r="M34" s="14">
        <v>-737</v>
      </c>
      <c r="N34" s="15">
        <v>-750</v>
      </c>
      <c r="O34" s="14">
        <v>-500</v>
      </c>
      <c r="P34" s="14">
        <v>-500</v>
      </c>
      <c r="Q34" s="14">
        <v>-500</v>
      </c>
      <c r="R34" s="14">
        <v>-500</v>
      </c>
      <c r="S34" s="14">
        <v>-500</v>
      </c>
      <c r="T34" s="14">
        <v>-500</v>
      </c>
      <c r="U34" s="14">
        <v>-500</v>
      </c>
      <c r="V34" s="14">
        <v>-500</v>
      </c>
      <c r="W34" s="14">
        <v>-500</v>
      </c>
      <c r="X34" s="14">
        <v>-500</v>
      </c>
    </row>
    <row r="35" spans="3:104" x14ac:dyDescent="0.25">
      <c r="C35" s="1" t="s">
        <v>47</v>
      </c>
      <c r="D35" s="12">
        <f t="shared" ref="D35:X35" si="26">SUM(D33:D34)</f>
        <v>839</v>
      </c>
      <c r="E35" s="12">
        <f t="shared" si="26"/>
        <v>1032</v>
      </c>
      <c r="F35" s="12">
        <f t="shared" si="26"/>
        <v>1027</v>
      </c>
      <c r="G35" s="12">
        <f t="shared" si="26"/>
        <v>1243</v>
      </c>
      <c r="H35" s="12">
        <f t="shared" si="26"/>
        <v>1368</v>
      </c>
      <c r="I35" s="12">
        <f t="shared" si="26"/>
        <v>1584</v>
      </c>
      <c r="J35" s="12">
        <f t="shared" si="26"/>
        <v>1662</v>
      </c>
      <c r="K35" s="12">
        <f t="shared" si="26"/>
        <v>1728</v>
      </c>
      <c r="L35" s="12">
        <f t="shared" si="26"/>
        <v>1937</v>
      </c>
      <c r="M35" s="12">
        <f t="shared" si="26"/>
        <v>2104</v>
      </c>
      <c r="N35" s="13">
        <f t="shared" si="26"/>
        <v>1819.4000000000015</v>
      </c>
      <c r="O35" s="12">
        <f t="shared" si="26"/>
        <v>1499.9099999999996</v>
      </c>
      <c r="P35" s="12">
        <f t="shared" si="26"/>
        <v>1499.9099999999996</v>
      </c>
      <c r="Q35" s="12">
        <f t="shared" si="26"/>
        <v>1499.9099999999996</v>
      </c>
      <c r="R35" s="12">
        <f t="shared" si="26"/>
        <v>1499.9099999999996</v>
      </c>
      <c r="S35" s="12">
        <f t="shared" si="26"/>
        <v>1499.9099999999996</v>
      </c>
      <c r="T35" s="12">
        <f t="shared" si="26"/>
        <v>1499.9099999999996</v>
      </c>
      <c r="U35" s="12">
        <f t="shared" si="26"/>
        <v>1499.9099999999996</v>
      </c>
      <c r="V35" s="12">
        <f t="shared" si="26"/>
        <v>1499.9099999999996</v>
      </c>
      <c r="W35" s="12">
        <f t="shared" si="26"/>
        <v>1499.9099999999996</v>
      </c>
      <c r="X35" s="12">
        <f t="shared" si="26"/>
        <v>1499.9099999999996</v>
      </c>
    </row>
    <row r="36" spans="3:104" x14ac:dyDescent="0.25">
      <c r="C36" s="2" t="s">
        <v>48</v>
      </c>
      <c r="D36" s="14">
        <v>0</v>
      </c>
      <c r="E36" s="14">
        <v>-67</v>
      </c>
      <c r="F36" s="14">
        <v>6</v>
      </c>
      <c r="G36" s="14">
        <v>-40</v>
      </c>
      <c r="H36" s="14">
        <v>-91</v>
      </c>
      <c r="I36" s="14">
        <v>-128</v>
      </c>
      <c r="J36" s="14">
        <v>-139</v>
      </c>
      <c r="K36" s="14">
        <v>-285</v>
      </c>
      <c r="L36" s="14">
        <v>-159</v>
      </c>
      <c r="M36" s="14">
        <v>-164</v>
      </c>
      <c r="N36" s="15">
        <v>-150</v>
      </c>
      <c r="O36" s="14">
        <f>N36*1.05</f>
        <v>-157.5</v>
      </c>
      <c r="P36" s="14">
        <f>O36*1.1</f>
        <v>-173.25</v>
      </c>
      <c r="Q36" s="14">
        <f t="shared" ref="Q36" si="27">P36*1.1</f>
        <v>-190.57500000000002</v>
      </c>
      <c r="R36" s="14">
        <f t="shared" ref="R36" si="28">Q36*1.1</f>
        <v>-209.63250000000002</v>
      </c>
      <c r="S36" s="14">
        <f t="shared" ref="S36" si="29">R36*1.1</f>
        <v>-230.59575000000004</v>
      </c>
      <c r="T36" s="14">
        <f t="shared" ref="T36" si="30">S36*1.1</f>
        <v>-253.65532500000006</v>
      </c>
      <c r="U36" s="14">
        <f t="shared" ref="U36" si="31">T36*1.1</f>
        <v>-279.02085750000009</v>
      </c>
      <c r="V36" s="14">
        <f t="shared" ref="V36" si="32">U36*1.1</f>
        <v>-306.92294325000012</v>
      </c>
      <c r="W36" s="14">
        <f t="shared" ref="W36" si="33">V36*1.1</f>
        <v>-337.61523757500015</v>
      </c>
      <c r="X36" s="14">
        <f t="shared" ref="X36" si="34">W36*1.1</f>
        <v>-371.37676133250022</v>
      </c>
    </row>
    <row r="37" spans="3:104" x14ac:dyDescent="0.25">
      <c r="C37" s="1" t="s">
        <v>49</v>
      </c>
      <c r="D37" s="12">
        <f t="shared" ref="D37:X37" si="35">SUM(D35:D36)</f>
        <v>839</v>
      </c>
      <c r="E37" s="12">
        <f t="shared" si="35"/>
        <v>965</v>
      </c>
      <c r="F37" s="12">
        <f t="shared" si="35"/>
        <v>1033</v>
      </c>
      <c r="G37" s="12">
        <f t="shared" si="35"/>
        <v>1203</v>
      </c>
      <c r="H37" s="12">
        <f t="shared" si="35"/>
        <v>1277</v>
      </c>
      <c r="I37" s="12">
        <f t="shared" si="35"/>
        <v>1456</v>
      </c>
      <c r="J37" s="12">
        <f t="shared" si="35"/>
        <v>1523</v>
      </c>
      <c r="K37" s="12">
        <f t="shared" si="35"/>
        <v>1443</v>
      </c>
      <c r="L37" s="12">
        <f t="shared" si="35"/>
        <v>1778</v>
      </c>
      <c r="M37" s="12">
        <f t="shared" si="35"/>
        <v>1940</v>
      </c>
      <c r="N37" s="13">
        <f t="shared" si="35"/>
        <v>1669.4000000000015</v>
      </c>
      <c r="O37" s="12">
        <f t="shared" si="35"/>
        <v>1342.4099999999996</v>
      </c>
      <c r="P37" s="12">
        <f t="shared" si="35"/>
        <v>1326.6599999999996</v>
      </c>
      <c r="Q37" s="12">
        <f t="shared" si="35"/>
        <v>1309.3349999999996</v>
      </c>
      <c r="R37" s="12">
        <f t="shared" si="35"/>
        <v>1290.2774999999997</v>
      </c>
      <c r="S37" s="12">
        <f t="shared" si="35"/>
        <v>1269.3142499999997</v>
      </c>
      <c r="T37" s="12">
        <f t="shared" si="35"/>
        <v>1246.2546749999997</v>
      </c>
      <c r="U37" s="12">
        <f t="shared" si="35"/>
        <v>1220.8891424999995</v>
      </c>
      <c r="V37" s="12">
        <f t="shared" si="35"/>
        <v>1192.9870567499995</v>
      </c>
      <c r="W37" s="12">
        <f t="shared" si="35"/>
        <v>1162.2947624249996</v>
      </c>
      <c r="X37" s="12">
        <f t="shared" si="35"/>
        <v>1128.5332386674995</v>
      </c>
    </row>
    <row r="38" spans="3:104" x14ac:dyDescent="0.25">
      <c r="C38" s="2" t="s">
        <v>50</v>
      </c>
      <c r="D38" s="14">
        <v>-40</v>
      </c>
      <c r="E38" s="14">
        <v>-42</v>
      </c>
      <c r="F38" s="14">
        <v>-76</v>
      </c>
      <c r="G38" s="14">
        <v>-99</v>
      </c>
      <c r="H38" s="14">
        <v>-237</v>
      </c>
      <c r="I38" s="14">
        <v>-185</v>
      </c>
      <c r="J38" s="14">
        <v>-129</v>
      </c>
      <c r="K38" s="14">
        <v>-224</v>
      </c>
      <c r="L38" s="14">
        <v>-337</v>
      </c>
      <c r="M38" s="14">
        <v>-305</v>
      </c>
      <c r="N38" s="15">
        <v>-100</v>
      </c>
      <c r="O38" s="14">
        <f>N38*1.05</f>
        <v>-105</v>
      </c>
      <c r="P38" s="14">
        <f>O38*1.1</f>
        <v>-115.50000000000001</v>
      </c>
      <c r="Q38" s="14">
        <f t="shared" ref="Q38" si="36">P38*1.1</f>
        <v>-127.05000000000003</v>
      </c>
      <c r="R38" s="14">
        <f t="shared" ref="R38" si="37">Q38*1.1</f>
        <v>-139.75500000000005</v>
      </c>
      <c r="S38" s="14">
        <f t="shared" ref="S38" si="38">R38*1.1</f>
        <v>-153.73050000000006</v>
      </c>
      <c r="T38" s="14">
        <f t="shared" ref="T38" si="39">S38*1.1</f>
        <v>-169.10355000000007</v>
      </c>
      <c r="U38" s="14">
        <f t="shared" ref="U38" si="40">T38*1.1</f>
        <v>-186.01390500000008</v>
      </c>
      <c r="V38" s="14">
        <f t="shared" ref="V38" si="41">U38*1.1</f>
        <v>-204.61529550000012</v>
      </c>
      <c r="W38" s="14">
        <f t="shared" ref="W38" si="42">V38*1.1</f>
        <v>-225.07682505000014</v>
      </c>
      <c r="X38" s="14">
        <f t="shared" ref="X38" si="43">W38*1.1</f>
        <v>-247.58450755500019</v>
      </c>
    </row>
    <row r="39" spans="3:104" x14ac:dyDescent="0.25">
      <c r="C39" s="2" t="s">
        <v>51</v>
      </c>
      <c r="D39" s="14">
        <f t="shared" ref="D39:X39" si="44">SUM(D37:D38)</f>
        <v>799</v>
      </c>
      <c r="E39" s="14">
        <f t="shared" si="44"/>
        <v>923</v>
      </c>
      <c r="F39" s="14">
        <f t="shared" si="44"/>
        <v>957</v>
      </c>
      <c r="G39" s="14">
        <f t="shared" si="44"/>
        <v>1104</v>
      </c>
      <c r="H39" s="14">
        <f t="shared" si="44"/>
        <v>1040</v>
      </c>
      <c r="I39" s="14">
        <f t="shared" si="44"/>
        <v>1271</v>
      </c>
      <c r="J39" s="14">
        <f t="shared" si="44"/>
        <v>1394</v>
      </c>
      <c r="K39" s="14">
        <f t="shared" si="44"/>
        <v>1219</v>
      </c>
      <c r="L39" s="14">
        <f t="shared" si="44"/>
        <v>1441</v>
      </c>
      <c r="M39" s="14">
        <f t="shared" si="44"/>
        <v>1635</v>
      </c>
      <c r="N39" s="15">
        <f t="shared" si="44"/>
        <v>1569.4000000000015</v>
      </c>
      <c r="O39" s="14">
        <f t="shared" si="44"/>
        <v>1237.4099999999996</v>
      </c>
      <c r="P39" s="14">
        <f t="shared" si="44"/>
        <v>1211.1599999999996</v>
      </c>
      <c r="Q39" s="14">
        <f t="shared" si="44"/>
        <v>1182.2849999999996</v>
      </c>
      <c r="R39" s="14">
        <f t="shared" si="44"/>
        <v>1150.5224999999996</v>
      </c>
      <c r="S39" s="14">
        <f t="shared" si="44"/>
        <v>1115.5837499999996</v>
      </c>
      <c r="T39" s="14">
        <f t="shared" si="44"/>
        <v>1077.1511249999996</v>
      </c>
      <c r="U39" s="14">
        <f t="shared" si="44"/>
        <v>1034.8752374999995</v>
      </c>
      <c r="V39" s="14">
        <f t="shared" si="44"/>
        <v>988.37176124999939</v>
      </c>
      <c r="W39" s="14">
        <f t="shared" si="44"/>
        <v>937.21793737499945</v>
      </c>
      <c r="X39" s="14">
        <f t="shared" si="44"/>
        <v>880.94873111249933</v>
      </c>
    </row>
    <row r="40" spans="3:104" x14ac:dyDescent="0.25">
      <c r="C40" s="2" t="s">
        <v>52</v>
      </c>
      <c r="D40" s="14">
        <v>-190</v>
      </c>
      <c r="E40" s="14">
        <v>-212</v>
      </c>
      <c r="F40" s="14">
        <v>-215</v>
      </c>
      <c r="G40" s="14">
        <v>-253</v>
      </c>
      <c r="H40" s="14">
        <v>-219</v>
      </c>
      <c r="I40" s="14">
        <v>-279</v>
      </c>
      <c r="J40" s="14">
        <v>-264</v>
      </c>
      <c r="K40" s="14">
        <v>-246</v>
      </c>
      <c r="L40" s="14">
        <v>-341</v>
      </c>
      <c r="M40" s="14">
        <v>-401</v>
      </c>
      <c r="N40" s="15">
        <f>N39*-0.2</f>
        <v>-313.88000000000034</v>
      </c>
      <c r="O40" s="14">
        <f t="shared" ref="O40:X40" si="45">O39*-0.2</f>
        <v>-247.48199999999994</v>
      </c>
      <c r="P40" s="14">
        <f t="shared" si="45"/>
        <v>-242.23199999999994</v>
      </c>
      <c r="Q40" s="14">
        <f t="shared" si="45"/>
        <v>-236.45699999999994</v>
      </c>
      <c r="R40" s="14">
        <f t="shared" si="45"/>
        <v>-230.10449999999992</v>
      </c>
      <c r="S40" s="14">
        <f t="shared" si="45"/>
        <v>-223.11674999999991</v>
      </c>
      <c r="T40" s="14">
        <f t="shared" si="45"/>
        <v>-215.43022499999995</v>
      </c>
      <c r="U40" s="14">
        <f t="shared" si="45"/>
        <v>-206.9750474999999</v>
      </c>
      <c r="V40" s="14">
        <f t="shared" si="45"/>
        <v>-197.67435224999988</v>
      </c>
      <c r="W40" s="14">
        <f t="shared" si="45"/>
        <v>-187.4435874749999</v>
      </c>
      <c r="X40" s="14">
        <f t="shared" si="45"/>
        <v>-176.18974622249988</v>
      </c>
      <c r="Y40" s="14"/>
    </row>
    <row r="41" spans="3:104" x14ac:dyDescent="0.25">
      <c r="C41" s="1" t="s">
        <v>53</v>
      </c>
      <c r="D41" s="12">
        <f t="shared" ref="D41:X41" si="46">SUM(D39:D40)</f>
        <v>609</v>
      </c>
      <c r="E41" s="12">
        <f t="shared" si="46"/>
        <v>711</v>
      </c>
      <c r="F41" s="12">
        <f t="shared" si="46"/>
        <v>742</v>
      </c>
      <c r="G41" s="12">
        <f t="shared" si="46"/>
        <v>851</v>
      </c>
      <c r="H41" s="12">
        <f t="shared" si="46"/>
        <v>821</v>
      </c>
      <c r="I41" s="12">
        <f t="shared" si="46"/>
        <v>992</v>
      </c>
      <c r="J41" s="12">
        <f t="shared" si="46"/>
        <v>1130</v>
      </c>
      <c r="K41" s="12">
        <f t="shared" si="46"/>
        <v>973</v>
      </c>
      <c r="L41" s="12">
        <f t="shared" si="46"/>
        <v>1100</v>
      </c>
      <c r="M41" s="12">
        <f t="shared" si="46"/>
        <v>1234</v>
      </c>
      <c r="N41" s="13">
        <f t="shared" si="46"/>
        <v>1255.5200000000011</v>
      </c>
      <c r="O41" s="12">
        <f t="shared" si="46"/>
        <v>989.92799999999966</v>
      </c>
      <c r="P41" s="12">
        <f t="shared" si="46"/>
        <v>968.92799999999966</v>
      </c>
      <c r="Q41" s="12">
        <f t="shared" si="46"/>
        <v>945.82799999999975</v>
      </c>
      <c r="R41" s="12">
        <f t="shared" si="46"/>
        <v>920.41799999999967</v>
      </c>
      <c r="S41" s="12">
        <f t="shared" si="46"/>
        <v>892.46699999999964</v>
      </c>
      <c r="T41" s="12">
        <f t="shared" si="46"/>
        <v>861.72089999999969</v>
      </c>
      <c r="U41" s="12">
        <f t="shared" si="46"/>
        <v>827.90018999999961</v>
      </c>
      <c r="V41" s="12">
        <f t="shared" si="46"/>
        <v>790.69740899999954</v>
      </c>
      <c r="W41" s="12">
        <f t="shared" si="46"/>
        <v>749.77434989999961</v>
      </c>
      <c r="X41" s="12">
        <f t="shared" si="46"/>
        <v>704.75898488999951</v>
      </c>
      <c r="Y41" s="12">
        <f>X41*(1+$AA$21)</f>
        <v>697.71139504109954</v>
      </c>
      <c r="Z41" s="12">
        <f>Y41*(1+$AA$21)</f>
        <v>690.73428109068857</v>
      </c>
      <c r="AA41" s="12">
        <f t="shared" ref="AA41:CL41" si="47">Z41*(1+$AA$21)</f>
        <v>683.82693827978164</v>
      </c>
      <c r="AB41" s="12">
        <f t="shared" si="47"/>
        <v>676.98866889698377</v>
      </c>
      <c r="AC41" s="12">
        <f t="shared" si="47"/>
        <v>670.21878220801398</v>
      </c>
      <c r="AD41" s="12">
        <f t="shared" si="47"/>
        <v>663.51659438593379</v>
      </c>
      <c r="AE41" s="12">
        <f t="shared" si="47"/>
        <v>656.88142844207448</v>
      </c>
      <c r="AF41" s="12">
        <f t="shared" si="47"/>
        <v>650.31261415765368</v>
      </c>
      <c r="AG41" s="12">
        <f t="shared" si="47"/>
        <v>643.80948801607713</v>
      </c>
      <c r="AH41" s="12">
        <f t="shared" si="47"/>
        <v>637.37139313591638</v>
      </c>
      <c r="AI41" s="12">
        <f t="shared" si="47"/>
        <v>630.99767920455724</v>
      </c>
      <c r="AJ41" s="12">
        <f t="shared" si="47"/>
        <v>624.68770241251161</v>
      </c>
      <c r="AK41" s="12">
        <f t="shared" si="47"/>
        <v>618.44082538838654</v>
      </c>
      <c r="AL41" s="12">
        <f t="shared" si="47"/>
        <v>612.25641713450273</v>
      </c>
      <c r="AM41" s="12">
        <f t="shared" si="47"/>
        <v>606.13385296315766</v>
      </c>
      <c r="AN41" s="12">
        <f t="shared" si="47"/>
        <v>600.07251443352607</v>
      </c>
      <c r="AO41" s="12">
        <f t="shared" si="47"/>
        <v>594.07178928919075</v>
      </c>
      <c r="AP41" s="12">
        <f t="shared" si="47"/>
        <v>588.13107139629881</v>
      </c>
      <c r="AQ41" s="12">
        <f t="shared" si="47"/>
        <v>582.24976068233582</v>
      </c>
      <c r="AR41" s="12">
        <f t="shared" si="47"/>
        <v>576.42726307551243</v>
      </c>
      <c r="AS41" s="12">
        <f t="shared" si="47"/>
        <v>570.66299044475727</v>
      </c>
      <c r="AT41" s="12">
        <f t="shared" si="47"/>
        <v>564.95636054030967</v>
      </c>
      <c r="AU41" s="12">
        <f t="shared" si="47"/>
        <v>559.30679693490663</v>
      </c>
      <c r="AV41" s="12">
        <f t="shared" si="47"/>
        <v>553.71372896555761</v>
      </c>
      <c r="AW41" s="12">
        <f t="shared" si="47"/>
        <v>548.17659167590205</v>
      </c>
      <c r="AX41" s="12">
        <f t="shared" si="47"/>
        <v>542.69482575914299</v>
      </c>
      <c r="AY41" s="12">
        <f t="shared" si="47"/>
        <v>537.26787750155154</v>
      </c>
      <c r="AZ41" s="12">
        <f t="shared" si="47"/>
        <v>531.89519872653602</v>
      </c>
      <c r="BA41" s="12">
        <f t="shared" si="47"/>
        <v>526.57624673927069</v>
      </c>
      <c r="BB41" s="12">
        <f t="shared" si="47"/>
        <v>521.31048427187795</v>
      </c>
      <c r="BC41" s="12">
        <f t="shared" si="47"/>
        <v>516.09737942915922</v>
      </c>
      <c r="BD41" s="12">
        <f t="shared" si="47"/>
        <v>510.93640563486764</v>
      </c>
      <c r="BE41" s="12">
        <f t="shared" si="47"/>
        <v>505.82704157851896</v>
      </c>
      <c r="BF41" s="12">
        <f t="shared" si="47"/>
        <v>500.76877116273374</v>
      </c>
      <c r="BG41" s="12">
        <f t="shared" si="47"/>
        <v>495.7610834511064</v>
      </c>
      <c r="BH41" s="12">
        <f t="shared" si="47"/>
        <v>490.80347261659534</v>
      </c>
      <c r="BI41" s="12">
        <f t="shared" si="47"/>
        <v>485.89543789042938</v>
      </c>
      <c r="BJ41" s="12">
        <f t="shared" si="47"/>
        <v>481.03648351152509</v>
      </c>
      <c r="BK41" s="12">
        <f t="shared" si="47"/>
        <v>476.22611867640984</v>
      </c>
      <c r="BL41" s="12">
        <f t="shared" si="47"/>
        <v>471.46385748964576</v>
      </c>
      <c r="BM41" s="12">
        <f t="shared" si="47"/>
        <v>466.74921891474929</v>
      </c>
      <c r="BN41" s="12">
        <f t="shared" si="47"/>
        <v>462.08172672560181</v>
      </c>
      <c r="BO41" s="12">
        <f t="shared" si="47"/>
        <v>457.46090945834578</v>
      </c>
      <c r="BP41" s="12">
        <f t="shared" si="47"/>
        <v>452.8863003637623</v>
      </c>
      <c r="BQ41" s="12">
        <f t="shared" si="47"/>
        <v>448.35743736012466</v>
      </c>
      <c r="BR41" s="12">
        <f t="shared" si="47"/>
        <v>443.87386298652342</v>
      </c>
      <c r="BS41" s="12">
        <f t="shared" si="47"/>
        <v>439.43512435665821</v>
      </c>
      <c r="BT41" s="12">
        <f t="shared" si="47"/>
        <v>435.04077311309163</v>
      </c>
      <c r="BU41" s="12">
        <f t="shared" si="47"/>
        <v>430.6903653819607</v>
      </c>
      <c r="BV41" s="12">
        <f t="shared" si="47"/>
        <v>426.38346172814107</v>
      </c>
      <c r="BW41" s="12">
        <f t="shared" si="47"/>
        <v>422.11962711085965</v>
      </c>
      <c r="BX41" s="12">
        <f t="shared" si="47"/>
        <v>417.89843083975103</v>
      </c>
      <c r="BY41" s="12">
        <f t="shared" si="47"/>
        <v>413.71944653135353</v>
      </c>
      <c r="BZ41" s="12">
        <f t="shared" si="47"/>
        <v>409.58225206603998</v>
      </c>
      <c r="CA41" s="12">
        <f t="shared" si="47"/>
        <v>405.48642954537956</v>
      </c>
      <c r="CB41" s="12">
        <f t="shared" si="47"/>
        <v>401.43156524992577</v>
      </c>
      <c r="CC41" s="12">
        <f t="shared" si="47"/>
        <v>397.41724959742652</v>
      </c>
      <c r="CD41" s="12">
        <f t="shared" si="47"/>
        <v>393.44307710145227</v>
      </c>
      <c r="CE41" s="12">
        <f t="shared" si="47"/>
        <v>389.50864633043773</v>
      </c>
      <c r="CF41" s="12">
        <f t="shared" si="47"/>
        <v>385.61355986713335</v>
      </c>
      <c r="CG41" s="12">
        <f t="shared" si="47"/>
        <v>381.75742426846199</v>
      </c>
      <c r="CH41" s="12">
        <f t="shared" si="47"/>
        <v>377.93985002577739</v>
      </c>
      <c r="CI41" s="12">
        <f t="shared" si="47"/>
        <v>374.16045152551959</v>
      </c>
      <c r="CJ41" s="12">
        <f t="shared" si="47"/>
        <v>370.41884701026441</v>
      </c>
      <c r="CK41" s="12">
        <f t="shared" si="47"/>
        <v>366.71465854016179</v>
      </c>
      <c r="CL41" s="12">
        <f t="shared" si="47"/>
        <v>363.04751195476018</v>
      </c>
      <c r="CM41" s="12">
        <f t="shared" ref="CM41:CZ41" si="48">CL41*(1+$AA$21)</f>
        <v>359.41703683521257</v>
      </c>
      <c r="CN41" s="12">
        <f t="shared" si="48"/>
        <v>355.82286646686043</v>
      </c>
      <c r="CO41" s="12">
        <f t="shared" si="48"/>
        <v>352.26463780219183</v>
      </c>
      <c r="CP41" s="12">
        <f t="shared" si="48"/>
        <v>348.7419914241699</v>
      </c>
      <c r="CQ41" s="12">
        <f t="shared" si="48"/>
        <v>345.25457150992821</v>
      </c>
      <c r="CR41" s="12">
        <f t="shared" si="48"/>
        <v>341.80202579482892</v>
      </c>
      <c r="CS41" s="12">
        <f t="shared" si="48"/>
        <v>338.38400553688064</v>
      </c>
      <c r="CT41" s="12">
        <f t="shared" si="48"/>
        <v>335.00016548151183</v>
      </c>
      <c r="CU41" s="12">
        <f t="shared" si="48"/>
        <v>331.65016382669671</v>
      </c>
      <c r="CV41" s="12">
        <f t="shared" si="48"/>
        <v>328.33366218842974</v>
      </c>
      <c r="CW41" s="12">
        <f t="shared" si="48"/>
        <v>325.05032556654544</v>
      </c>
      <c r="CX41" s="12">
        <f t="shared" si="48"/>
        <v>321.79982231087996</v>
      </c>
      <c r="CY41" s="12">
        <f t="shared" si="48"/>
        <v>318.58182408777117</v>
      </c>
      <c r="CZ41" s="12">
        <f t="shared" si="48"/>
        <v>315.39600584689344</v>
      </c>
    </row>
    <row r="42" spans="3:104" x14ac:dyDescent="0.25">
      <c r="C42" s="2" t="s">
        <v>54</v>
      </c>
      <c r="D42" s="9">
        <v>79.931532000000004</v>
      </c>
      <c r="E42" s="9">
        <v>80.220365999999999</v>
      </c>
      <c r="F42" s="9">
        <v>80.169882000000001</v>
      </c>
      <c r="G42" s="9">
        <v>80.021396999999993</v>
      </c>
      <c r="H42" s="9">
        <v>113.251741</v>
      </c>
      <c r="I42" s="9">
        <v>113.251741</v>
      </c>
      <c r="J42" s="9">
        <v>113.251741</v>
      </c>
      <c r="K42" s="9">
        <v>113.251741</v>
      </c>
      <c r="L42" s="9">
        <v>113.251741</v>
      </c>
      <c r="M42" s="9">
        <v>113.251741</v>
      </c>
      <c r="N42" s="8">
        <v>113.251741</v>
      </c>
      <c r="O42" s="9">
        <v>113.251741</v>
      </c>
      <c r="P42" s="9">
        <v>113.251741</v>
      </c>
      <c r="Q42" s="9">
        <v>113.251741</v>
      </c>
      <c r="R42" s="9">
        <v>113.251741</v>
      </c>
      <c r="S42" s="9">
        <v>113.251741</v>
      </c>
      <c r="T42" s="9">
        <v>113.251741</v>
      </c>
      <c r="U42" s="9">
        <v>113.251741</v>
      </c>
      <c r="V42" s="9">
        <v>113.251741</v>
      </c>
      <c r="W42" s="9">
        <v>113.251741</v>
      </c>
      <c r="X42" s="9">
        <v>113.251741</v>
      </c>
    </row>
    <row r="43" spans="3:104" x14ac:dyDescent="0.25">
      <c r="C43" s="2" t="s">
        <v>55</v>
      </c>
      <c r="D43" s="19">
        <f t="shared" ref="D43:X43" si="49">D41/D42</f>
        <v>7.6190207388993869</v>
      </c>
      <c r="E43" s="19">
        <f t="shared" si="49"/>
        <v>8.8630859649780209</v>
      </c>
      <c r="F43" s="19">
        <f t="shared" si="49"/>
        <v>9.2553460412976527</v>
      </c>
      <c r="G43" s="19">
        <f t="shared" si="49"/>
        <v>10.634655628418985</v>
      </c>
      <c r="H43" s="19">
        <f t="shared" si="49"/>
        <v>7.2493366790714502</v>
      </c>
      <c r="I43" s="19">
        <f t="shared" si="49"/>
        <v>8.7592472419474774</v>
      </c>
      <c r="J43" s="19">
        <f t="shared" si="49"/>
        <v>9.9777715558474291</v>
      </c>
      <c r="K43" s="19">
        <f t="shared" si="49"/>
        <v>8.5914794016279181</v>
      </c>
      <c r="L43" s="19">
        <f t="shared" si="49"/>
        <v>9.7128749658691778</v>
      </c>
      <c r="M43" s="19">
        <f t="shared" si="49"/>
        <v>10.896079734438697</v>
      </c>
      <c r="N43" s="18">
        <f t="shared" si="49"/>
        <v>11.086098888316439</v>
      </c>
      <c r="O43" s="19">
        <f t="shared" si="49"/>
        <v>8.7409517174663094</v>
      </c>
      <c r="P43" s="19">
        <f t="shared" si="49"/>
        <v>8.5555241044815347</v>
      </c>
      <c r="Q43" s="19">
        <f t="shared" si="49"/>
        <v>8.3515537301982832</v>
      </c>
      <c r="R43" s="19">
        <f t="shared" si="49"/>
        <v>8.1271863184867037</v>
      </c>
      <c r="S43" s="19">
        <f t="shared" si="49"/>
        <v>7.8803821656039679</v>
      </c>
      <c r="T43" s="19">
        <f t="shared" si="49"/>
        <v>7.6088975974329589</v>
      </c>
      <c r="U43" s="19">
        <f t="shared" si="49"/>
        <v>7.3102645724448481</v>
      </c>
      <c r="V43" s="19">
        <f t="shared" si="49"/>
        <v>6.9817682449579257</v>
      </c>
      <c r="W43" s="19">
        <f t="shared" si="49"/>
        <v>6.6204222847223129</v>
      </c>
      <c r="X43" s="19">
        <f t="shared" si="49"/>
        <v>6.2229417284631374</v>
      </c>
    </row>
    <row r="44" spans="3:104" x14ac:dyDescent="0.25">
      <c r="Z44" s="2" t="s">
        <v>99</v>
      </c>
      <c r="AA44" s="28">
        <v>0.08</v>
      </c>
    </row>
    <row r="45" spans="3:104" x14ac:dyDescent="0.25">
      <c r="C45" s="1" t="s">
        <v>29</v>
      </c>
      <c r="E45" s="21">
        <f t="shared" ref="E45" si="50">(E28-D28)/D28</f>
        <v>0.12374378235712111</v>
      </c>
      <c r="F45" s="21">
        <f t="shared" ref="F45" si="51">(F28-E28)/E28</f>
        <v>0.14345076784101174</v>
      </c>
      <c r="G45" s="21">
        <f t="shared" ref="G45" si="52">(G28-F28)/F28</f>
        <v>0.10404487280771053</v>
      </c>
      <c r="H45" s="21">
        <f t="shared" ref="H45" si="53">(H28-G28)/G28</f>
        <v>0.41624329159212881</v>
      </c>
      <c r="I45" s="21">
        <f t="shared" ref="I45" si="54">(I28-H28)/H28</f>
        <v>-4.0470897332255458E-2</v>
      </c>
      <c r="J45" s="21">
        <f t="shared" ref="J45" si="55">(J28-I28)/I28</f>
        <v>5.8606708440840399E-2</v>
      </c>
      <c r="K45" s="21">
        <f t="shared" ref="K45" si="56">(K28-J28)/J28</f>
        <v>0.17150815758058097</v>
      </c>
      <c r="L45" s="21">
        <f t="shared" ref="L45" si="57">(L28-K28)/K28</f>
        <v>0.14546535326086957</v>
      </c>
      <c r="M45" s="21">
        <f t="shared" ref="M45" si="58">(M28-L28)/L28</f>
        <v>6.7462376751427086E-3</v>
      </c>
      <c r="N45" s="22">
        <f>(N28-M28)/M28</f>
        <v>-9.9999999999999464E-3</v>
      </c>
      <c r="O45" s="21">
        <f t="shared" ref="O45" si="59">(O28-N28)/N28</f>
        <v>0</v>
      </c>
      <c r="P45" s="21">
        <f t="shared" ref="P45" si="60">(P28-O28)/O28</f>
        <v>0</v>
      </c>
      <c r="Q45" s="21">
        <f t="shared" ref="Q45" si="61">(Q28-P28)/P28</f>
        <v>0</v>
      </c>
      <c r="R45" s="21">
        <f t="shared" ref="R45" si="62">(R28-Q28)/Q28</f>
        <v>0</v>
      </c>
      <c r="S45" s="21">
        <f t="shared" ref="S45" si="63">(S28-R28)/R28</f>
        <v>0</v>
      </c>
      <c r="T45" s="21">
        <f t="shared" ref="T45" si="64">(T28-S28)/S28</f>
        <v>0</v>
      </c>
      <c r="U45" s="21">
        <f t="shared" ref="U45" si="65">(U28-T28)/T28</f>
        <v>0</v>
      </c>
      <c r="V45" s="21">
        <f t="shared" ref="V45" si="66">(V28-U28)/U28</f>
        <v>0</v>
      </c>
      <c r="W45" s="21">
        <f t="shared" ref="W45" si="67">(W28-V28)/V28</f>
        <v>0</v>
      </c>
      <c r="X45" s="21">
        <f t="shared" ref="X45" si="68">(X28-W28)/W28</f>
        <v>0</v>
      </c>
      <c r="Z45" s="2" t="s">
        <v>100</v>
      </c>
      <c r="AA45" s="28">
        <v>-0.01</v>
      </c>
    </row>
    <row r="46" spans="3:104" x14ac:dyDescent="0.25">
      <c r="C46" s="2" t="s">
        <v>96</v>
      </c>
      <c r="D46" s="20">
        <f t="shared" ref="D46:X46" si="69">D35/D28</f>
        <v>8.5169018373769154E-2</v>
      </c>
      <c r="E46" s="20">
        <f t="shared" si="69"/>
        <v>9.322493224932249E-2</v>
      </c>
      <c r="F46" s="20">
        <f t="shared" si="69"/>
        <v>8.113446042028756E-2</v>
      </c>
      <c r="G46" s="20">
        <f t="shared" si="69"/>
        <v>8.8944543828264763E-2</v>
      </c>
      <c r="H46" s="20">
        <f t="shared" si="69"/>
        <v>6.9118835893290223E-2</v>
      </c>
      <c r="I46" s="20">
        <f t="shared" si="69"/>
        <v>8.3407930072139438E-2</v>
      </c>
      <c r="J46" s="20">
        <f t="shared" si="69"/>
        <v>8.2670115399920419E-2</v>
      </c>
      <c r="K46" s="20">
        <f t="shared" si="69"/>
        <v>7.3369565217391311E-2</v>
      </c>
      <c r="L46" s="20">
        <f t="shared" si="69"/>
        <v>7.1799243828304549E-2</v>
      </c>
      <c r="M46" s="20">
        <f t="shared" si="69"/>
        <v>7.7466863033873345E-2</v>
      </c>
      <c r="N46" s="23">
        <f t="shared" si="69"/>
        <v>6.766486663393885E-2</v>
      </c>
      <c r="O46" s="20">
        <f t="shared" si="69"/>
        <v>5.5782791092069427E-2</v>
      </c>
      <c r="P46" s="20">
        <f t="shared" si="69"/>
        <v>5.5782791092069427E-2</v>
      </c>
      <c r="Q46" s="20">
        <f t="shared" si="69"/>
        <v>5.5782791092069427E-2</v>
      </c>
      <c r="R46" s="20">
        <f t="shared" si="69"/>
        <v>5.5782791092069427E-2</v>
      </c>
      <c r="S46" s="20">
        <f t="shared" si="69"/>
        <v>5.5782791092069427E-2</v>
      </c>
      <c r="T46" s="20">
        <f t="shared" si="69"/>
        <v>5.5782791092069427E-2</v>
      </c>
      <c r="U46" s="20">
        <f t="shared" si="69"/>
        <v>5.5782791092069427E-2</v>
      </c>
      <c r="V46" s="20">
        <f t="shared" si="69"/>
        <v>5.5782791092069427E-2</v>
      </c>
      <c r="W46" s="20">
        <f t="shared" si="69"/>
        <v>5.5782791092069427E-2</v>
      </c>
      <c r="X46" s="20">
        <f t="shared" si="69"/>
        <v>5.5782791092069427E-2</v>
      </c>
      <c r="Z46" s="27" t="s">
        <v>101</v>
      </c>
      <c r="AA46" s="29">
        <f>NPV(AA44,N41:CZ41)</f>
        <v>9981.3135346454765</v>
      </c>
    </row>
    <row r="47" spans="3:104" x14ac:dyDescent="0.25">
      <c r="C47" s="2" t="s">
        <v>30</v>
      </c>
      <c r="D47" s="20">
        <f t="shared" ref="D47:X47" si="70">D37/D28</f>
        <v>8.5169018373769154E-2</v>
      </c>
      <c r="E47" s="20">
        <f t="shared" si="70"/>
        <v>8.717253839205058E-2</v>
      </c>
      <c r="F47" s="20">
        <f t="shared" si="70"/>
        <v>8.1608468952441143E-2</v>
      </c>
      <c r="G47" s="20">
        <f t="shared" si="70"/>
        <v>8.6082289803220038E-2</v>
      </c>
      <c r="H47" s="20">
        <f t="shared" si="70"/>
        <v>6.452101859337106E-2</v>
      </c>
      <c r="I47" s="20">
        <f t="shared" si="70"/>
        <v>7.6667895318835236E-2</v>
      </c>
      <c r="J47" s="20">
        <f t="shared" si="70"/>
        <v>7.5756068444090732E-2</v>
      </c>
      <c r="K47" s="20">
        <f t="shared" si="70"/>
        <v>6.1268682065217392E-2</v>
      </c>
      <c r="L47" s="20">
        <f t="shared" si="70"/>
        <v>6.5905552672547996E-2</v>
      </c>
      <c r="M47" s="20">
        <f t="shared" si="70"/>
        <v>7.1428571428571425E-2</v>
      </c>
      <c r="N47" s="23">
        <f t="shared" si="70"/>
        <v>6.2086252807902344E-2</v>
      </c>
      <c r="O47" s="20">
        <f t="shared" si="70"/>
        <v>4.9925246574731096E-2</v>
      </c>
      <c r="P47" s="20">
        <f t="shared" si="70"/>
        <v>4.9339492122997264E-2</v>
      </c>
      <c r="Q47" s="20">
        <f t="shared" si="70"/>
        <v>4.8695162226090043E-2</v>
      </c>
      <c r="R47" s="20">
        <f t="shared" si="70"/>
        <v>4.7986399339492107E-2</v>
      </c>
      <c r="S47" s="20">
        <f t="shared" si="70"/>
        <v>4.7206760164234376E-2</v>
      </c>
      <c r="T47" s="20">
        <f t="shared" si="70"/>
        <v>4.6349157071450868E-2</v>
      </c>
      <c r="U47" s="20">
        <f t="shared" si="70"/>
        <v>4.5405793669389009E-2</v>
      </c>
      <c r="V47" s="20">
        <f t="shared" si="70"/>
        <v>4.4368093927120968E-2</v>
      </c>
      <c r="W47" s="20">
        <f t="shared" si="70"/>
        <v>4.3226624210626126E-2</v>
      </c>
      <c r="X47" s="20">
        <f t="shared" si="70"/>
        <v>4.1971007522481792E-2</v>
      </c>
      <c r="Z47" s="2" t="s">
        <v>2</v>
      </c>
      <c r="AA47" s="9">
        <v>113.251741</v>
      </c>
    </row>
    <row r="48" spans="3:104" x14ac:dyDescent="0.25">
      <c r="C48" s="2" t="s">
        <v>133</v>
      </c>
      <c r="D48" s="20">
        <v>0.76900000000000002</v>
      </c>
      <c r="E48" s="20">
        <v>0.77600000000000002</v>
      </c>
      <c r="F48" s="20">
        <v>0.77600000000000002</v>
      </c>
      <c r="G48" s="20">
        <v>0.77200000000000002</v>
      </c>
      <c r="H48" s="20">
        <v>0.75800000000000001</v>
      </c>
      <c r="I48" s="20">
        <v>0.75600000000000001</v>
      </c>
      <c r="J48" s="20">
        <v>0.747</v>
      </c>
      <c r="K48" s="20">
        <v>0.747</v>
      </c>
      <c r="L48" s="20">
        <v>0.73499999999999999</v>
      </c>
      <c r="M48" s="20">
        <v>0.72699999999999998</v>
      </c>
      <c r="N48" s="23"/>
      <c r="O48" s="20"/>
      <c r="P48" s="20"/>
      <c r="Q48" s="20"/>
      <c r="R48" s="20"/>
      <c r="S48" s="20"/>
      <c r="T48" s="20"/>
      <c r="U48" s="20"/>
      <c r="V48" s="20"/>
      <c r="W48" s="20"/>
      <c r="X48" s="20"/>
      <c r="Z48" s="2" t="s">
        <v>102</v>
      </c>
      <c r="AA48" s="30">
        <f>AA46/AA47</f>
        <v>88.133863961044767</v>
      </c>
    </row>
    <row r="49" spans="2:27" s="27" customFormat="1" x14ac:dyDescent="0.25">
      <c r="B49" s="33"/>
      <c r="C49" s="27" t="s">
        <v>132</v>
      </c>
      <c r="D49" s="44">
        <v>0.14799999999999999</v>
      </c>
      <c r="E49" s="44">
        <v>0.159</v>
      </c>
      <c r="F49" s="44">
        <v>0.154</v>
      </c>
      <c r="G49" s="44">
        <v>0.161</v>
      </c>
      <c r="H49" s="44">
        <v>0.106</v>
      </c>
      <c r="I49" s="44">
        <v>9.5000000000000001E-2</v>
      </c>
      <c r="J49" s="44">
        <v>0.108</v>
      </c>
      <c r="K49" s="44">
        <v>8.5000000000000006E-2</v>
      </c>
      <c r="L49" s="44">
        <v>8.7999999999999995E-2</v>
      </c>
      <c r="M49" s="44">
        <v>9.6000000000000002E-2</v>
      </c>
      <c r="N49" s="45"/>
      <c r="O49" s="44"/>
      <c r="P49" s="44"/>
      <c r="Q49" s="44"/>
      <c r="R49" s="44"/>
      <c r="S49" s="44"/>
      <c r="T49" s="44"/>
      <c r="U49" s="44"/>
      <c r="V49" s="44"/>
      <c r="W49" s="44"/>
      <c r="X49" s="44"/>
      <c r="Z49" s="46" t="s">
        <v>103</v>
      </c>
      <c r="AA49" s="47">
        <f>(AA48-Modell!$B$4)/Modell!$B$4</f>
        <v>-0.41165644885817915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Nøkkeltall</vt:lpstr>
      <vt:lpstr>Nedsideberegning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2025-08-01T18:40:21Z</dcterms:modified>
</cp:coreProperties>
</file>