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AF0BD9F8-4146-5948-A9C9-FD882606556B}" xr6:coauthVersionLast="47" xr6:coauthVersionMax="47" xr10:uidLastSave="{00000000-0000-0000-0000-000000000000}"/>
  <bookViews>
    <workbookView xWindow="0" yWindow="740" windowWidth="29400" windowHeight="17140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2" l="1"/>
  <c r="W23" i="2"/>
  <c r="X23" i="2"/>
  <c r="Y23" i="2"/>
  <c r="Z23" i="2"/>
  <c r="B8" i="2"/>
  <c r="B7" i="2"/>
  <c r="V56" i="4"/>
  <c r="V57" i="4" s="1"/>
  <c r="V54" i="4"/>
  <c r="V55" i="4" s="1"/>
  <c r="V52" i="4"/>
  <c r="V53" i="4" s="1"/>
  <c r="V50" i="4"/>
  <c r="V51" i="4" s="1"/>
  <c r="V49" i="4"/>
  <c r="V48" i="4"/>
  <c r="Q56" i="4"/>
  <c r="Q57" i="4" s="1"/>
  <c r="Q54" i="4"/>
  <c r="Q55" i="4" s="1"/>
  <c r="Q52" i="4"/>
  <c r="Q53" i="4" s="1"/>
  <c r="Q50" i="4"/>
  <c r="Q51" i="4" s="1"/>
  <c r="Q49" i="4"/>
  <c r="Q48" i="4"/>
  <c r="L56" i="4"/>
  <c r="L57" i="4" s="1"/>
  <c r="L54" i="4"/>
  <c r="L55" i="4" s="1"/>
  <c r="L52" i="4"/>
  <c r="L53" i="4" s="1"/>
  <c r="L50" i="4"/>
  <c r="L51" i="4" s="1"/>
  <c r="L49" i="4"/>
  <c r="L48" i="4"/>
  <c r="G56" i="4"/>
  <c r="G54" i="4"/>
  <c r="G52" i="4"/>
  <c r="G49" i="4"/>
  <c r="G48" i="4"/>
  <c r="G50" i="4" s="1"/>
  <c r="V45" i="4"/>
  <c r="V43" i="4"/>
  <c r="V44" i="4" s="1"/>
  <c r="V41" i="4"/>
  <c r="V38" i="4"/>
  <c r="V37" i="4"/>
  <c r="V39" i="4" s="1"/>
  <c r="V40" i="4" s="1"/>
  <c r="Q45" i="4"/>
  <c r="Q46" i="4" s="1"/>
  <c r="Q43" i="4"/>
  <c r="Q44" i="4" s="1"/>
  <c r="Q41" i="4"/>
  <c r="Q42" i="4" s="1"/>
  <c r="Q39" i="4"/>
  <c r="Q40" i="4" s="1"/>
  <c r="Q38" i="4"/>
  <c r="Q37" i="4"/>
  <c r="L45" i="4"/>
  <c r="L46" i="4" s="1"/>
  <c r="L43" i="4"/>
  <c r="L44" i="4" s="1"/>
  <c r="L41" i="4"/>
  <c r="L42" i="4" s="1"/>
  <c r="L39" i="4"/>
  <c r="L40" i="4" s="1"/>
  <c r="L38" i="4"/>
  <c r="L37" i="4"/>
  <c r="G45" i="4"/>
  <c r="G43" i="4"/>
  <c r="G41" i="4"/>
  <c r="G38" i="4"/>
  <c r="G37" i="4"/>
  <c r="G39" i="4" s="1"/>
  <c r="G46" i="4" s="1"/>
  <c r="V34" i="4"/>
  <c r="V35" i="4" s="1"/>
  <c r="V32" i="4"/>
  <c r="V33" i="4" s="1"/>
  <c r="V30" i="4"/>
  <c r="V31" i="4" s="1"/>
  <c r="V28" i="4"/>
  <c r="V29" i="4" s="1"/>
  <c r="V27" i="4"/>
  <c r="V26" i="4"/>
  <c r="Q34" i="4"/>
  <c r="Q35" i="4" s="1"/>
  <c r="Q32" i="4"/>
  <c r="Q33" i="4" s="1"/>
  <c r="Q30" i="4"/>
  <c r="Q31" i="4" s="1"/>
  <c r="Q28" i="4"/>
  <c r="Q29" i="4" s="1"/>
  <c r="Q27" i="4"/>
  <c r="Q26" i="4"/>
  <c r="L34" i="4"/>
  <c r="L35" i="4" s="1"/>
  <c r="L32" i="4"/>
  <c r="L33" i="4" s="1"/>
  <c r="L30" i="4"/>
  <c r="L31" i="4" s="1"/>
  <c r="L28" i="4"/>
  <c r="L29" i="4" s="1"/>
  <c r="L27" i="4"/>
  <c r="L26" i="4"/>
  <c r="G34" i="4"/>
  <c r="G32" i="4"/>
  <c r="G30" i="4"/>
  <c r="G27" i="4"/>
  <c r="G26" i="4"/>
  <c r="G28" i="4" s="1"/>
  <c r="V23" i="4"/>
  <c r="V24" i="4" s="1"/>
  <c r="V21" i="4"/>
  <c r="V22" i="4" s="1"/>
  <c r="V19" i="4"/>
  <c r="V20" i="4" s="1"/>
  <c r="V17" i="4"/>
  <c r="V18" i="4" s="1"/>
  <c r="V16" i="4"/>
  <c r="V15" i="4"/>
  <c r="Q23" i="4"/>
  <c r="Q24" i="4" s="1"/>
  <c r="Q21" i="4"/>
  <c r="Q22" i="4" s="1"/>
  <c r="Q19" i="4"/>
  <c r="Q20" i="4" s="1"/>
  <c r="Q17" i="4"/>
  <c r="Q18" i="4" s="1"/>
  <c r="Q16" i="4"/>
  <c r="Q15" i="4"/>
  <c r="L23" i="4"/>
  <c r="L24" i="4" s="1"/>
  <c r="L22" i="4"/>
  <c r="L21" i="4"/>
  <c r="L19" i="4"/>
  <c r="L20" i="4" s="1"/>
  <c r="L17" i="4"/>
  <c r="L18" i="4" s="1"/>
  <c r="L16" i="4"/>
  <c r="L15" i="4"/>
  <c r="G23" i="4"/>
  <c r="G21" i="4"/>
  <c r="G19" i="4"/>
  <c r="G16" i="4"/>
  <c r="G15" i="4"/>
  <c r="G17" i="4" s="1"/>
  <c r="V11" i="4"/>
  <c r="Q11" i="4"/>
  <c r="L11" i="4"/>
  <c r="T7" i="4"/>
  <c r="V12" i="4"/>
  <c r="V10" i="4"/>
  <c r="V8" i="4"/>
  <c r="V5" i="4"/>
  <c r="V6" i="4" s="1"/>
  <c r="V7" i="4" s="1"/>
  <c r="V4" i="4"/>
  <c r="Q12" i="4"/>
  <c r="Q10" i="4"/>
  <c r="Q8" i="4"/>
  <c r="Q5" i="4"/>
  <c r="Q6" i="4" s="1"/>
  <c r="Q7" i="4" s="1"/>
  <c r="Q4" i="4"/>
  <c r="L13" i="4"/>
  <c r="L7" i="4"/>
  <c r="L12" i="4"/>
  <c r="L10" i="4"/>
  <c r="L8" i="4"/>
  <c r="L5" i="4"/>
  <c r="L4" i="4"/>
  <c r="L6" i="4" s="1"/>
  <c r="G13" i="4"/>
  <c r="G12" i="4"/>
  <c r="G10" i="4"/>
  <c r="G9" i="4"/>
  <c r="G8" i="4"/>
  <c r="G6" i="4"/>
  <c r="G5" i="4"/>
  <c r="G4" i="4"/>
  <c r="E28" i="4"/>
  <c r="U28" i="4"/>
  <c r="H55" i="4"/>
  <c r="C39" i="4"/>
  <c r="U55" i="4"/>
  <c r="T55" i="4"/>
  <c r="S55" i="4"/>
  <c r="R55" i="4"/>
  <c r="P55" i="4"/>
  <c r="O55" i="4"/>
  <c r="N55" i="4"/>
  <c r="M55" i="4"/>
  <c r="K55" i="4"/>
  <c r="J55" i="4"/>
  <c r="I55" i="4"/>
  <c r="U50" i="4"/>
  <c r="T50" i="4"/>
  <c r="S50" i="4"/>
  <c r="R50" i="4"/>
  <c r="P50" i="4"/>
  <c r="O50" i="4"/>
  <c r="T51" i="4" s="1"/>
  <c r="N50" i="4"/>
  <c r="M50" i="4"/>
  <c r="K50" i="4"/>
  <c r="J50" i="4"/>
  <c r="I50" i="4"/>
  <c r="H50" i="4"/>
  <c r="F50" i="4"/>
  <c r="E50" i="4"/>
  <c r="D50" i="4"/>
  <c r="C50" i="4"/>
  <c r="R44" i="4"/>
  <c r="H44" i="4"/>
  <c r="I44" i="4"/>
  <c r="J44" i="4"/>
  <c r="K44" i="4"/>
  <c r="M44" i="4"/>
  <c r="N44" i="4"/>
  <c r="O44" i="4"/>
  <c r="P44" i="4"/>
  <c r="T44" i="4"/>
  <c r="U44" i="4"/>
  <c r="S44" i="4"/>
  <c r="U39" i="4"/>
  <c r="T39" i="4"/>
  <c r="S39" i="4"/>
  <c r="R39" i="4"/>
  <c r="P39" i="4"/>
  <c r="O39" i="4"/>
  <c r="N39" i="4"/>
  <c r="M39" i="4"/>
  <c r="K39" i="4"/>
  <c r="J39" i="4"/>
  <c r="J40" i="4" s="1"/>
  <c r="I39" i="4"/>
  <c r="H39" i="4"/>
  <c r="F39" i="4"/>
  <c r="E39" i="4"/>
  <c r="D39" i="4"/>
  <c r="U33" i="4"/>
  <c r="T33" i="4"/>
  <c r="S33" i="4"/>
  <c r="R33" i="4"/>
  <c r="P33" i="4"/>
  <c r="O33" i="4"/>
  <c r="N33" i="4"/>
  <c r="M33" i="4"/>
  <c r="K33" i="4"/>
  <c r="J33" i="4"/>
  <c r="I33" i="4"/>
  <c r="H33" i="4"/>
  <c r="T28" i="4"/>
  <c r="S28" i="4"/>
  <c r="R28" i="4"/>
  <c r="P28" i="4"/>
  <c r="O28" i="4"/>
  <c r="N28" i="4"/>
  <c r="M28" i="4"/>
  <c r="K28" i="4"/>
  <c r="J28" i="4"/>
  <c r="I28" i="4"/>
  <c r="H28" i="4"/>
  <c r="F28" i="4"/>
  <c r="D28" i="4"/>
  <c r="C28" i="4"/>
  <c r="H22" i="4"/>
  <c r="I22" i="4"/>
  <c r="J22" i="4"/>
  <c r="K22" i="4"/>
  <c r="M22" i="4"/>
  <c r="N22" i="4"/>
  <c r="O22" i="4"/>
  <c r="P22" i="4"/>
  <c r="R22" i="4"/>
  <c r="T22" i="4"/>
  <c r="U22" i="4"/>
  <c r="C17" i="4"/>
  <c r="D17" i="4"/>
  <c r="E17" i="4"/>
  <c r="F17" i="4"/>
  <c r="H17" i="4"/>
  <c r="I17" i="4"/>
  <c r="J17" i="4"/>
  <c r="K17" i="4"/>
  <c r="M17" i="4"/>
  <c r="N17" i="4"/>
  <c r="O17" i="4"/>
  <c r="P17" i="4"/>
  <c r="P24" i="4" s="1"/>
  <c r="R17" i="4"/>
  <c r="T17" i="4"/>
  <c r="U17" i="4"/>
  <c r="S22" i="4"/>
  <c r="S17" i="4"/>
  <c r="H11" i="4"/>
  <c r="I11" i="4"/>
  <c r="J11" i="4"/>
  <c r="K11" i="4"/>
  <c r="M11" i="4"/>
  <c r="N11" i="4"/>
  <c r="O11" i="4"/>
  <c r="P11" i="4"/>
  <c r="R11" i="4"/>
  <c r="T11" i="4"/>
  <c r="U11" i="4"/>
  <c r="C6" i="4"/>
  <c r="D6" i="4"/>
  <c r="E6" i="4"/>
  <c r="F6" i="4"/>
  <c r="H6" i="4"/>
  <c r="I6" i="4"/>
  <c r="J6" i="4"/>
  <c r="K6" i="4"/>
  <c r="M6" i="4"/>
  <c r="N6" i="4"/>
  <c r="O6" i="4"/>
  <c r="P6" i="4"/>
  <c r="R6" i="4"/>
  <c r="T6" i="4"/>
  <c r="U6" i="4"/>
  <c r="S11" i="4"/>
  <c r="S6" i="4"/>
  <c r="V74" i="2"/>
  <c r="W74" i="2"/>
  <c r="X74" i="2"/>
  <c r="Y74" i="2"/>
  <c r="V68" i="2"/>
  <c r="W68" i="2"/>
  <c r="X68" i="2"/>
  <c r="Y68" i="2"/>
  <c r="AC8" i="2"/>
  <c r="AD8" i="2" s="1"/>
  <c r="AE8" i="2" s="1"/>
  <c r="AF8" i="2" s="1"/>
  <c r="AG8" i="2" s="1"/>
  <c r="AH8" i="2" s="1"/>
  <c r="AI8" i="2" s="1"/>
  <c r="AJ8" i="2" s="1"/>
  <c r="AK8" i="2" s="1"/>
  <c r="AL8" i="2" s="1"/>
  <c r="AC7" i="2"/>
  <c r="AD7" i="2" s="1"/>
  <c r="AE7" i="2" s="1"/>
  <c r="AF7" i="2" s="1"/>
  <c r="AG7" i="2" s="1"/>
  <c r="AH7" i="2" s="1"/>
  <c r="AI7" i="2" s="1"/>
  <c r="AJ7" i="2" s="1"/>
  <c r="AK7" i="2" s="1"/>
  <c r="AL7" i="2" s="1"/>
  <c r="AB11" i="2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B8" i="2"/>
  <c r="AB9" i="2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B7" i="2"/>
  <c r="AB4" i="2"/>
  <c r="AC4" i="2" s="1"/>
  <c r="Q63" i="2"/>
  <c r="Q64" i="2" s="1"/>
  <c r="Q74" i="2"/>
  <c r="Q68" i="2"/>
  <c r="Q51" i="2"/>
  <c r="Q40" i="2"/>
  <c r="Q52" i="2" s="1"/>
  <c r="Q36" i="2"/>
  <c r="Q6" i="2"/>
  <c r="Q21" i="2" s="1"/>
  <c r="Q10" i="2"/>
  <c r="Q12" i="2" s="1"/>
  <c r="Q20" i="2"/>
  <c r="AD4" i="2" l="1"/>
  <c r="AC5" i="2"/>
  <c r="AC6" i="2" s="1"/>
  <c r="Q78" i="2"/>
  <c r="Q80" i="2"/>
  <c r="AB20" i="2"/>
  <c r="AB5" i="2"/>
  <c r="V46" i="4"/>
  <c r="V42" i="4"/>
  <c r="G53" i="4"/>
  <c r="G57" i="4"/>
  <c r="G42" i="4"/>
  <c r="G31" i="4"/>
  <c r="G35" i="4"/>
  <c r="G20" i="4"/>
  <c r="G24" i="4"/>
  <c r="V9" i="4"/>
  <c r="V13" i="4"/>
  <c r="Q9" i="4"/>
  <c r="Q13" i="4"/>
  <c r="L9" i="4"/>
  <c r="N40" i="4"/>
  <c r="U51" i="4"/>
  <c r="R40" i="4"/>
  <c r="S51" i="4"/>
  <c r="I40" i="4"/>
  <c r="S40" i="4"/>
  <c r="N51" i="4"/>
  <c r="H29" i="4"/>
  <c r="R29" i="4"/>
  <c r="R7" i="4"/>
  <c r="R18" i="4"/>
  <c r="H18" i="4"/>
  <c r="I29" i="4"/>
  <c r="S29" i="4"/>
  <c r="H40" i="4"/>
  <c r="J51" i="4"/>
  <c r="K51" i="4"/>
  <c r="K40" i="4"/>
  <c r="K18" i="4"/>
  <c r="H51" i="4"/>
  <c r="M51" i="4"/>
  <c r="H7" i="4"/>
  <c r="I51" i="4"/>
  <c r="O51" i="4"/>
  <c r="T40" i="4"/>
  <c r="O7" i="4"/>
  <c r="P51" i="4"/>
  <c r="U40" i="4"/>
  <c r="K24" i="4"/>
  <c r="U18" i="4"/>
  <c r="P7" i="4"/>
  <c r="R51" i="4"/>
  <c r="M40" i="4"/>
  <c r="S18" i="4"/>
  <c r="O40" i="4"/>
  <c r="P40" i="4"/>
  <c r="J18" i="4"/>
  <c r="J29" i="4"/>
  <c r="T29" i="4"/>
  <c r="T18" i="4"/>
  <c r="I18" i="4"/>
  <c r="K29" i="4"/>
  <c r="U29" i="4"/>
  <c r="M29" i="4"/>
  <c r="N29" i="4"/>
  <c r="M18" i="4"/>
  <c r="O29" i="4"/>
  <c r="O18" i="4"/>
  <c r="P29" i="4"/>
  <c r="I7" i="4"/>
  <c r="N18" i="4"/>
  <c r="N7" i="4"/>
  <c r="P18" i="4"/>
  <c r="S7" i="4"/>
  <c r="M7" i="4"/>
  <c r="K7" i="4"/>
  <c r="U7" i="4"/>
  <c r="J7" i="4"/>
  <c r="Q22" i="2"/>
  <c r="Q14" i="2"/>
  <c r="AB6" i="2"/>
  <c r="AC20" i="2"/>
  <c r="V11" i="2"/>
  <c r="V6" i="2"/>
  <c r="V21" i="2" s="1"/>
  <c r="W11" i="2"/>
  <c r="W9" i="2"/>
  <c r="W6" i="2"/>
  <c r="W21" i="2" s="1"/>
  <c r="X6" i="2"/>
  <c r="X10" i="2" s="1"/>
  <c r="X12" i="2" s="1"/>
  <c r="Y6" i="2"/>
  <c r="Y10" i="2" s="1"/>
  <c r="Y12" i="2" s="1"/>
  <c r="Z73" i="2"/>
  <c r="Z72" i="2"/>
  <c r="Z71" i="2"/>
  <c r="Z70" i="2"/>
  <c r="AA73" i="2"/>
  <c r="AA72" i="2"/>
  <c r="AA71" i="2"/>
  <c r="AA70" i="2"/>
  <c r="Z67" i="2"/>
  <c r="Z66" i="2"/>
  <c r="AA67" i="2"/>
  <c r="AA66" i="2"/>
  <c r="Z57" i="2"/>
  <c r="Z58" i="2"/>
  <c r="Z59" i="2"/>
  <c r="Z60" i="2"/>
  <c r="Z61" i="2"/>
  <c r="Z62" i="2"/>
  <c r="Z56" i="2"/>
  <c r="AA57" i="2"/>
  <c r="AA58" i="2"/>
  <c r="AA59" i="2"/>
  <c r="AA60" i="2"/>
  <c r="AA61" i="2"/>
  <c r="AA62" i="2"/>
  <c r="AA56" i="2"/>
  <c r="Y64" i="2"/>
  <c r="X64" i="2"/>
  <c r="W64" i="2"/>
  <c r="V64" i="2"/>
  <c r="Z20" i="2"/>
  <c r="Y20" i="2"/>
  <c r="X20" i="2"/>
  <c r="W20" i="2"/>
  <c r="Z6" i="2"/>
  <c r="Z10" i="2" s="1"/>
  <c r="Z12" i="2" s="1"/>
  <c r="Z14" i="2" s="1"/>
  <c r="Z16" i="2" s="1"/>
  <c r="Z18" i="2" s="1"/>
  <c r="AA20" i="2"/>
  <c r="AA6" i="2"/>
  <c r="AA10" i="2" s="1"/>
  <c r="AA12" i="2" s="1"/>
  <c r="AA14" i="2" s="1"/>
  <c r="AA16" i="2" s="1"/>
  <c r="D63" i="2"/>
  <c r="D64" i="2" s="1"/>
  <c r="D80" i="2" s="1"/>
  <c r="H74" i="2"/>
  <c r="H63" i="2"/>
  <c r="H64" i="2" s="1"/>
  <c r="H80" i="2" s="1"/>
  <c r="I63" i="2"/>
  <c r="I64" i="2" s="1"/>
  <c r="I80" i="2" s="1"/>
  <c r="M63" i="2"/>
  <c r="M64" i="2" s="1"/>
  <c r="M80" i="2" s="1"/>
  <c r="J63" i="2"/>
  <c r="J64" i="2" s="1"/>
  <c r="J80" i="2" s="1"/>
  <c r="N63" i="2"/>
  <c r="N64" i="2" s="1"/>
  <c r="N80" i="2" s="1"/>
  <c r="K63" i="2"/>
  <c r="K64" i="2" s="1"/>
  <c r="K80" i="2" s="1"/>
  <c r="O63" i="2"/>
  <c r="O64" i="2" s="1"/>
  <c r="K40" i="2"/>
  <c r="L63" i="2"/>
  <c r="L64" i="2" s="1"/>
  <c r="L80" i="2" s="1"/>
  <c r="E64" i="2"/>
  <c r="F64" i="2"/>
  <c r="F80" i="2" s="1"/>
  <c r="G64" i="2"/>
  <c r="G80" i="2" s="1"/>
  <c r="D68" i="2"/>
  <c r="E68" i="2"/>
  <c r="F68" i="2"/>
  <c r="G68" i="2"/>
  <c r="H68" i="2"/>
  <c r="I68" i="2"/>
  <c r="J68" i="2"/>
  <c r="K68" i="2"/>
  <c r="L68" i="2"/>
  <c r="M68" i="2"/>
  <c r="N68" i="2"/>
  <c r="O68" i="2"/>
  <c r="D74" i="2"/>
  <c r="E74" i="2"/>
  <c r="F74" i="2"/>
  <c r="G74" i="2"/>
  <c r="I74" i="2"/>
  <c r="J74" i="2"/>
  <c r="K74" i="2"/>
  <c r="L74" i="2"/>
  <c r="M74" i="2"/>
  <c r="N74" i="2"/>
  <c r="O74" i="2"/>
  <c r="P74" i="2"/>
  <c r="P68" i="2"/>
  <c r="P63" i="2"/>
  <c r="P64" i="2" s="1"/>
  <c r="D36" i="2"/>
  <c r="E36" i="2"/>
  <c r="F36" i="2"/>
  <c r="G36" i="2"/>
  <c r="H36" i="2"/>
  <c r="I36" i="2"/>
  <c r="J36" i="2"/>
  <c r="K36" i="2"/>
  <c r="L36" i="2"/>
  <c r="M36" i="2"/>
  <c r="N36" i="2"/>
  <c r="O36" i="2"/>
  <c r="D40" i="2"/>
  <c r="E40" i="2"/>
  <c r="F40" i="2"/>
  <c r="G40" i="2"/>
  <c r="H40" i="2"/>
  <c r="I40" i="2"/>
  <c r="J40" i="2"/>
  <c r="L40" i="2"/>
  <c r="M40" i="2"/>
  <c r="N40" i="2"/>
  <c r="O4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P40" i="2"/>
  <c r="P36" i="2"/>
  <c r="AC10" i="2" l="1"/>
  <c r="AC12" i="2" s="1"/>
  <c r="AC21" i="2"/>
  <c r="W78" i="2"/>
  <c r="W80" i="2"/>
  <c r="V78" i="2"/>
  <c r="V80" i="2"/>
  <c r="AA18" i="2"/>
  <c r="AA23" i="2"/>
  <c r="X78" i="2"/>
  <c r="X80" i="2"/>
  <c r="AD20" i="2"/>
  <c r="AD5" i="2"/>
  <c r="AD6" i="2" s="1"/>
  <c r="AE4" i="2"/>
  <c r="Y78" i="2"/>
  <c r="Y80" i="2"/>
  <c r="Q16" i="2"/>
  <c r="Q18" i="2" s="1"/>
  <c r="Q55" i="2"/>
  <c r="AA68" i="2"/>
  <c r="AA74" i="2"/>
  <c r="AB10" i="2"/>
  <c r="AB12" i="2" s="1"/>
  <c r="AB21" i="2"/>
  <c r="O52" i="2"/>
  <c r="Z68" i="2"/>
  <c r="AA55" i="2"/>
  <c r="AA22" i="2"/>
  <c r="E78" i="2"/>
  <c r="AA21" i="2"/>
  <c r="G52" i="2"/>
  <c r="Z55" i="2"/>
  <c r="E80" i="2"/>
  <c r="N52" i="2"/>
  <c r="X21" i="2"/>
  <c r="X22" i="2"/>
  <c r="X14" i="2"/>
  <c r="F52" i="2"/>
  <c r="P52" i="2"/>
  <c r="E52" i="2"/>
  <c r="G78" i="2"/>
  <c r="F78" i="2"/>
  <c r="Z21" i="2"/>
  <c r="Z22" i="2"/>
  <c r="W10" i="2"/>
  <c r="W12" i="2" s="1"/>
  <c r="W14" i="2" s="1"/>
  <c r="AA63" i="2"/>
  <c r="AA64" i="2" s="1"/>
  <c r="Z63" i="2"/>
  <c r="Z64" i="2" s="1"/>
  <c r="Z74" i="2"/>
  <c r="V10" i="2"/>
  <c r="V12" i="2" s="1"/>
  <c r="Y22" i="2"/>
  <c r="Y14" i="2"/>
  <c r="Y21" i="2"/>
  <c r="P80" i="2"/>
  <c r="P78" i="2"/>
  <c r="L52" i="2"/>
  <c r="L78" i="2"/>
  <c r="D78" i="2"/>
  <c r="D52" i="2"/>
  <c r="M78" i="2"/>
  <c r="M52" i="2"/>
  <c r="N78" i="2"/>
  <c r="O78" i="2"/>
  <c r="O80" i="2"/>
  <c r="K78" i="2"/>
  <c r="J78" i="2"/>
  <c r="I78" i="2"/>
  <c r="H78" i="2"/>
  <c r="K52" i="2"/>
  <c r="J52" i="2"/>
  <c r="I52" i="2"/>
  <c r="H52" i="2"/>
  <c r="H20" i="2"/>
  <c r="I20" i="2"/>
  <c r="J20" i="2"/>
  <c r="K20" i="2"/>
  <c r="L20" i="2"/>
  <c r="M20" i="2"/>
  <c r="N20" i="2"/>
  <c r="O20" i="2"/>
  <c r="P20" i="2"/>
  <c r="D6" i="2"/>
  <c r="D10" i="2" s="1"/>
  <c r="D12" i="2" s="1"/>
  <c r="E6" i="2"/>
  <c r="E10" i="2" s="1"/>
  <c r="E12" i="2" s="1"/>
  <c r="F6" i="2"/>
  <c r="F21" i="2" s="1"/>
  <c r="G6" i="2"/>
  <c r="G21" i="2" s="1"/>
  <c r="H6" i="2"/>
  <c r="H10" i="2" s="1"/>
  <c r="H12" i="2" s="1"/>
  <c r="I6" i="2"/>
  <c r="I21" i="2" s="1"/>
  <c r="J6" i="2"/>
  <c r="J10" i="2" s="1"/>
  <c r="J12" i="2" s="1"/>
  <c r="K6" i="2"/>
  <c r="K21" i="2" s="1"/>
  <c r="L6" i="2"/>
  <c r="L10" i="2" s="1"/>
  <c r="L12" i="2" s="1"/>
  <c r="M6" i="2"/>
  <c r="M10" i="2" s="1"/>
  <c r="M12" i="2" s="1"/>
  <c r="N6" i="2"/>
  <c r="N10" i="2" s="1"/>
  <c r="N12" i="2" s="1"/>
  <c r="O6" i="2"/>
  <c r="O21" i="2" s="1"/>
  <c r="P6" i="2"/>
  <c r="P10" i="2" s="1"/>
  <c r="P12" i="2" s="1"/>
  <c r="B6" i="2"/>
  <c r="B9" i="2" s="1"/>
  <c r="AD21" i="2" l="1"/>
  <c r="AD10" i="2"/>
  <c r="AD12" i="2" s="1"/>
  <c r="AE5" i="2"/>
  <c r="AE6" i="2" s="1"/>
  <c r="AF4" i="2"/>
  <c r="AE20" i="2"/>
  <c r="AC22" i="2"/>
  <c r="AC14" i="2"/>
  <c r="AC15" i="2" s="1"/>
  <c r="AC16" i="2" s="1"/>
  <c r="AC18" i="2" s="1"/>
  <c r="E6" i="3" s="1"/>
  <c r="AB14" i="2"/>
  <c r="AB22" i="2"/>
  <c r="E5" i="3"/>
  <c r="F5" i="3"/>
  <c r="D5" i="3"/>
  <c r="P21" i="2"/>
  <c r="Z78" i="2"/>
  <c r="Z80" i="2"/>
  <c r="W22" i="2"/>
  <c r="X16" i="2"/>
  <c r="X18" i="2" s="1"/>
  <c r="X55" i="2"/>
  <c r="AA80" i="2"/>
  <c r="AA78" i="2"/>
  <c r="V14" i="2"/>
  <c r="V22" i="2"/>
  <c r="W16" i="2"/>
  <c r="W18" i="2" s="1"/>
  <c r="W55" i="2"/>
  <c r="Y16" i="2"/>
  <c r="Y18" i="2" s="1"/>
  <c r="Y55" i="2"/>
  <c r="P22" i="2"/>
  <c r="P14" i="2"/>
  <c r="E22" i="2"/>
  <c r="E14" i="2"/>
  <c r="E21" i="2"/>
  <c r="F10" i="2"/>
  <c r="F12" i="2" s="1"/>
  <c r="G10" i="2"/>
  <c r="G12" i="2" s="1"/>
  <c r="G22" i="2" s="1"/>
  <c r="D14" i="2"/>
  <c r="D22" i="2"/>
  <c r="D21" i="2"/>
  <c r="H14" i="2"/>
  <c r="H22" i="2"/>
  <c r="H21" i="2"/>
  <c r="I10" i="2"/>
  <c r="I12" i="2" s="1"/>
  <c r="M22" i="2"/>
  <c r="M14" i="2"/>
  <c r="M21" i="2"/>
  <c r="J21" i="2"/>
  <c r="J14" i="2"/>
  <c r="J22" i="2"/>
  <c r="N22" i="2"/>
  <c r="N14" i="2"/>
  <c r="N21" i="2"/>
  <c r="K10" i="2"/>
  <c r="K12" i="2" s="1"/>
  <c r="O10" i="2"/>
  <c r="O12" i="2" s="1"/>
  <c r="O14" i="2" s="1"/>
  <c r="L21" i="2"/>
  <c r="L22" i="2"/>
  <c r="L14" i="2"/>
  <c r="AE10" i="2" l="1"/>
  <c r="AE12" i="2" s="1"/>
  <c r="AE21" i="2"/>
  <c r="AD22" i="2"/>
  <c r="AD14" i="2"/>
  <c r="AD15" i="2" s="1"/>
  <c r="AD16" i="2" s="1"/>
  <c r="AD18" i="2" s="1"/>
  <c r="F6" i="3" s="1"/>
  <c r="AF5" i="2"/>
  <c r="AF6" i="2" s="1"/>
  <c r="AG4" i="2"/>
  <c r="AF20" i="2"/>
  <c r="AB15" i="2"/>
  <c r="AB16" i="2" s="1"/>
  <c r="AB18" i="2" s="1"/>
  <c r="D6" i="3" s="1"/>
  <c r="V55" i="2"/>
  <c r="V16" i="2"/>
  <c r="V18" i="2" s="1"/>
  <c r="P55" i="2"/>
  <c r="P16" i="2"/>
  <c r="P18" i="2" s="1"/>
  <c r="L16" i="2"/>
  <c r="L18" i="2" s="1"/>
  <c r="L55" i="2"/>
  <c r="E55" i="2"/>
  <c r="E16" i="2"/>
  <c r="E18" i="2" s="1"/>
  <c r="F22" i="2"/>
  <c r="F14" i="2"/>
  <c r="G14" i="2"/>
  <c r="G55" i="2" s="1"/>
  <c r="D55" i="2"/>
  <c r="D16" i="2"/>
  <c r="D18" i="2" s="1"/>
  <c r="H55" i="2"/>
  <c r="H16" i="2"/>
  <c r="H18" i="2" s="1"/>
  <c r="I22" i="2"/>
  <c r="I14" i="2"/>
  <c r="M55" i="2"/>
  <c r="M16" i="2"/>
  <c r="M18" i="2" s="1"/>
  <c r="J55" i="2"/>
  <c r="J16" i="2"/>
  <c r="J18" i="2" s="1"/>
  <c r="N55" i="2"/>
  <c r="N16" i="2"/>
  <c r="N18" i="2" s="1"/>
  <c r="K14" i="2"/>
  <c r="K22" i="2"/>
  <c r="O22" i="2"/>
  <c r="O55" i="2"/>
  <c r="O16" i="2"/>
  <c r="O18" i="2" s="1"/>
  <c r="AF10" i="2" l="1"/>
  <c r="AF12" i="2" s="1"/>
  <c r="AF21" i="2"/>
  <c r="AG5" i="2"/>
  <c r="AG6" i="2" s="1"/>
  <c r="AH4" i="2"/>
  <c r="AG20" i="2"/>
  <c r="AE22" i="2"/>
  <c r="AE14" i="2"/>
  <c r="AE15" i="2" s="1"/>
  <c r="AE16" i="2" s="1"/>
  <c r="AE18" i="2" s="1"/>
  <c r="F55" i="2"/>
  <c r="F16" i="2"/>
  <c r="F18" i="2" s="1"/>
  <c r="G16" i="2"/>
  <c r="G18" i="2" s="1"/>
  <c r="I55" i="2"/>
  <c r="I16" i="2"/>
  <c r="I18" i="2" s="1"/>
  <c r="K55" i="2"/>
  <c r="K16" i="2"/>
  <c r="K18" i="2" s="1"/>
  <c r="AG21" i="2" l="1"/>
  <c r="AG10" i="2"/>
  <c r="AG12" i="2" s="1"/>
  <c r="AI4" i="2"/>
  <c r="AH5" i="2"/>
  <c r="AH6" i="2"/>
  <c r="AH20" i="2"/>
  <c r="AF22" i="2"/>
  <c r="AF14" i="2"/>
  <c r="AF15" i="2" s="1"/>
  <c r="AF16" i="2" s="1"/>
  <c r="AF18" i="2" s="1"/>
  <c r="AH10" i="2" l="1"/>
  <c r="AH12" i="2" s="1"/>
  <c r="AH21" i="2"/>
  <c r="AI5" i="2"/>
  <c r="AI6" i="2" s="1"/>
  <c r="AI20" i="2"/>
  <c r="AJ4" i="2"/>
  <c r="AG14" i="2"/>
  <c r="AG15" i="2" s="1"/>
  <c r="AG16" i="2" s="1"/>
  <c r="AG18" i="2" s="1"/>
  <c r="AG22" i="2"/>
  <c r="AI10" i="2" l="1"/>
  <c r="AI12" i="2" s="1"/>
  <c r="AI21" i="2"/>
  <c r="AJ5" i="2"/>
  <c r="AJ6" i="2"/>
  <c r="AK4" i="2"/>
  <c r="AJ20" i="2"/>
  <c r="AH14" i="2"/>
  <c r="AH15" i="2" s="1"/>
  <c r="AH16" i="2" s="1"/>
  <c r="AH18" i="2" s="1"/>
  <c r="AH22" i="2"/>
  <c r="AK5" i="2" l="1"/>
  <c r="AK20" i="2"/>
  <c r="AK6" i="2"/>
  <c r="AL4" i="2"/>
  <c r="AJ21" i="2"/>
  <c r="AJ10" i="2"/>
  <c r="AJ12" i="2" s="1"/>
  <c r="AI14" i="2"/>
  <c r="AI15" i="2" s="1"/>
  <c r="AI16" i="2" s="1"/>
  <c r="AI22" i="2"/>
  <c r="AJ14" i="2" l="1"/>
  <c r="AJ15" i="2" s="1"/>
  <c r="AJ16" i="2" s="1"/>
  <c r="AJ18" i="2" s="1"/>
  <c r="AJ22" i="2"/>
  <c r="AI18" i="2"/>
  <c r="AL20" i="2"/>
  <c r="AL5" i="2"/>
  <c r="AL6" i="2" s="1"/>
  <c r="AK21" i="2"/>
  <c r="AK10" i="2"/>
  <c r="AK12" i="2" s="1"/>
  <c r="AL10" i="2" l="1"/>
  <c r="AL12" i="2" s="1"/>
  <c r="AL21" i="2"/>
  <c r="AK22" i="2"/>
  <c r="AK14" i="2"/>
  <c r="AK15" i="2" s="1"/>
  <c r="AK16" i="2" s="1"/>
  <c r="AK18" i="2" l="1"/>
  <c r="AL22" i="2"/>
  <c r="AL14" i="2"/>
  <c r="AL15" i="2" s="1"/>
  <c r="AL16" i="2" s="1"/>
  <c r="AL18" i="2" l="1"/>
  <c r="AM16" i="2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AO21" i="2" l="1"/>
  <c r="AO23" i="2" s="1"/>
  <c r="AO24" i="2" s="1"/>
</calcChain>
</file>

<file path=xl/sharedStrings.xml><?xml version="1.0" encoding="utf-8"?>
<sst xmlns="http://schemas.openxmlformats.org/spreadsheetml/2006/main" count="190" uniqueCount="129">
  <si>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</si>
  <si>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</si>
  <si>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</si>
  <si>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</si>
  <si>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</si>
  <si>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</si>
  <si>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</si>
  <si>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</si>
  <si>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</si>
  <si>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</si>
  <si>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</si>
  <si>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</si>
  <si>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</si>
  <si>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</si>
  <si>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</si>
  <si>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</si>
  <si>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</si>
  <si>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</si>
  <si>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</si>
  <si>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</si>
  <si>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</si>
  <si>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</si>
  <si>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</si>
  <si>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</si>
  <si>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</si>
  <si>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</si>
  <si>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</si>
  <si>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</si>
  <si>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</si>
  <si>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</si>
  <si>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Cash flow NOKm</t>
  </si>
  <si>
    <t>EBIT margin</t>
  </si>
  <si>
    <t>EV/EBIT</t>
  </si>
  <si>
    <t>P/E</t>
  </si>
  <si>
    <t>Balanse NOKm</t>
  </si>
  <si>
    <t>MC NOKm</t>
  </si>
  <si>
    <t>Cash NOKm</t>
  </si>
  <si>
    <t>Debt NOKm</t>
  </si>
  <si>
    <t>EV NOKm</t>
  </si>
  <si>
    <t>NOK million</t>
  </si>
  <si>
    <t>Q225</t>
  </si>
  <si>
    <t>FY 2019</t>
  </si>
  <si>
    <t>FY 2020</t>
  </si>
  <si>
    <t>FY 2021</t>
  </si>
  <si>
    <t>Q325</t>
  </si>
  <si>
    <t>Q425</t>
  </si>
  <si>
    <t>Q125</t>
  </si>
  <si>
    <t>Revenue</t>
  </si>
  <si>
    <t>COGS</t>
  </si>
  <si>
    <t>Gross profit</t>
  </si>
  <si>
    <t>Payroll and related costs</t>
  </si>
  <si>
    <t>Other opex</t>
  </si>
  <si>
    <t>Restructuring costs</t>
  </si>
  <si>
    <t>EBITDA</t>
  </si>
  <si>
    <t>D/A</t>
  </si>
  <si>
    <t>EBIT</t>
  </si>
  <si>
    <t>Net financial items</t>
  </si>
  <si>
    <t>PTP</t>
  </si>
  <si>
    <t>Tax</t>
  </si>
  <si>
    <t>Net income</t>
  </si>
  <si>
    <t>Share</t>
  </si>
  <si>
    <t>EPS</t>
  </si>
  <si>
    <t>Gross margin</t>
  </si>
  <si>
    <t>PP&amp;E</t>
  </si>
  <si>
    <t>Right-of-use assets</t>
  </si>
  <si>
    <t>Deferred tax assets</t>
  </si>
  <si>
    <t>Goodwill</t>
  </si>
  <si>
    <t>Other intangible assets</t>
  </si>
  <si>
    <t>Other long-term receivables</t>
  </si>
  <si>
    <t>Inventories</t>
  </si>
  <si>
    <t>Trade receivables</t>
  </si>
  <si>
    <t>Other receivables</t>
  </si>
  <si>
    <t>Cash</t>
  </si>
  <si>
    <t>Total assets</t>
  </si>
  <si>
    <t>Share capital and premium</t>
  </si>
  <si>
    <t>Other reserves</t>
  </si>
  <si>
    <t>Retained earnings</t>
  </si>
  <si>
    <t>Total Equity</t>
  </si>
  <si>
    <t>IB long-term liabilities</t>
  </si>
  <si>
    <t>Long-term leasing liabilites</t>
  </si>
  <si>
    <t>Other long-term liabilities</t>
  </si>
  <si>
    <t>Deferred tax liabilities</t>
  </si>
  <si>
    <t>Trade payables</t>
  </si>
  <si>
    <t>IB current liabilites</t>
  </si>
  <si>
    <t>Current leasing liabilites</t>
  </si>
  <si>
    <t>Tax payable</t>
  </si>
  <si>
    <t>Provisions</t>
  </si>
  <si>
    <t>Other current liabiliteis</t>
  </si>
  <si>
    <t>Total debt</t>
  </si>
  <si>
    <t>Total E/D</t>
  </si>
  <si>
    <t>Model PTP</t>
  </si>
  <si>
    <t>Reported PTP</t>
  </si>
  <si>
    <t>SBC</t>
  </si>
  <si>
    <t>Gains/losses on disposals</t>
  </si>
  <si>
    <t>Net interest expenses</t>
  </si>
  <si>
    <t>Taxes pid</t>
  </si>
  <si>
    <t>Net interest paid</t>
  </si>
  <si>
    <t>WC</t>
  </si>
  <si>
    <t>CFFO</t>
  </si>
  <si>
    <t>Capex</t>
  </si>
  <si>
    <t>Sale of PP&amp;E</t>
  </si>
  <si>
    <t>CFFI</t>
  </si>
  <si>
    <t>Dividends</t>
  </si>
  <si>
    <t>Proceeds/payments from treasury shares</t>
  </si>
  <si>
    <t>Payment of lease liabil</t>
  </si>
  <si>
    <t>Change in debt</t>
  </si>
  <si>
    <t>CFFF</t>
  </si>
  <si>
    <t>FX</t>
  </si>
  <si>
    <t>CIC</t>
  </si>
  <si>
    <t>FCF</t>
  </si>
  <si>
    <t>Discount</t>
  </si>
  <si>
    <t>TV</t>
  </si>
  <si>
    <t>NPV</t>
  </si>
  <si>
    <t>NPV/Share</t>
  </si>
  <si>
    <t>Opp/nedside</t>
  </si>
  <si>
    <t>Norway</t>
  </si>
  <si>
    <t>Product revenue</t>
  </si>
  <si>
    <t>Services revenue</t>
  </si>
  <si>
    <t>Total revenue</t>
  </si>
  <si>
    <t>Gross margin %</t>
  </si>
  <si>
    <t>OPEX</t>
  </si>
  <si>
    <t>EBIT margin %</t>
  </si>
  <si>
    <t>OPEX  y/y</t>
  </si>
  <si>
    <t>Sweden</t>
  </si>
  <si>
    <t>Denmark</t>
  </si>
  <si>
    <t>Finland</t>
  </si>
  <si>
    <t>Baltics</t>
  </si>
  <si>
    <t>Growth%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</si>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</sst>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11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2" fontId="2" fillId="0" borderId="0" xfId="0" applyNumberFormat="1" applyFont="1"/>
    <xf numFmtId="166" fontId="1" fillId="0" borderId="0" xfId="0" applyNumberFormat="1" applyFont="1"/>
    <xf numFmtId="0" fontId="1" fillId="0" borderId="1" xfId="0" applyFont="1" applyBorder="1"/>
    <xf numFmtId="2" fontId="2" fillId="0" borderId="1" xfId="0" applyNumberFormat="1" applyFont="1" applyBorder="1"/>
    <xf numFmtId="166" fontId="1" fillId="0" borderId="1" xfId="0" applyNumberFormat="1" applyFont="1" applyBorder="1"/>
    <xf numFmtId="166" fontId="2" fillId="0" borderId="1" xfId="0" applyNumberFormat="1" applyFont="1" applyBorder="1"/>
    <xf numFmtId="3" fontId="4" fillId="0" borderId="1" xfId="0" applyNumberFormat="1" applyFont="1" applyBorder="1"/>
    <xf numFmtId="3" fontId="8" fillId="0" borderId="0" xfId="0" applyNumberFormat="1" applyFont="1"/>
    <xf numFmtId="3" fontId="9" fillId="0" borderId="0" xfId="0" applyNumberFormat="1" applyFont="1"/>
    <xf numFmtId="10" fontId="2" fillId="0" borderId="0" xfId="0" applyNumberFormat="1" applyFont="1"/>
    <xf numFmtId="0" fontId="5" fillId="0" borderId="2" xfId="0" applyFont="1" applyBorder="1"/>
    <xf numFmtId="0" fontId="2" fillId="0" borderId="3" xfId="0" applyFont="1" applyBorder="1"/>
    <xf numFmtId="9" fontId="2" fillId="0" borderId="0" xfId="0" applyNumberFormat="1" applyFont="1"/>
    <xf numFmtId="8" fontId="2" fillId="0" borderId="3" xfId="0" applyNumberFormat="1" applyFont="1" applyBorder="1"/>
    <xf numFmtId="10" fontId="1" fillId="0" borderId="0" xfId="0" applyNumberFormat="1" applyFont="1"/>
    <xf numFmtId="165" fontId="6" fillId="0" borderId="2" xfId="0" applyNumberFormat="1" applyFont="1" applyBorder="1"/>
    <xf numFmtId="10" fontId="2" fillId="0" borderId="3" xfId="0" applyNumberFormat="1" applyFont="1" applyBorder="1"/>
    <xf numFmtId="0" fontId="8" fillId="0" borderId="0" xfId="0" applyFont="1"/>
    <xf numFmtId="0" fontId="9" fillId="0" borderId="0" xfId="0" applyFont="1"/>
    <xf numFmtId="10" fontId="9" fillId="0" borderId="0" xfId="0" applyNumberFormat="1" applyFont="1"/>
    <xf numFmtId="0" fontId="9" fillId="0" borderId="3" xfId="0" applyFont="1" applyBorder="1"/>
    <xf numFmtId="10" fontId="9" fillId="0" borderId="3" xfId="0" applyNumberFormat="1" applyFont="1" applyBorder="1"/>
    <xf numFmtId="10" fontId="4" fillId="0" borderId="0" xfId="0" applyNumberFormat="1" applyFont="1"/>
    <xf numFmtId="0" fontId="10" fillId="0" borderId="0" xfId="0" applyFo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10" fontId="3" fillId="0" borderId="5" xfId="0" applyNumberFormat="1" applyFont="1" applyBorder="1"/>
    <xf numFmtId="10" fontId="1" fillId="0" borderId="5" xfId="0" applyNumberFormat="1" applyFont="1" applyBorder="1"/>
    <xf numFmtId="0" fontId="3" fillId="0" borderId="5" xfId="0" applyFont="1" applyBorder="1"/>
    <xf numFmtId="10" fontId="1" fillId="0" borderId="4" xfId="0" applyNumberFormat="1" applyFont="1" applyBorder="1"/>
    <xf numFmtId="0" fontId="8" fillId="0" borderId="5" xfId="0" applyFont="1" applyBorder="1"/>
    <xf numFmtId="3" fontId="2" fillId="0" borderId="5" xfId="0" applyNumberFormat="1" applyFont="1" applyBorder="1"/>
    <xf numFmtId="3" fontId="1" fillId="0" borderId="5" xfId="0" applyNumberFormat="1" applyFont="1" applyBorder="1"/>
    <xf numFmtId="1" fontId="9" fillId="0" borderId="0" xfId="0" applyNumberFormat="1" applyFont="1"/>
    <xf numFmtId="1" fontId="1" fillId="0" borderId="5" xfId="0" applyNumberFormat="1" applyFont="1" applyBorder="1"/>
    <xf numFmtId="1" fontId="2" fillId="0" borderId="5" xfId="0" applyNumberFormat="1" applyFont="1" applyBorder="1"/>
    <xf numFmtId="1" fontId="1" fillId="0" borderId="0" xfId="0" applyNumberFormat="1" applyFont="1"/>
    <xf numFmtId="1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5:A8"/>
  <sheetViews>
    <sheetView showGridLines="0" tabSelected="1" workbookViewId="0">
      <selection activeCell="H17" sqref="H17"/>
    </sheetView>
  </sheetViews>
  <sheetFormatPr baseColWidth="10" defaultRowHeight="19" x14ac:dyDescent="0.25"/>
  <cols>
    <col min="1" max="16384" width="10.83203125" style="2"/>
  </cols>
  <sheetData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ER80"/>
  <sheetViews>
    <sheetView showGridLines="0" workbookViewId="0">
      <pane xSplit="3" ySplit="3" topLeftCell="AA4" activePane="bottomRight" state="frozen"/>
      <selection pane="topRight" activeCell="D1" sqref="D1"/>
      <selection pane="bottomLeft" activeCell="A4" sqref="A4"/>
      <selection pane="bottomRight" activeCell="B5" sqref="B5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2.664062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83203125" style="2" bestFit="1" customWidth="1"/>
    <col min="16" max="16" width="10.83203125" style="2"/>
    <col min="17" max="17" width="10.83203125" style="4"/>
    <col min="18" max="27" width="10.83203125" style="2"/>
    <col min="28" max="28" width="10.83203125" style="4"/>
    <col min="29" max="39" width="10.83203125" style="2"/>
    <col min="40" max="40" width="14.1640625" style="2" bestFit="1" customWidth="1"/>
    <col min="41" max="41" width="13.33203125" style="2" bestFit="1" customWidth="1"/>
    <col min="42" max="16384" width="10.83203125" style="2"/>
  </cols>
  <sheetData>
    <row r="1" spans="1:148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X1" s="1"/>
    </row>
    <row r="3" spans="1:148" x14ac:dyDescent="0.25">
      <c r="A3" s="1" t="s">
        <v>0</v>
      </c>
      <c r="C3" s="2" t="s">
        <v>39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46</v>
      </c>
      <c r="Q3" s="17" t="s">
        <v>40</v>
      </c>
      <c r="R3" s="7" t="s">
        <v>44</v>
      </c>
      <c r="S3" s="7" t="s">
        <v>45</v>
      </c>
      <c r="V3" s="7" t="s">
        <v>41</v>
      </c>
      <c r="W3" s="7" t="s">
        <v>42</v>
      </c>
      <c r="X3" s="7" t="s">
        <v>43</v>
      </c>
      <c r="Y3" s="7" t="s">
        <v>15</v>
      </c>
      <c r="Z3" s="7" t="s">
        <v>16</v>
      </c>
      <c r="AA3" s="7" t="s">
        <v>17</v>
      </c>
      <c r="AB3" s="17" t="s">
        <v>18</v>
      </c>
      <c r="AC3" s="7" t="s">
        <v>19</v>
      </c>
      <c r="AD3" s="7" t="s">
        <v>20</v>
      </c>
      <c r="AE3" s="7" t="s">
        <v>21</v>
      </c>
      <c r="AF3" s="7" t="s">
        <v>22</v>
      </c>
      <c r="AG3" s="7" t="s">
        <v>23</v>
      </c>
      <c r="AH3" s="7" t="s">
        <v>24</v>
      </c>
      <c r="AI3" s="7" t="s">
        <v>25</v>
      </c>
      <c r="AJ3" s="7" t="s">
        <v>26</v>
      </c>
      <c r="AK3" s="7" t="s">
        <v>27</v>
      </c>
      <c r="AL3" s="7" t="s">
        <v>28</v>
      </c>
    </row>
    <row r="4" spans="1:148" x14ac:dyDescent="0.25">
      <c r="A4" s="2" t="s">
        <v>1</v>
      </c>
      <c r="B4" s="4">
        <v>139.6</v>
      </c>
      <c r="C4" s="1" t="s">
        <v>47</v>
      </c>
      <c r="D4" s="12">
        <v>6906</v>
      </c>
      <c r="E4" s="12">
        <v>7590</v>
      </c>
      <c r="F4" s="12">
        <v>8082</v>
      </c>
      <c r="G4" s="12">
        <v>9820</v>
      </c>
      <c r="H4" s="12">
        <v>8692</v>
      </c>
      <c r="I4" s="12">
        <v>8870</v>
      </c>
      <c r="J4" s="12">
        <v>7743</v>
      </c>
      <c r="K4" s="12">
        <v>9399</v>
      </c>
      <c r="L4" s="12">
        <v>7606</v>
      </c>
      <c r="M4" s="12">
        <v>8380</v>
      </c>
      <c r="N4" s="12">
        <v>7983</v>
      </c>
      <c r="O4" s="12">
        <v>10614</v>
      </c>
      <c r="P4" s="12">
        <v>8553</v>
      </c>
      <c r="Q4" s="13">
        <v>9139</v>
      </c>
      <c r="R4" s="14"/>
      <c r="S4" s="14"/>
      <c r="V4" s="25">
        <v>36655</v>
      </c>
      <c r="W4" s="25">
        <v>39503</v>
      </c>
      <c r="X4" s="25">
        <v>28491</v>
      </c>
      <c r="Y4" s="12">
        <v>32397</v>
      </c>
      <c r="Z4" s="12">
        <v>34704</v>
      </c>
      <c r="AA4" s="12">
        <v>34583</v>
      </c>
      <c r="AB4" s="13">
        <f>AA4*1.1</f>
        <v>38041.300000000003</v>
      </c>
      <c r="AC4" s="12">
        <f>AB4*1.085</f>
        <v>41274.8105</v>
      </c>
      <c r="AD4" s="12">
        <f>AC4*1.085</f>
        <v>44783.1693925</v>
      </c>
      <c r="AE4" s="12">
        <f t="shared" ref="AE4:AL4" si="0">AD4*1.075</f>
        <v>48141.907096937495</v>
      </c>
      <c r="AF4" s="12">
        <f t="shared" si="0"/>
        <v>51752.550129207804</v>
      </c>
      <c r="AG4" s="12">
        <f t="shared" si="0"/>
        <v>55633.991388898387</v>
      </c>
      <c r="AH4" s="12">
        <f t="shared" si="0"/>
        <v>59806.540743065765</v>
      </c>
      <c r="AI4" s="12">
        <f t="shared" si="0"/>
        <v>64292.031298795693</v>
      </c>
      <c r="AJ4" s="12">
        <f t="shared" si="0"/>
        <v>69113.933646205362</v>
      </c>
      <c r="AK4" s="12">
        <f t="shared" si="0"/>
        <v>74297.47866967076</v>
      </c>
      <c r="AL4" s="12">
        <f t="shared" si="0"/>
        <v>79869.789569896064</v>
      </c>
    </row>
    <row r="5" spans="1:148" x14ac:dyDescent="0.25">
      <c r="A5" s="2" t="s">
        <v>2</v>
      </c>
      <c r="B5" s="5">
        <v>112.38409299999999</v>
      </c>
      <c r="C5" s="2" t="s">
        <v>48</v>
      </c>
      <c r="D5" s="14">
        <v>-4814</v>
      </c>
      <c r="E5" s="14">
        <v>-5378</v>
      </c>
      <c r="F5" s="14">
        <v>-6000</v>
      </c>
      <c r="G5" s="14">
        <v>-7202</v>
      </c>
      <c r="H5" s="14">
        <v>-6184</v>
      </c>
      <c r="I5" s="14">
        <v>-6214</v>
      </c>
      <c r="J5" s="14">
        <v>-5461</v>
      </c>
      <c r="K5" s="14">
        <v>-6595</v>
      </c>
      <c r="L5" s="14">
        <v>-5050</v>
      </c>
      <c r="M5" s="14">
        <v>-5738</v>
      </c>
      <c r="N5" s="14">
        <v>-5626</v>
      </c>
      <c r="O5" s="14">
        <v>-7771</v>
      </c>
      <c r="P5" s="14">
        <v>-5871</v>
      </c>
      <c r="Q5" s="15">
        <v>-6363</v>
      </c>
      <c r="R5" s="14"/>
      <c r="S5" s="14"/>
      <c r="V5" s="26">
        <v>-28897</v>
      </c>
      <c r="W5" s="26">
        <v>-31266</v>
      </c>
      <c r="X5" s="26">
        <v>-20045</v>
      </c>
      <c r="Y5" s="14">
        <v>-23395</v>
      </c>
      <c r="Z5" s="14">
        <v>-24455</v>
      </c>
      <c r="AA5" s="14">
        <v>-24186</v>
      </c>
      <c r="AB5" s="15">
        <f>AB4*-0.7</f>
        <v>-26628.91</v>
      </c>
      <c r="AC5" s="14">
        <f t="shared" ref="AC5:AL5" si="1">AC4*-0.7</f>
        <v>-28892.367349999997</v>
      </c>
      <c r="AD5" s="14">
        <f t="shared" si="1"/>
        <v>-31348.218574749997</v>
      </c>
      <c r="AE5" s="14">
        <f t="shared" si="1"/>
        <v>-33699.334967856244</v>
      </c>
      <c r="AF5" s="14">
        <f t="shared" si="1"/>
        <v>-36226.785090445461</v>
      </c>
      <c r="AG5" s="14">
        <f t="shared" si="1"/>
        <v>-38943.793972228865</v>
      </c>
      <c r="AH5" s="14">
        <f t="shared" si="1"/>
        <v>-41864.578520146031</v>
      </c>
      <c r="AI5" s="14">
        <f t="shared" si="1"/>
        <v>-45004.421909156983</v>
      </c>
      <c r="AJ5" s="14">
        <f t="shared" si="1"/>
        <v>-48379.753552343747</v>
      </c>
      <c r="AK5" s="14">
        <f t="shared" si="1"/>
        <v>-52008.235068769529</v>
      </c>
      <c r="AL5" s="14">
        <f t="shared" si="1"/>
        <v>-55908.852698927243</v>
      </c>
    </row>
    <row r="6" spans="1:148" x14ac:dyDescent="0.25">
      <c r="A6" s="2" t="s">
        <v>35</v>
      </c>
      <c r="B6" s="5">
        <f>B4*B5</f>
        <v>15688.819382799998</v>
      </c>
      <c r="C6" s="2" t="s">
        <v>49</v>
      </c>
      <c r="D6" s="2">
        <f t="shared" ref="D6:O6" si="2">SUM(D4:D5)</f>
        <v>2092</v>
      </c>
      <c r="E6" s="2">
        <f t="shared" si="2"/>
        <v>2212</v>
      </c>
      <c r="F6" s="2">
        <f t="shared" si="2"/>
        <v>2082</v>
      </c>
      <c r="G6" s="2">
        <f t="shared" si="2"/>
        <v>2618</v>
      </c>
      <c r="H6" s="2">
        <f t="shared" si="2"/>
        <v>2508</v>
      </c>
      <c r="I6" s="2">
        <f t="shared" si="2"/>
        <v>2656</v>
      </c>
      <c r="J6" s="2">
        <f t="shared" si="2"/>
        <v>2282</v>
      </c>
      <c r="K6" s="2">
        <f t="shared" si="2"/>
        <v>2804</v>
      </c>
      <c r="L6" s="2">
        <f t="shared" si="2"/>
        <v>2556</v>
      </c>
      <c r="M6" s="2">
        <f t="shared" si="2"/>
        <v>2642</v>
      </c>
      <c r="N6" s="2">
        <f t="shared" si="2"/>
        <v>2357</v>
      </c>
      <c r="O6" s="2">
        <f t="shared" si="2"/>
        <v>2843</v>
      </c>
      <c r="P6" s="14">
        <f>SUM(P4:P5)</f>
        <v>2682</v>
      </c>
      <c r="Q6" s="15">
        <f>SUM(Q4:Q5)</f>
        <v>2776</v>
      </c>
      <c r="R6" s="14"/>
      <c r="S6" s="14"/>
      <c r="V6" s="14">
        <f t="shared" ref="V6:AA6" si="3">SUM(V4:V5)</f>
        <v>7758</v>
      </c>
      <c r="W6" s="14">
        <f t="shared" si="3"/>
        <v>8237</v>
      </c>
      <c r="X6" s="14">
        <f t="shared" si="3"/>
        <v>8446</v>
      </c>
      <c r="Y6" s="14">
        <f t="shared" si="3"/>
        <v>9002</v>
      </c>
      <c r="Z6" s="14">
        <f t="shared" si="3"/>
        <v>10249</v>
      </c>
      <c r="AA6" s="14">
        <f t="shared" si="3"/>
        <v>10397</v>
      </c>
      <c r="AB6" s="15">
        <f t="shared" ref="AB6" si="4">SUM(AB4:AB5)</f>
        <v>11412.390000000003</v>
      </c>
      <c r="AC6" s="14">
        <f t="shared" ref="AC6" si="5">SUM(AC4:AC5)</f>
        <v>12382.443150000003</v>
      </c>
      <c r="AD6" s="14">
        <f t="shared" ref="AD6" si="6">SUM(AD4:AD5)</f>
        <v>13434.950817750003</v>
      </c>
      <c r="AE6" s="14">
        <f t="shared" ref="AE6" si="7">SUM(AE4:AE5)</f>
        <v>14442.572129081251</v>
      </c>
      <c r="AF6" s="14">
        <f t="shared" ref="AF6" si="8">SUM(AF4:AF5)</f>
        <v>15525.765038762343</v>
      </c>
      <c r="AG6" s="14">
        <f t="shared" ref="AG6" si="9">SUM(AG4:AG5)</f>
        <v>16690.197416669522</v>
      </c>
      <c r="AH6" s="14">
        <f t="shared" ref="AH6" si="10">SUM(AH4:AH5)</f>
        <v>17941.962222919734</v>
      </c>
      <c r="AI6" s="14">
        <f t="shared" ref="AI6" si="11">SUM(AI4:AI5)</f>
        <v>19287.60938963871</v>
      </c>
      <c r="AJ6" s="14">
        <f t="shared" ref="AJ6" si="12">SUM(AJ4:AJ5)</f>
        <v>20734.180093861614</v>
      </c>
      <c r="AK6" s="14">
        <f t="shared" ref="AK6" si="13">SUM(AK4:AK5)</f>
        <v>22289.243600901231</v>
      </c>
      <c r="AL6" s="14">
        <f t="shared" ref="AL6" si="14">SUM(AL4:AL5)</f>
        <v>23960.936870968821</v>
      </c>
    </row>
    <row r="7" spans="1:148" x14ac:dyDescent="0.25">
      <c r="A7" s="2" t="s">
        <v>36</v>
      </c>
      <c r="B7" s="5">
        <f>Q35</f>
        <v>1066</v>
      </c>
      <c r="C7" s="2" t="s">
        <v>50</v>
      </c>
      <c r="D7" s="14">
        <v>-1613</v>
      </c>
      <c r="E7" s="14">
        <v>-1650</v>
      </c>
      <c r="F7" s="14">
        <v>-1477</v>
      </c>
      <c r="G7" s="14">
        <v>-1801</v>
      </c>
      <c r="H7" s="14">
        <v>-1870</v>
      </c>
      <c r="I7" s="14">
        <v>-1956</v>
      </c>
      <c r="J7" s="14">
        <v>-1598</v>
      </c>
      <c r="K7" s="14">
        <v>-1973</v>
      </c>
      <c r="L7" s="14">
        <v>-1919</v>
      </c>
      <c r="M7" s="14">
        <v>-2005</v>
      </c>
      <c r="N7" s="14">
        <v>-1662</v>
      </c>
      <c r="O7" s="14">
        <v>-2022</v>
      </c>
      <c r="P7" s="14">
        <v>-1994</v>
      </c>
      <c r="Q7" s="15">
        <v>-2071</v>
      </c>
      <c r="R7" s="14"/>
      <c r="S7" s="14"/>
      <c r="V7" s="26">
        <v>-5584</v>
      </c>
      <c r="W7" s="26">
        <v>-5904</v>
      </c>
      <c r="X7" s="26">
        <v>-6130</v>
      </c>
      <c r="Y7" s="14">
        <v>-6540</v>
      </c>
      <c r="Z7" s="14">
        <v>-7396</v>
      </c>
      <c r="AA7" s="14">
        <v>-7607</v>
      </c>
      <c r="AB7" s="15">
        <f>AA7*1.1</f>
        <v>-8367.7000000000007</v>
      </c>
      <c r="AC7" s="14">
        <f>AB7*1.085</f>
        <v>-9078.9544999999998</v>
      </c>
      <c r="AD7" s="14">
        <f>AC7*1.085</f>
        <v>-9850.6656325000004</v>
      </c>
      <c r="AE7" s="14">
        <f t="shared" ref="AE7:AL7" si="15">AD7*1.075</f>
        <v>-10589.4655549375</v>
      </c>
      <c r="AF7" s="14">
        <f t="shared" si="15"/>
        <v>-11383.675471557812</v>
      </c>
      <c r="AG7" s="14">
        <f t="shared" si="15"/>
        <v>-12237.451131924647</v>
      </c>
      <c r="AH7" s="14">
        <f t="shared" si="15"/>
        <v>-13155.259966818994</v>
      </c>
      <c r="AI7" s="14">
        <f t="shared" si="15"/>
        <v>-14141.904464330419</v>
      </c>
      <c r="AJ7" s="14">
        <f t="shared" si="15"/>
        <v>-15202.5472991552</v>
      </c>
      <c r="AK7" s="14">
        <f t="shared" si="15"/>
        <v>-16342.738346591839</v>
      </c>
      <c r="AL7" s="14">
        <f t="shared" si="15"/>
        <v>-17568.443722586228</v>
      </c>
    </row>
    <row r="8" spans="1:148" x14ac:dyDescent="0.25">
      <c r="A8" s="2" t="s">
        <v>37</v>
      </c>
      <c r="B8" s="5">
        <f>Q41+Q46</f>
        <v>1479</v>
      </c>
      <c r="C8" s="2" t="s">
        <v>51</v>
      </c>
      <c r="D8" s="14">
        <v>-149</v>
      </c>
      <c r="E8" s="14">
        <v>-129</v>
      </c>
      <c r="F8" s="14">
        <v>-165</v>
      </c>
      <c r="G8" s="14">
        <v>-208</v>
      </c>
      <c r="H8" s="14">
        <v>-220</v>
      </c>
      <c r="I8" s="14">
        <v>-234</v>
      </c>
      <c r="J8" s="14">
        <v>-216</v>
      </c>
      <c r="K8" s="14">
        <v>-252</v>
      </c>
      <c r="L8" s="14">
        <v>-201</v>
      </c>
      <c r="M8" s="14">
        <v>-215</v>
      </c>
      <c r="N8" s="14">
        <v>-203</v>
      </c>
      <c r="O8" s="14">
        <v>-224</v>
      </c>
      <c r="P8" s="14">
        <v>-220</v>
      </c>
      <c r="Q8" s="15">
        <v>-242</v>
      </c>
      <c r="R8" s="14"/>
      <c r="S8" s="14"/>
      <c r="V8" s="26">
        <v>-766</v>
      </c>
      <c r="W8" s="26">
        <v>-745</v>
      </c>
      <c r="X8" s="26">
        <v>-656</v>
      </c>
      <c r="Y8" s="14">
        <v>-651</v>
      </c>
      <c r="Z8" s="14">
        <v>-921</v>
      </c>
      <c r="AA8" s="14">
        <v>-843</v>
      </c>
      <c r="AB8" s="15">
        <f t="shared" ref="AB8:AB9" si="16">AA8*1.1</f>
        <v>-927.30000000000007</v>
      </c>
      <c r="AC8" s="14">
        <f t="shared" ref="AC8:AD9" si="17">AB8*1.085</f>
        <v>-1006.1205</v>
      </c>
      <c r="AD8" s="14">
        <f t="shared" si="17"/>
        <v>-1091.6407425</v>
      </c>
      <c r="AE8" s="14">
        <f t="shared" ref="AD8:AL11" si="18">AD8*1.075</f>
        <v>-1173.5137981875</v>
      </c>
      <c r="AF8" s="14">
        <f t="shared" si="18"/>
        <v>-1261.5273330515624</v>
      </c>
      <c r="AG8" s="14">
        <f t="shared" si="18"/>
        <v>-1356.1418830304297</v>
      </c>
      <c r="AH8" s="14">
        <f t="shared" si="18"/>
        <v>-1457.8525242577118</v>
      </c>
      <c r="AI8" s="14">
        <f t="shared" si="18"/>
        <v>-1567.1914635770402</v>
      </c>
      <c r="AJ8" s="14">
        <f t="shared" si="18"/>
        <v>-1684.7308233453182</v>
      </c>
      <c r="AK8" s="14">
        <f t="shared" si="18"/>
        <v>-1811.0856350962169</v>
      </c>
      <c r="AL8" s="14">
        <f t="shared" si="18"/>
        <v>-1946.9170577284331</v>
      </c>
    </row>
    <row r="9" spans="1:148" x14ac:dyDescent="0.25">
      <c r="A9" s="3" t="s">
        <v>38</v>
      </c>
      <c r="B9" s="6">
        <f>B6-B7+B8</f>
        <v>16101.819382799998</v>
      </c>
      <c r="C9" s="2" t="s">
        <v>52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-39</v>
      </c>
      <c r="P9" s="14">
        <v>0</v>
      </c>
      <c r="Q9" s="15">
        <v>0</v>
      </c>
      <c r="R9" s="14"/>
      <c r="S9" s="14"/>
      <c r="V9" s="26">
        <v>-73</v>
      </c>
      <c r="W9" s="26">
        <f>-37-53</f>
        <v>-90</v>
      </c>
      <c r="X9" s="26">
        <v>0</v>
      </c>
      <c r="Y9" s="14">
        <v>0</v>
      </c>
      <c r="Z9" s="14">
        <v>0</v>
      </c>
      <c r="AA9" s="14">
        <v>-39</v>
      </c>
      <c r="AB9" s="15">
        <f t="shared" si="16"/>
        <v>-42.900000000000006</v>
      </c>
      <c r="AC9" s="14">
        <f t="shared" si="17"/>
        <v>-46.546500000000002</v>
      </c>
      <c r="AD9" s="14">
        <f t="shared" si="17"/>
        <v>-50.502952499999999</v>
      </c>
      <c r="AE9" s="14">
        <f t="shared" si="18"/>
        <v>-54.290673937499996</v>
      </c>
      <c r="AF9" s="14">
        <f t="shared" si="18"/>
        <v>-58.362474482812495</v>
      </c>
      <c r="AG9" s="14">
        <f t="shared" si="18"/>
        <v>-62.739660069023429</v>
      </c>
      <c r="AH9" s="14">
        <f t="shared" si="18"/>
        <v>-67.445134574200182</v>
      </c>
      <c r="AI9" s="14">
        <f t="shared" si="18"/>
        <v>-72.503519667265195</v>
      </c>
      <c r="AJ9" s="14">
        <f t="shared" si="18"/>
        <v>-77.941283642310083</v>
      </c>
      <c r="AK9" s="14">
        <f t="shared" si="18"/>
        <v>-83.78687991548334</v>
      </c>
      <c r="AL9" s="14">
        <f t="shared" si="18"/>
        <v>-90.070895909144582</v>
      </c>
    </row>
    <row r="10" spans="1:148" x14ac:dyDescent="0.25">
      <c r="C10" s="1" t="s">
        <v>53</v>
      </c>
      <c r="D10" s="1">
        <f t="shared" ref="D10:O10" si="19">SUM(D6:D9)</f>
        <v>330</v>
      </c>
      <c r="E10" s="1">
        <f t="shared" si="19"/>
        <v>433</v>
      </c>
      <c r="F10" s="1">
        <f t="shared" si="19"/>
        <v>440</v>
      </c>
      <c r="G10" s="1">
        <f t="shared" si="19"/>
        <v>609</v>
      </c>
      <c r="H10" s="1">
        <f t="shared" si="19"/>
        <v>418</v>
      </c>
      <c r="I10" s="1">
        <f t="shared" si="19"/>
        <v>466</v>
      </c>
      <c r="J10" s="1">
        <f t="shared" si="19"/>
        <v>468</v>
      </c>
      <c r="K10" s="1">
        <f t="shared" si="19"/>
        <v>579</v>
      </c>
      <c r="L10" s="1">
        <f t="shared" si="19"/>
        <v>436</v>
      </c>
      <c r="M10" s="1">
        <f t="shared" si="19"/>
        <v>422</v>
      </c>
      <c r="N10" s="1">
        <f t="shared" si="19"/>
        <v>492</v>
      </c>
      <c r="O10" s="1">
        <f t="shared" si="19"/>
        <v>558</v>
      </c>
      <c r="P10" s="12">
        <f>SUM(P6:P9)</f>
        <v>468</v>
      </c>
      <c r="Q10" s="13">
        <f>SUM(Q6:Q9)</f>
        <v>463</v>
      </c>
      <c r="R10" s="14"/>
      <c r="S10" s="14"/>
      <c r="V10" s="12">
        <f t="shared" ref="V10:AA10" si="20">SUM(V6:V9)</f>
        <v>1335</v>
      </c>
      <c r="W10" s="12">
        <f t="shared" si="20"/>
        <v>1498</v>
      </c>
      <c r="X10" s="12">
        <f t="shared" si="20"/>
        <v>1660</v>
      </c>
      <c r="Y10" s="12">
        <f t="shared" si="20"/>
        <v>1811</v>
      </c>
      <c r="Z10" s="12">
        <f t="shared" si="20"/>
        <v>1932</v>
      </c>
      <c r="AA10" s="12">
        <f t="shared" si="20"/>
        <v>1908</v>
      </c>
      <c r="AB10" s="13">
        <f t="shared" ref="AB10" si="21">SUM(AB6:AB9)</f>
        <v>2074.4900000000021</v>
      </c>
      <c r="AC10" s="12">
        <f t="shared" ref="AC10" si="22">SUM(AC6:AC9)</f>
        <v>2250.821650000003</v>
      </c>
      <c r="AD10" s="12">
        <f t="shared" ref="AD10" si="23">SUM(AD6:AD9)</f>
        <v>2442.1414902500028</v>
      </c>
      <c r="AE10" s="12">
        <f t="shared" ref="AE10" si="24">SUM(AE6:AE9)</f>
        <v>2625.3021020187507</v>
      </c>
      <c r="AF10" s="12">
        <f t="shared" ref="AF10" si="25">SUM(AF6:AF9)</f>
        <v>2822.1997596701567</v>
      </c>
      <c r="AG10" s="12">
        <f t="shared" ref="AG10" si="26">SUM(AG6:AG9)</f>
        <v>3033.8647416454219</v>
      </c>
      <c r="AH10" s="12">
        <f t="shared" ref="AH10" si="27">SUM(AH6:AH9)</f>
        <v>3261.4045972688282</v>
      </c>
      <c r="AI10" s="12">
        <f t="shared" ref="AI10" si="28">SUM(AI6:AI9)</f>
        <v>3506.0099420639863</v>
      </c>
      <c r="AJ10" s="12">
        <f t="shared" ref="AJ10" si="29">SUM(AJ6:AJ9)</f>
        <v>3768.9606877187862</v>
      </c>
      <c r="AK10" s="12">
        <f t="shared" ref="AK10" si="30">SUM(AK6:AK9)</f>
        <v>4051.6327392976914</v>
      </c>
      <c r="AL10" s="12">
        <f t="shared" ref="AL10" si="31">SUM(AL6:AL9)</f>
        <v>4355.5051947450156</v>
      </c>
    </row>
    <row r="11" spans="1:148" x14ac:dyDescent="0.25">
      <c r="C11" s="2" t="s">
        <v>54</v>
      </c>
      <c r="D11" s="14">
        <v>-147</v>
      </c>
      <c r="E11" s="14">
        <v>-152</v>
      </c>
      <c r="F11" s="14">
        <v>-156</v>
      </c>
      <c r="G11" s="14">
        <v>-160</v>
      </c>
      <c r="H11" s="14">
        <v>-168</v>
      </c>
      <c r="I11" s="14">
        <v>-175</v>
      </c>
      <c r="J11" s="14">
        <v>-170</v>
      </c>
      <c r="K11" s="14">
        <v>-175</v>
      </c>
      <c r="L11" s="14">
        <v>-180</v>
      </c>
      <c r="M11" s="14">
        <v>-179</v>
      </c>
      <c r="N11" s="14">
        <v>-185</v>
      </c>
      <c r="O11" s="14">
        <v>-192</v>
      </c>
      <c r="P11" s="14">
        <v>-188</v>
      </c>
      <c r="Q11" s="15">
        <v>-194</v>
      </c>
      <c r="R11" s="14"/>
      <c r="S11" s="14"/>
      <c r="V11" s="26">
        <f>-584-5</f>
        <v>-589</v>
      </c>
      <c r="W11" s="26">
        <f>-638-5</f>
        <v>-643</v>
      </c>
      <c r="X11" s="26">
        <v>-614</v>
      </c>
      <c r="Y11" s="14">
        <v>-615</v>
      </c>
      <c r="Z11" s="14">
        <v>-688</v>
      </c>
      <c r="AA11" s="14">
        <v>-736</v>
      </c>
      <c r="AB11" s="15">
        <f>AA11*1.1</f>
        <v>-809.6</v>
      </c>
      <c r="AC11" s="14">
        <f>AB11*1.085</f>
        <v>-878.41599999999994</v>
      </c>
      <c r="AD11" s="14">
        <f t="shared" si="18"/>
        <v>-944.29719999999986</v>
      </c>
      <c r="AE11" s="14">
        <f t="shared" si="18"/>
        <v>-1015.1194899999998</v>
      </c>
      <c r="AF11" s="14">
        <f t="shared" si="18"/>
        <v>-1091.2534517499998</v>
      </c>
      <c r="AG11" s="14">
        <f t="shared" si="18"/>
        <v>-1173.0974606312498</v>
      </c>
      <c r="AH11" s="14">
        <f t="shared" si="18"/>
        <v>-1261.0797701785934</v>
      </c>
      <c r="AI11" s="14">
        <f t="shared" si="18"/>
        <v>-1355.660752941988</v>
      </c>
      <c r="AJ11" s="14">
        <f t="shared" si="18"/>
        <v>-1457.3353094126371</v>
      </c>
      <c r="AK11" s="14">
        <f t="shared" si="18"/>
        <v>-1566.6354576185847</v>
      </c>
      <c r="AL11" s="14">
        <f t="shared" si="18"/>
        <v>-1684.1331169399784</v>
      </c>
    </row>
    <row r="12" spans="1:148" x14ac:dyDescent="0.25">
      <c r="C12" s="1" t="s">
        <v>55</v>
      </c>
      <c r="D12" s="1">
        <f t="shared" ref="D12:O12" si="32">SUM(D10:D11)</f>
        <v>183</v>
      </c>
      <c r="E12" s="1">
        <f t="shared" si="32"/>
        <v>281</v>
      </c>
      <c r="F12" s="1">
        <f t="shared" si="32"/>
        <v>284</v>
      </c>
      <c r="G12" s="1">
        <f t="shared" si="32"/>
        <v>449</v>
      </c>
      <c r="H12" s="1">
        <f t="shared" si="32"/>
        <v>250</v>
      </c>
      <c r="I12" s="1">
        <f t="shared" si="32"/>
        <v>291</v>
      </c>
      <c r="J12" s="1">
        <f t="shared" si="32"/>
        <v>298</v>
      </c>
      <c r="K12" s="1">
        <f t="shared" si="32"/>
        <v>404</v>
      </c>
      <c r="L12" s="1">
        <f t="shared" si="32"/>
        <v>256</v>
      </c>
      <c r="M12" s="1">
        <f t="shared" si="32"/>
        <v>243</v>
      </c>
      <c r="N12" s="1">
        <f t="shared" si="32"/>
        <v>307</v>
      </c>
      <c r="O12" s="1">
        <f t="shared" si="32"/>
        <v>366</v>
      </c>
      <c r="P12" s="12">
        <f>SUM(P10:P11)</f>
        <v>280</v>
      </c>
      <c r="Q12" s="13">
        <f>SUM(Q10:Q11)</f>
        <v>269</v>
      </c>
      <c r="R12" s="14"/>
      <c r="S12" s="14"/>
      <c r="V12" s="12">
        <f t="shared" ref="V12:AA12" si="33">SUM(V10:V11)</f>
        <v>746</v>
      </c>
      <c r="W12" s="12">
        <f t="shared" si="33"/>
        <v>855</v>
      </c>
      <c r="X12" s="12">
        <f t="shared" si="33"/>
        <v>1046</v>
      </c>
      <c r="Y12" s="12">
        <f t="shared" si="33"/>
        <v>1196</v>
      </c>
      <c r="Z12" s="12">
        <f t="shared" si="33"/>
        <v>1244</v>
      </c>
      <c r="AA12" s="12">
        <f t="shared" si="33"/>
        <v>1172</v>
      </c>
      <c r="AB12" s="13">
        <f t="shared" ref="AB12" si="34">SUM(AB10:AB11)</f>
        <v>1264.8900000000021</v>
      </c>
      <c r="AC12" s="12">
        <f t="shared" ref="AC12" si="35">SUM(AC10:AC11)</f>
        <v>1372.4056500000031</v>
      </c>
      <c r="AD12" s="12">
        <f t="shared" ref="AD12" si="36">SUM(AD10:AD11)</f>
        <v>1497.8442902500028</v>
      </c>
      <c r="AE12" s="12">
        <f t="shared" ref="AE12" si="37">SUM(AE10:AE11)</f>
        <v>1610.1826120187509</v>
      </c>
      <c r="AF12" s="12">
        <f t="shared" ref="AF12" si="38">SUM(AF10:AF11)</f>
        <v>1730.9463079201569</v>
      </c>
      <c r="AG12" s="12">
        <f t="shared" ref="AG12" si="39">SUM(AG10:AG11)</f>
        <v>1860.7672810141721</v>
      </c>
      <c r="AH12" s="12">
        <f t="shared" ref="AH12" si="40">SUM(AH10:AH11)</f>
        <v>2000.3248270902347</v>
      </c>
      <c r="AI12" s="12">
        <f t="shared" ref="AI12" si="41">SUM(AI10:AI11)</f>
        <v>2150.3491891219983</v>
      </c>
      <c r="AJ12" s="12">
        <f t="shared" ref="AJ12" si="42">SUM(AJ10:AJ11)</f>
        <v>2311.6253783061493</v>
      </c>
      <c r="AK12" s="12">
        <f t="shared" ref="AK12" si="43">SUM(AK10:AK11)</f>
        <v>2484.9972816791069</v>
      </c>
      <c r="AL12" s="12">
        <f t="shared" ref="AL12" si="44">SUM(AL10:AL11)</f>
        <v>2671.3720778050374</v>
      </c>
    </row>
    <row r="13" spans="1:148" x14ac:dyDescent="0.25">
      <c r="C13" s="2" t="s">
        <v>56</v>
      </c>
      <c r="D13" s="14">
        <v>-19</v>
      </c>
      <c r="E13" s="14">
        <v>1</v>
      </c>
      <c r="F13" s="14">
        <v>-36</v>
      </c>
      <c r="G13" s="14">
        <v>-58</v>
      </c>
      <c r="H13" s="14">
        <v>-26</v>
      </c>
      <c r="I13" s="14">
        <v>-42</v>
      </c>
      <c r="J13" s="14">
        <v>-61</v>
      </c>
      <c r="K13" s="14">
        <v>-94</v>
      </c>
      <c r="L13" s="14">
        <v>-10</v>
      </c>
      <c r="M13" s="14">
        <v>-65</v>
      </c>
      <c r="N13" s="14">
        <v>-57</v>
      </c>
      <c r="O13" s="14">
        <v>-37</v>
      </c>
      <c r="P13" s="14">
        <v>-72</v>
      </c>
      <c r="Q13" s="15">
        <v>-66</v>
      </c>
      <c r="R13" s="14"/>
      <c r="S13" s="14"/>
      <c r="V13" s="14">
        <v>-90</v>
      </c>
      <c r="W13" s="14">
        <v>-105</v>
      </c>
      <c r="X13" s="14">
        <v>-104</v>
      </c>
      <c r="Y13" s="14">
        <v>-112</v>
      </c>
      <c r="Z13" s="14">
        <v>-223</v>
      </c>
      <c r="AA13" s="14">
        <v>-170</v>
      </c>
      <c r="AB13" s="15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</row>
    <row r="14" spans="1:148" x14ac:dyDescent="0.25">
      <c r="C14" s="2" t="s">
        <v>57</v>
      </c>
      <c r="D14" s="2">
        <f t="shared" ref="D14:O14" si="45">SUM(D12:D13)</f>
        <v>164</v>
      </c>
      <c r="E14" s="2">
        <f t="shared" si="45"/>
        <v>282</v>
      </c>
      <c r="F14" s="2">
        <f t="shared" si="45"/>
        <v>248</v>
      </c>
      <c r="G14" s="2">
        <f t="shared" si="45"/>
        <v>391</v>
      </c>
      <c r="H14" s="2">
        <f t="shared" si="45"/>
        <v>224</v>
      </c>
      <c r="I14" s="2">
        <f t="shared" si="45"/>
        <v>249</v>
      </c>
      <c r="J14" s="2">
        <f t="shared" si="45"/>
        <v>237</v>
      </c>
      <c r="K14" s="2">
        <f t="shared" si="45"/>
        <v>310</v>
      </c>
      <c r="L14" s="2">
        <f t="shared" si="45"/>
        <v>246</v>
      </c>
      <c r="M14" s="2">
        <f t="shared" si="45"/>
        <v>178</v>
      </c>
      <c r="N14" s="2">
        <f t="shared" si="45"/>
        <v>250</v>
      </c>
      <c r="O14" s="2">
        <f t="shared" si="45"/>
        <v>329</v>
      </c>
      <c r="P14" s="14">
        <f>SUM(P12:P13)</f>
        <v>208</v>
      </c>
      <c r="Q14" s="15">
        <f>SUM(Q12:Q13)</f>
        <v>203</v>
      </c>
      <c r="R14" s="14"/>
      <c r="S14" s="14"/>
      <c r="V14" s="14">
        <f t="shared" ref="V14:AA14" si="46">SUM(V12:V13)</f>
        <v>656</v>
      </c>
      <c r="W14" s="14">
        <f t="shared" si="46"/>
        <v>750</v>
      </c>
      <c r="X14" s="14">
        <f t="shared" si="46"/>
        <v>942</v>
      </c>
      <c r="Y14" s="14">
        <f t="shared" si="46"/>
        <v>1084</v>
      </c>
      <c r="Z14" s="14">
        <f t="shared" si="46"/>
        <v>1021</v>
      </c>
      <c r="AA14" s="14">
        <f t="shared" si="46"/>
        <v>1002</v>
      </c>
      <c r="AB14" s="15">
        <f t="shared" ref="AB14" si="47">SUM(AB12:AB13)</f>
        <v>1264.8900000000021</v>
      </c>
      <c r="AC14" s="14">
        <f t="shared" ref="AC14" si="48">SUM(AC12:AC13)</f>
        <v>1372.4056500000031</v>
      </c>
      <c r="AD14" s="14">
        <f t="shared" ref="AD14" si="49">SUM(AD12:AD13)</f>
        <v>1497.8442902500028</v>
      </c>
      <c r="AE14" s="14">
        <f t="shared" ref="AE14" si="50">SUM(AE12:AE13)</f>
        <v>1610.1826120187509</v>
      </c>
      <c r="AF14" s="14">
        <f t="shared" ref="AF14" si="51">SUM(AF12:AF13)</f>
        <v>1730.9463079201569</v>
      </c>
      <c r="AG14" s="14">
        <f t="shared" ref="AG14" si="52">SUM(AG12:AG13)</f>
        <v>1860.7672810141721</v>
      </c>
      <c r="AH14" s="14">
        <f t="shared" ref="AH14" si="53">SUM(AH12:AH13)</f>
        <v>2000.3248270902347</v>
      </c>
      <c r="AI14" s="14">
        <f t="shared" ref="AI14" si="54">SUM(AI12:AI13)</f>
        <v>2150.3491891219983</v>
      </c>
      <c r="AJ14" s="14">
        <f t="shared" ref="AJ14" si="55">SUM(AJ12:AJ13)</f>
        <v>2311.6253783061493</v>
      </c>
      <c r="AK14" s="14">
        <f t="shared" ref="AK14" si="56">SUM(AK12:AK13)</f>
        <v>2484.9972816791069</v>
      </c>
      <c r="AL14" s="14">
        <f t="shared" ref="AL14" si="57">SUM(AL12:AL13)</f>
        <v>2671.3720778050374</v>
      </c>
    </row>
    <row r="15" spans="1:148" x14ac:dyDescent="0.25">
      <c r="C15" s="2" t="s">
        <v>58</v>
      </c>
      <c r="D15" s="14">
        <v>-33</v>
      </c>
      <c r="E15" s="14">
        <v>-60</v>
      </c>
      <c r="F15" s="14">
        <v>-51</v>
      </c>
      <c r="G15" s="14">
        <v>-89</v>
      </c>
      <c r="H15" s="14">
        <v>-49</v>
      </c>
      <c r="I15" s="14">
        <v>-55</v>
      </c>
      <c r="J15" s="14">
        <v>-55</v>
      </c>
      <c r="K15" s="14">
        <v>-61</v>
      </c>
      <c r="L15" s="14">
        <v>-54</v>
      </c>
      <c r="M15" s="14">
        <v>-39</v>
      </c>
      <c r="N15" s="14">
        <v>-58</v>
      </c>
      <c r="O15" s="14">
        <v>-75</v>
      </c>
      <c r="P15" s="14">
        <v>-47</v>
      </c>
      <c r="Q15" s="15">
        <v>-46</v>
      </c>
      <c r="R15" s="14"/>
      <c r="S15" s="14"/>
      <c r="V15" s="14">
        <v>-127</v>
      </c>
      <c r="W15" s="14">
        <v>-159</v>
      </c>
      <c r="X15" s="14">
        <v>-182</v>
      </c>
      <c r="Y15" s="14">
        <v>-235</v>
      </c>
      <c r="Z15" s="14">
        <v>-221</v>
      </c>
      <c r="AA15" s="14">
        <v>-227</v>
      </c>
      <c r="AB15" s="15">
        <f>AB14*-0.22</f>
        <v>-278.27580000000046</v>
      </c>
      <c r="AC15" s="14">
        <f t="shared" ref="AC15:AL15" si="58">AC14*-0.22</f>
        <v>-301.92924300000067</v>
      </c>
      <c r="AD15" s="14">
        <f t="shared" si="58"/>
        <v>-329.5257438550006</v>
      </c>
      <c r="AE15" s="14">
        <f t="shared" si="58"/>
        <v>-354.2401746441252</v>
      </c>
      <c r="AF15" s="14">
        <f t="shared" si="58"/>
        <v>-380.80818774243454</v>
      </c>
      <c r="AG15" s="14">
        <f t="shared" si="58"/>
        <v>-409.36880182311785</v>
      </c>
      <c r="AH15" s="14">
        <f t="shared" si="58"/>
        <v>-440.07146195985166</v>
      </c>
      <c r="AI15" s="14">
        <f t="shared" si="58"/>
        <v>-473.07682160683964</v>
      </c>
      <c r="AJ15" s="14">
        <f t="shared" si="58"/>
        <v>-508.55758322735284</v>
      </c>
      <c r="AK15" s="14">
        <f t="shared" si="58"/>
        <v>-546.69940196940354</v>
      </c>
      <c r="AL15" s="14">
        <f t="shared" si="58"/>
        <v>-587.70185711710826</v>
      </c>
    </row>
    <row r="16" spans="1:148" x14ac:dyDescent="0.25">
      <c r="C16" s="1" t="s">
        <v>59</v>
      </c>
      <c r="D16" s="1">
        <f t="shared" ref="D16:O16" si="59">SUM(D14:D15)</f>
        <v>131</v>
      </c>
      <c r="E16" s="1">
        <f t="shared" si="59"/>
        <v>222</v>
      </c>
      <c r="F16" s="1">
        <f t="shared" si="59"/>
        <v>197</v>
      </c>
      <c r="G16" s="1">
        <f t="shared" si="59"/>
        <v>302</v>
      </c>
      <c r="H16" s="1">
        <f t="shared" si="59"/>
        <v>175</v>
      </c>
      <c r="I16" s="1">
        <f t="shared" si="59"/>
        <v>194</v>
      </c>
      <c r="J16" s="1">
        <f t="shared" si="59"/>
        <v>182</v>
      </c>
      <c r="K16" s="1">
        <f t="shared" si="59"/>
        <v>249</v>
      </c>
      <c r="L16" s="1">
        <f t="shared" si="59"/>
        <v>192</v>
      </c>
      <c r="M16" s="1">
        <f t="shared" si="59"/>
        <v>139</v>
      </c>
      <c r="N16" s="1">
        <f t="shared" si="59"/>
        <v>192</v>
      </c>
      <c r="O16" s="1">
        <f t="shared" si="59"/>
        <v>254</v>
      </c>
      <c r="P16" s="12">
        <f>SUM(P14:P15)</f>
        <v>161</v>
      </c>
      <c r="Q16" s="13">
        <f>SUM(Q14:Q15)</f>
        <v>157</v>
      </c>
      <c r="R16" s="14"/>
      <c r="S16" s="14"/>
      <c r="V16" s="12">
        <f t="shared" ref="V16:AA16" si="60">SUM(V14:V15)</f>
        <v>529</v>
      </c>
      <c r="W16" s="12">
        <f t="shared" si="60"/>
        <v>591</v>
      </c>
      <c r="X16" s="12">
        <f t="shared" si="60"/>
        <v>760</v>
      </c>
      <c r="Y16" s="12">
        <f t="shared" si="60"/>
        <v>849</v>
      </c>
      <c r="Z16" s="12">
        <f t="shared" si="60"/>
        <v>800</v>
      </c>
      <c r="AA16" s="12">
        <f t="shared" si="60"/>
        <v>775</v>
      </c>
      <c r="AB16" s="13">
        <f t="shared" ref="AB16" si="61">SUM(AB14:AB15)</f>
        <v>986.61420000000169</v>
      </c>
      <c r="AC16" s="12">
        <f t="shared" ref="AC16" si="62">SUM(AC14:AC15)</f>
        <v>1070.4764070000024</v>
      </c>
      <c r="AD16" s="12">
        <f t="shared" ref="AD16" si="63">SUM(AD14:AD15)</f>
        <v>1168.3185463950022</v>
      </c>
      <c r="AE16" s="12">
        <f t="shared" ref="AE16" si="64">SUM(AE14:AE15)</f>
        <v>1255.9424373746256</v>
      </c>
      <c r="AF16" s="12">
        <f t="shared" ref="AF16" si="65">SUM(AF14:AF15)</f>
        <v>1350.1381201777224</v>
      </c>
      <c r="AG16" s="12">
        <f t="shared" ref="AG16" si="66">SUM(AG14:AG15)</f>
        <v>1451.3984791910543</v>
      </c>
      <c r="AH16" s="12">
        <f t="shared" ref="AH16" si="67">SUM(AH14:AH15)</f>
        <v>1560.2533651303831</v>
      </c>
      <c r="AI16" s="12">
        <f t="shared" ref="AI16" si="68">SUM(AI14:AI15)</f>
        <v>1677.2723675151587</v>
      </c>
      <c r="AJ16" s="12">
        <f t="shared" ref="AJ16" si="69">SUM(AJ14:AJ15)</f>
        <v>1803.0677950787965</v>
      </c>
      <c r="AK16" s="12">
        <f t="shared" ref="AK16" si="70">SUM(AK14:AK15)</f>
        <v>1938.2978797097035</v>
      </c>
      <c r="AL16" s="12">
        <f t="shared" ref="AL16" si="71">SUM(AL14:AL15)</f>
        <v>2083.670220687929</v>
      </c>
      <c r="AM16" s="12">
        <f>AL16*(1+$AO$20)</f>
        <v>2062.8335184810499</v>
      </c>
      <c r="AN16" s="12">
        <f t="shared" ref="AN16:CY16" si="72">AM16*(1+$AO$20)</f>
        <v>2042.2051832962393</v>
      </c>
      <c r="AO16" s="12">
        <f t="shared" si="72"/>
        <v>2021.783131463277</v>
      </c>
      <c r="AP16" s="12">
        <f t="shared" si="72"/>
        <v>2001.5653001486442</v>
      </c>
      <c r="AQ16" s="12">
        <f t="shared" si="72"/>
        <v>1981.5496471471577</v>
      </c>
      <c r="AR16" s="12">
        <f t="shared" si="72"/>
        <v>1961.7341506756861</v>
      </c>
      <c r="AS16" s="12">
        <f t="shared" si="72"/>
        <v>1942.1168091689292</v>
      </c>
      <c r="AT16" s="12">
        <f t="shared" si="72"/>
        <v>1922.69564107724</v>
      </c>
      <c r="AU16" s="12">
        <f t="shared" si="72"/>
        <v>1903.4686846664677</v>
      </c>
      <c r="AV16" s="12">
        <f t="shared" si="72"/>
        <v>1884.4339978198029</v>
      </c>
      <c r="AW16" s="12">
        <f t="shared" si="72"/>
        <v>1865.5896578416048</v>
      </c>
      <c r="AX16" s="12">
        <f t="shared" si="72"/>
        <v>1846.9337612631887</v>
      </c>
      <c r="AY16" s="12">
        <f t="shared" si="72"/>
        <v>1828.4644236505567</v>
      </c>
      <c r="AZ16" s="12">
        <f t="shared" si="72"/>
        <v>1810.1797794140512</v>
      </c>
      <c r="BA16" s="12">
        <f t="shared" si="72"/>
        <v>1792.0779816199106</v>
      </c>
      <c r="BB16" s="12">
        <f t="shared" si="72"/>
        <v>1774.1572018037114</v>
      </c>
      <c r="BC16" s="12">
        <f t="shared" si="72"/>
        <v>1756.4156297856741</v>
      </c>
      <c r="BD16" s="12">
        <f t="shared" si="72"/>
        <v>1738.8514734878174</v>
      </c>
      <c r="BE16" s="12">
        <f t="shared" si="72"/>
        <v>1721.4629587529391</v>
      </c>
      <c r="BF16" s="12">
        <f t="shared" si="72"/>
        <v>1704.2483291654098</v>
      </c>
      <c r="BG16" s="12">
        <f t="shared" si="72"/>
        <v>1687.2058458737556</v>
      </c>
      <c r="BH16" s="12">
        <f t="shared" si="72"/>
        <v>1670.3337874150179</v>
      </c>
      <c r="BI16" s="12">
        <f t="shared" si="72"/>
        <v>1653.6304495408676</v>
      </c>
      <c r="BJ16" s="12">
        <f t="shared" si="72"/>
        <v>1637.0941450454588</v>
      </c>
      <c r="BK16" s="12">
        <f t="shared" si="72"/>
        <v>1620.7232035950042</v>
      </c>
      <c r="BL16" s="12">
        <f t="shared" si="72"/>
        <v>1604.5159715590542</v>
      </c>
      <c r="BM16" s="12">
        <f t="shared" si="72"/>
        <v>1588.4708118434637</v>
      </c>
      <c r="BN16" s="12">
        <f t="shared" si="72"/>
        <v>1572.586103725029</v>
      </c>
      <c r="BO16" s="12">
        <f t="shared" si="72"/>
        <v>1556.8602426877787</v>
      </c>
      <c r="BP16" s="12">
        <f t="shared" si="72"/>
        <v>1541.291640260901</v>
      </c>
      <c r="BQ16" s="12">
        <f t="shared" si="72"/>
        <v>1525.878723858292</v>
      </c>
      <c r="BR16" s="12">
        <f t="shared" si="72"/>
        <v>1510.6199366197091</v>
      </c>
      <c r="BS16" s="12">
        <f t="shared" si="72"/>
        <v>1495.5137372535119</v>
      </c>
      <c r="BT16" s="12">
        <f t="shared" si="72"/>
        <v>1480.5585998809768</v>
      </c>
      <c r="BU16" s="12">
        <f t="shared" si="72"/>
        <v>1465.7530138821669</v>
      </c>
      <c r="BV16" s="12">
        <f t="shared" si="72"/>
        <v>1451.0954837433453</v>
      </c>
      <c r="BW16" s="12">
        <f t="shared" si="72"/>
        <v>1436.5845289059118</v>
      </c>
      <c r="BX16" s="12">
        <f t="shared" si="72"/>
        <v>1422.2186836168528</v>
      </c>
      <c r="BY16" s="12">
        <f t="shared" si="72"/>
        <v>1407.9964967806843</v>
      </c>
      <c r="BZ16" s="12">
        <f t="shared" si="72"/>
        <v>1393.9165318128776</v>
      </c>
      <c r="CA16" s="12">
        <f t="shared" si="72"/>
        <v>1379.9773664947488</v>
      </c>
      <c r="CB16" s="12">
        <f t="shared" si="72"/>
        <v>1366.1775928298014</v>
      </c>
      <c r="CC16" s="12">
        <f t="shared" si="72"/>
        <v>1352.5158169015033</v>
      </c>
      <c r="CD16" s="12">
        <f t="shared" si="72"/>
        <v>1338.9906587324883</v>
      </c>
      <c r="CE16" s="12">
        <f t="shared" si="72"/>
        <v>1325.6007521451634</v>
      </c>
      <c r="CF16" s="12">
        <f t="shared" si="72"/>
        <v>1312.3447446237117</v>
      </c>
      <c r="CG16" s="12">
        <f t="shared" si="72"/>
        <v>1299.2212971774745</v>
      </c>
      <c r="CH16" s="12">
        <f t="shared" si="72"/>
        <v>1286.2290842056998</v>
      </c>
      <c r="CI16" s="12">
        <f t="shared" si="72"/>
        <v>1273.3667933636427</v>
      </c>
      <c r="CJ16" s="12">
        <f t="shared" si="72"/>
        <v>1260.6331254300062</v>
      </c>
      <c r="CK16" s="12">
        <f t="shared" si="72"/>
        <v>1248.0267941757061</v>
      </c>
      <c r="CL16" s="12">
        <f t="shared" si="72"/>
        <v>1235.546526233949</v>
      </c>
      <c r="CM16" s="12">
        <f t="shared" si="72"/>
        <v>1223.1910609716094</v>
      </c>
      <c r="CN16" s="12">
        <f t="shared" si="72"/>
        <v>1210.9591503618933</v>
      </c>
      <c r="CO16" s="12">
        <f t="shared" si="72"/>
        <v>1198.8495588582743</v>
      </c>
      <c r="CP16" s="12">
        <f t="shared" si="72"/>
        <v>1186.8610632696916</v>
      </c>
      <c r="CQ16" s="12">
        <f t="shared" si="72"/>
        <v>1174.9924526369946</v>
      </c>
      <c r="CR16" s="12">
        <f t="shared" si="72"/>
        <v>1163.2425281106246</v>
      </c>
      <c r="CS16" s="12">
        <f t="shared" si="72"/>
        <v>1151.6101028295184</v>
      </c>
      <c r="CT16" s="12">
        <f t="shared" si="72"/>
        <v>1140.0940018012232</v>
      </c>
      <c r="CU16" s="12">
        <f t="shared" si="72"/>
        <v>1128.6930617832109</v>
      </c>
      <c r="CV16" s="12">
        <f t="shared" si="72"/>
        <v>1117.4061311653788</v>
      </c>
      <c r="CW16" s="12">
        <f t="shared" si="72"/>
        <v>1106.2320698537251</v>
      </c>
      <c r="CX16" s="12">
        <f t="shared" si="72"/>
        <v>1095.1697491551879</v>
      </c>
      <c r="CY16" s="12">
        <f t="shared" si="72"/>
        <v>1084.2180516636361</v>
      </c>
      <c r="CZ16" s="12">
        <f t="shared" ref="CZ16:ER16" si="73">CY16*(1+$AO$20)</f>
        <v>1073.3758711469998</v>
      </c>
      <c r="DA16" s="12">
        <f t="shared" si="73"/>
        <v>1062.6421124355297</v>
      </c>
      <c r="DB16" s="12">
        <f t="shared" si="73"/>
        <v>1052.0156913111744</v>
      </c>
      <c r="DC16" s="12">
        <f t="shared" si="73"/>
        <v>1041.4955343980625</v>
      </c>
      <c r="DD16" s="12">
        <f t="shared" si="73"/>
        <v>1031.0805790540819</v>
      </c>
      <c r="DE16" s="12">
        <f t="shared" si="73"/>
        <v>1020.7697732635411</v>
      </c>
      <c r="DF16" s="12">
        <f t="shared" si="73"/>
        <v>1010.5620755309056</v>
      </c>
      <c r="DG16" s="12">
        <f t="shared" si="73"/>
        <v>1000.4564547755966</v>
      </c>
      <c r="DH16" s="12">
        <f t="shared" si="73"/>
        <v>990.45189022784064</v>
      </c>
      <c r="DI16" s="12">
        <f t="shared" si="73"/>
        <v>980.54737132556227</v>
      </c>
      <c r="DJ16" s="12">
        <f t="shared" si="73"/>
        <v>970.74189761230662</v>
      </c>
      <c r="DK16" s="12">
        <f t="shared" si="73"/>
        <v>961.03447863618351</v>
      </c>
      <c r="DL16" s="12">
        <f t="shared" si="73"/>
        <v>951.42413384982171</v>
      </c>
      <c r="DM16" s="12">
        <f t="shared" si="73"/>
        <v>941.90989251132351</v>
      </c>
      <c r="DN16" s="12">
        <f t="shared" si="73"/>
        <v>932.49079358621032</v>
      </c>
      <c r="DO16" s="12">
        <f t="shared" si="73"/>
        <v>923.16588565034817</v>
      </c>
      <c r="DP16" s="12">
        <f t="shared" si="73"/>
        <v>913.93422679384469</v>
      </c>
      <c r="DQ16" s="12">
        <f t="shared" si="73"/>
        <v>904.79488452590624</v>
      </c>
      <c r="DR16" s="12">
        <f t="shared" si="73"/>
        <v>895.7469356806472</v>
      </c>
      <c r="DS16" s="12">
        <f t="shared" si="73"/>
        <v>886.78946632384077</v>
      </c>
      <c r="DT16" s="12">
        <f t="shared" si="73"/>
        <v>877.92157166060235</v>
      </c>
      <c r="DU16" s="12">
        <f t="shared" si="73"/>
        <v>869.14235594399634</v>
      </c>
      <c r="DV16" s="12">
        <f t="shared" si="73"/>
        <v>860.45093238455638</v>
      </c>
      <c r="DW16" s="12">
        <f t="shared" si="73"/>
        <v>851.84642306071078</v>
      </c>
      <c r="DX16" s="12">
        <f t="shared" si="73"/>
        <v>843.32795883010363</v>
      </c>
      <c r="DY16" s="12">
        <f t="shared" si="73"/>
        <v>834.89467924180258</v>
      </c>
      <c r="DZ16" s="12">
        <f t="shared" si="73"/>
        <v>826.54573244938456</v>
      </c>
      <c r="EA16" s="12">
        <f t="shared" si="73"/>
        <v>818.28027512489075</v>
      </c>
      <c r="EB16" s="12">
        <f t="shared" si="73"/>
        <v>810.09747237364184</v>
      </c>
      <c r="EC16" s="12">
        <f t="shared" si="73"/>
        <v>801.99649764990545</v>
      </c>
      <c r="ED16" s="12">
        <f t="shared" si="73"/>
        <v>793.97653267340638</v>
      </c>
      <c r="EE16" s="12">
        <f t="shared" si="73"/>
        <v>786.03676734667226</v>
      </c>
      <c r="EF16" s="12">
        <f t="shared" si="73"/>
        <v>778.17639967320554</v>
      </c>
      <c r="EG16" s="12">
        <f t="shared" si="73"/>
        <v>770.39463567647351</v>
      </c>
      <c r="EH16" s="12">
        <f t="shared" si="73"/>
        <v>762.69068931970878</v>
      </c>
      <c r="EI16" s="12">
        <f t="shared" si="73"/>
        <v>755.06378242651169</v>
      </c>
      <c r="EJ16" s="12">
        <f t="shared" si="73"/>
        <v>747.5131446022466</v>
      </c>
      <c r="EK16" s="12">
        <f t="shared" si="73"/>
        <v>740.03801315622411</v>
      </c>
      <c r="EL16" s="12">
        <f t="shared" si="73"/>
        <v>732.63763302466191</v>
      </c>
      <c r="EM16" s="12">
        <f t="shared" si="73"/>
        <v>725.31125669441531</v>
      </c>
      <c r="EN16" s="12">
        <f t="shared" si="73"/>
        <v>718.05814412747111</v>
      </c>
      <c r="EO16" s="12">
        <f t="shared" si="73"/>
        <v>710.87756268619637</v>
      </c>
      <c r="EP16" s="12">
        <f t="shared" si="73"/>
        <v>703.76878705933439</v>
      </c>
      <c r="EQ16" s="12">
        <f t="shared" si="73"/>
        <v>696.73109918874104</v>
      </c>
      <c r="ER16" s="12">
        <f t="shared" si="73"/>
        <v>689.76378819685362</v>
      </c>
    </row>
    <row r="17" spans="3:41" x14ac:dyDescent="0.25">
      <c r="C17" s="2" t="s">
        <v>60</v>
      </c>
      <c r="D17" s="9">
        <v>112.38409299999999</v>
      </c>
      <c r="E17" s="9">
        <v>112.38409299999999</v>
      </c>
      <c r="F17" s="9">
        <v>112.38409299999999</v>
      </c>
      <c r="G17" s="9">
        <v>112.38409299999999</v>
      </c>
      <c r="H17" s="9">
        <v>112.38409299999999</v>
      </c>
      <c r="I17" s="9">
        <v>112.38409299999999</v>
      </c>
      <c r="J17" s="9">
        <v>112.38409299999999</v>
      </c>
      <c r="K17" s="9">
        <v>112.38409299999999</v>
      </c>
      <c r="L17" s="9">
        <v>112.38409299999999</v>
      </c>
      <c r="M17" s="9">
        <v>112.38409299999999</v>
      </c>
      <c r="N17" s="9">
        <v>112.38409299999999</v>
      </c>
      <c r="O17" s="9">
        <v>112.38409299999999</v>
      </c>
      <c r="P17" s="9">
        <v>112.38409299999999</v>
      </c>
      <c r="Q17" s="8">
        <v>112.38409299999999</v>
      </c>
      <c r="V17" s="9">
        <v>112.38409299999999</v>
      </c>
      <c r="W17" s="9">
        <v>112.38409299999999</v>
      </c>
      <c r="X17" s="9">
        <v>112.38409299999999</v>
      </c>
      <c r="Y17" s="9">
        <v>112.38409299999999</v>
      </c>
      <c r="Z17" s="9">
        <v>112.38409299999999</v>
      </c>
      <c r="AA17" s="9">
        <v>112.38409299999999</v>
      </c>
      <c r="AB17" s="8">
        <v>112.38409299999999</v>
      </c>
      <c r="AC17" s="9">
        <v>112.38409299999999</v>
      </c>
      <c r="AD17" s="9">
        <v>112.38409299999999</v>
      </c>
      <c r="AE17" s="9">
        <v>112.38409299999999</v>
      </c>
      <c r="AF17" s="9">
        <v>112.38409299999999</v>
      </c>
      <c r="AG17" s="9">
        <v>112.38409299999999</v>
      </c>
      <c r="AH17" s="9">
        <v>112.38409299999999</v>
      </c>
      <c r="AI17" s="9">
        <v>112.38409299999999</v>
      </c>
      <c r="AJ17" s="9">
        <v>112.38409299999999</v>
      </c>
      <c r="AK17" s="9">
        <v>112.38409299999999</v>
      </c>
      <c r="AL17" s="9">
        <v>112.38409299999999</v>
      </c>
    </row>
    <row r="18" spans="3:41" x14ac:dyDescent="0.25">
      <c r="C18" s="2" t="s">
        <v>61</v>
      </c>
      <c r="D18" s="18">
        <f t="shared" ref="D18:O18" si="74">D16/D17</f>
        <v>1.1656453907582811</v>
      </c>
      <c r="E18" s="18">
        <f t="shared" si="74"/>
        <v>1.9753685247964765</v>
      </c>
      <c r="F18" s="18">
        <f t="shared" si="74"/>
        <v>1.7529171143464228</v>
      </c>
      <c r="G18" s="18">
        <f t="shared" si="74"/>
        <v>2.6872130382366479</v>
      </c>
      <c r="H18" s="18">
        <f t="shared" si="74"/>
        <v>1.5571598731503755</v>
      </c>
      <c r="I18" s="18">
        <f t="shared" si="74"/>
        <v>1.7262229450924162</v>
      </c>
      <c r="J18" s="18">
        <f t="shared" si="74"/>
        <v>1.6194462680763906</v>
      </c>
      <c r="K18" s="18">
        <f t="shared" si="74"/>
        <v>2.2156160480825342</v>
      </c>
      <c r="L18" s="18">
        <f t="shared" si="74"/>
        <v>1.708426832256412</v>
      </c>
      <c r="M18" s="18">
        <f t="shared" si="74"/>
        <v>1.2368298421022983</v>
      </c>
      <c r="N18" s="18">
        <f t="shared" si="74"/>
        <v>1.708426832256412</v>
      </c>
      <c r="O18" s="18">
        <f t="shared" si="74"/>
        <v>2.2601063301725453</v>
      </c>
      <c r="P18" s="18">
        <f>P16/P17</f>
        <v>1.4325870832983456</v>
      </c>
      <c r="Q18" s="21">
        <f>Q16/Q17</f>
        <v>1.3969948576263369</v>
      </c>
      <c r="V18" s="18">
        <f t="shared" ref="V18:AA18" si="75">V16/V17</f>
        <v>4.707071845123135</v>
      </c>
      <c r="W18" s="18">
        <f t="shared" si="75"/>
        <v>5.2587513430392683</v>
      </c>
      <c r="X18" s="18">
        <f t="shared" si="75"/>
        <v>6.7625228776816311</v>
      </c>
      <c r="Y18" s="18">
        <f t="shared" si="75"/>
        <v>7.5544498988838225</v>
      </c>
      <c r="Z18" s="18">
        <f t="shared" si="75"/>
        <v>7.1184451344017168</v>
      </c>
      <c r="AA18" s="18">
        <f t="shared" si="75"/>
        <v>6.8959937239516629</v>
      </c>
      <c r="AB18" s="21">
        <f t="shared" ref="AB18" si="76">AB16/AB17</f>
        <v>8.7789488144020673</v>
      </c>
      <c r="AC18" s="18">
        <f t="shared" ref="AC18" si="77">AC16/AC17</f>
        <v>9.5251594636262489</v>
      </c>
      <c r="AD18" s="18">
        <f t="shared" ref="AD18" si="78">AD16/AD17</f>
        <v>10.395764340020987</v>
      </c>
      <c r="AE18" s="18">
        <f t="shared" ref="AE18" si="79">AE16/AE17</f>
        <v>11.175446665522546</v>
      </c>
      <c r="AF18" s="18">
        <f t="shared" ref="AF18" si="80">AF16/AF17</f>
        <v>12.013605165436736</v>
      </c>
      <c r="AG18" s="18">
        <f t="shared" ref="AG18" si="81">AG16/AG17</f>
        <v>12.914625552844516</v>
      </c>
      <c r="AH18" s="18">
        <f t="shared" ref="AH18" si="82">AH16/AH17</f>
        <v>13.883222469307851</v>
      </c>
      <c r="AI18" s="18">
        <f t="shared" ref="AI18" si="83">AI16/AI17</f>
        <v>14.924464154505912</v>
      </c>
      <c r="AJ18" s="18">
        <f t="shared" ref="AJ18" si="84">AJ16/AJ17</f>
        <v>16.043798966093863</v>
      </c>
      <c r="AK18" s="18">
        <f t="shared" ref="AK18" si="85">AK16/AK17</f>
        <v>17.247083888550879</v>
      </c>
      <c r="AL18" s="18">
        <f t="shared" ref="AL18" si="86">AL16/AL17</f>
        <v>18.540615180192177</v>
      </c>
    </row>
    <row r="19" spans="3:41" x14ac:dyDescent="0.25">
      <c r="AN19" s="2" t="s">
        <v>110</v>
      </c>
      <c r="AO19" s="10">
        <v>0.08</v>
      </c>
    </row>
    <row r="20" spans="3:41" x14ac:dyDescent="0.25">
      <c r="C20" s="1" t="s">
        <v>29</v>
      </c>
      <c r="D20" s="19"/>
      <c r="E20" s="19"/>
      <c r="F20" s="19"/>
      <c r="G20" s="19"/>
      <c r="H20" s="19">
        <f t="shared" ref="H20:O20" si="87">(H4-D4)/D4</f>
        <v>0.25861569649580074</v>
      </c>
      <c r="I20" s="19">
        <f t="shared" si="87"/>
        <v>0.16864295125164691</v>
      </c>
      <c r="J20" s="19">
        <f t="shared" si="87"/>
        <v>-4.1945063103192279E-2</v>
      </c>
      <c r="K20" s="19">
        <f t="shared" si="87"/>
        <v>-4.2871690427698575E-2</v>
      </c>
      <c r="L20" s="19">
        <f t="shared" si="87"/>
        <v>-0.12494247583985274</v>
      </c>
      <c r="M20" s="19">
        <f t="shared" si="87"/>
        <v>-5.5242390078917701E-2</v>
      </c>
      <c r="N20" s="19">
        <f t="shared" si="87"/>
        <v>3.0995738086013174E-2</v>
      </c>
      <c r="O20" s="19">
        <f t="shared" si="87"/>
        <v>0.12926907117778488</v>
      </c>
      <c r="P20" s="19">
        <f>(P4-L4)/L4</f>
        <v>0.12450696818301341</v>
      </c>
      <c r="Q20" s="22">
        <f>(Q4-M4)/M4</f>
        <v>9.0572792362768495E-2</v>
      </c>
      <c r="V20" s="19"/>
      <c r="W20" s="19">
        <f t="shared" ref="W20:Z20" si="88">(W4-V4)/V4</f>
        <v>7.769744918837812E-2</v>
      </c>
      <c r="X20" s="19">
        <f t="shared" si="88"/>
        <v>-0.2787636382046933</v>
      </c>
      <c r="Y20" s="19">
        <f t="shared" si="88"/>
        <v>0.13709592502895651</v>
      </c>
      <c r="Z20" s="19">
        <f t="shared" si="88"/>
        <v>7.1210297249745341E-2</v>
      </c>
      <c r="AA20" s="19">
        <f>(AA4-Z4)/Z4</f>
        <v>-3.4866297833102814E-3</v>
      </c>
      <c r="AB20" s="22">
        <f t="shared" ref="AB20:AL20" si="89">(AB4-AA4)/AA4</f>
        <v>0.10000000000000009</v>
      </c>
      <c r="AC20" s="19">
        <f t="shared" si="89"/>
        <v>8.4999999999999909E-2</v>
      </c>
      <c r="AD20" s="19">
        <f t="shared" si="89"/>
        <v>8.5000000000000006E-2</v>
      </c>
      <c r="AE20" s="19">
        <f t="shared" si="89"/>
        <v>7.49999999999999E-2</v>
      </c>
      <c r="AF20" s="19">
        <f t="shared" si="89"/>
        <v>7.4999999999999942E-2</v>
      </c>
      <c r="AG20" s="19">
        <f t="shared" si="89"/>
        <v>7.4999999999999942E-2</v>
      </c>
      <c r="AH20" s="19">
        <f t="shared" si="89"/>
        <v>7.4999999999999997E-2</v>
      </c>
      <c r="AI20" s="19">
        <f t="shared" si="89"/>
        <v>7.4999999999999928E-2</v>
      </c>
      <c r="AJ20" s="19">
        <f t="shared" si="89"/>
        <v>7.4999999999999872E-2</v>
      </c>
      <c r="AK20" s="19">
        <f t="shared" si="89"/>
        <v>7.4999999999999942E-2</v>
      </c>
      <c r="AL20" s="19">
        <f t="shared" si="89"/>
        <v>7.4999999999999956E-2</v>
      </c>
      <c r="AN20" s="2" t="s">
        <v>111</v>
      </c>
      <c r="AO20" s="30">
        <v>-0.01</v>
      </c>
    </row>
    <row r="21" spans="3:41" x14ac:dyDescent="0.25">
      <c r="C21" s="2" t="s">
        <v>62</v>
      </c>
      <c r="D21" s="10">
        <f t="shared" ref="D21:P21" si="90">D6/D4</f>
        <v>0.30292499275991891</v>
      </c>
      <c r="E21" s="10">
        <f t="shared" si="90"/>
        <v>0.29143610013175231</v>
      </c>
      <c r="F21" s="10">
        <f t="shared" si="90"/>
        <v>0.25760950259836674</v>
      </c>
      <c r="G21" s="10">
        <f t="shared" si="90"/>
        <v>0.26659877800407333</v>
      </c>
      <c r="H21" s="10">
        <f t="shared" si="90"/>
        <v>0.28854118729866546</v>
      </c>
      <c r="I21" s="10">
        <f t="shared" si="90"/>
        <v>0.29943630214205186</v>
      </c>
      <c r="J21" s="10">
        <f t="shared" si="90"/>
        <v>0.29471780963450861</v>
      </c>
      <c r="K21" s="10">
        <f t="shared" si="90"/>
        <v>0.29832960953292903</v>
      </c>
      <c r="L21" s="10">
        <f t="shared" si="90"/>
        <v>0.33605048645805941</v>
      </c>
      <c r="M21" s="10">
        <f t="shared" si="90"/>
        <v>0.31527446300715989</v>
      </c>
      <c r="N21" s="10">
        <f t="shared" si="90"/>
        <v>0.29525241137417013</v>
      </c>
      <c r="O21" s="10">
        <f t="shared" si="90"/>
        <v>0.26785377802901827</v>
      </c>
      <c r="P21" s="10">
        <f t="shared" si="90"/>
        <v>0.31357418449666785</v>
      </c>
      <c r="Q21" s="23">
        <f t="shared" ref="Q21" si="91">Q6/Q4</f>
        <v>0.30375314585840901</v>
      </c>
      <c r="V21" s="10">
        <f t="shared" ref="V21:AA21" si="92">V6/V4</f>
        <v>0.21164916109671258</v>
      </c>
      <c r="W21" s="10">
        <f t="shared" si="92"/>
        <v>0.20851580892590435</v>
      </c>
      <c r="X21" s="10">
        <f t="shared" si="92"/>
        <v>0.29644449124284861</v>
      </c>
      <c r="Y21" s="10">
        <f t="shared" si="92"/>
        <v>0.27786523443528721</v>
      </c>
      <c r="Z21" s="10">
        <f t="shared" si="92"/>
        <v>0.29532618718303366</v>
      </c>
      <c r="AA21" s="10">
        <f t="shared" si="92"/>
        <v>0.30063904230402222</v>
      </c>
      <c r="AB21" s="23">
        <f t="shared" ref="AB21:AL21" si="93">AB6/AB4</f>
        <v>0.30000000000000004</v>
      </c>
      <c r="AC21" s="10">
        <f t="shared" si="93"/>
        <v>0.30000000000000004</v>
      </c>
      <c r="AD21" s="10">
        <f t="shared" si="93"/>
        <v>0.30000000000000004</v>
      </c>
      <c r="AE21" s="10">
        <f t="shared" si="93"/>
        <v>0.30000000000000004</v>
      </c>
      <c r="AF21" s="10">
        <f t="shared" si="93"/>
        <v>0.30000000000000004</v>
      </c>
      <c r="AG21" s="10">
        <f t="shared" si="93"/>
        <v>0.3000000000000001</v>
      </c>
      <c r="AH21" s="10">
        <f t="shared" si="93"/>
        <v>0.3000000000000001</v>
      </c>
      <c r="AI21" s="10">
        <f t="shared" si="93"/>
        <v>0.30000000000000004</v>
      </c>
      <c r="AJ21" s="10">
        <f t="shared" si="93"/>
        <v>0.3000000000000001</v>
      </c>
      <c r="AK21" s="10">
        <f t="shared" si="93"/>
        <v>0.30000000000000004</v>
      </c>
      <c r="AL21" s="10">
        <f t="shared" si="93"/>
        <v>0.30000000000000004</v>
      </c>
      <c r="AN21" s="29" t="s">
        <v>112</v>
      </c>
      <c r="AO21" s="31">
        <f>NPV(AO19,AB16:ER16)</f>
        <v>19854.886103397741</v>
      </c>
    </row>
    <row r="22" spans="3:41" x14ac:dyDescent="0.25">
      <c r="C22" s="2" t="s">
        <v>31</v>
      </c>
      <c r="D22" s="10">
        <f t="shared" ref="D22:P22" si="94">D12/D4</f>
        <v>2.6498696785403997E-2</v>
      </c>
      <c r="E22" s="10">
        <f t="shared" si="94"/>
        <v>3.7022397891963106E-2</v>
      </c>
      <c r="F22" s="10">
        <f t="shared" si="94"/>
        <v>3.5139816877010642E-2</v>
      </c>
      <c r="G22" s="10">
        <f t="shared" si="94"/>
        <v>4.5723014256619142E-2</v>
      </c>
      <c r="H22" s="10">
        <f t="shared" si="94"/>
        <v>2.8762080073630927E-2</v>
      </c>
      <c r="I22" s="10">
        <f t="shared" si="94"/>
        <v>3.2807215332581734E-2</v>
      </c>
      <c r="J22" s="10">
        <f t="shared" si="94"/>
        <v>3.8486374790133025E-2</v>
      </c>
      <c r="K22" s="10">
        <f t="shared" si="94"/>
        <v>4.298329609532929E-2</v>
      </c>
      <c r="L22" s="10">
        <f t="shared" si="94"/>
        <v>3.3657638706284514E-2</v>
      </c>
      <c r="M22" s="10">
        <f t="shared" si="94"/>
        <v>2.899761336515513E-2</v>
      </c>
      <c r="N22" s="10">
        <f t="shared" si="94"/>
        <v>3.8456720531128648E-2</v>
      </c>
      <c r="O22" s="10">
        <f t="shared" si="94"/>
        <v>3.4482758620689655E-2</v>
      </c>
      <c r="P22" s="10">
        <f t="shared" si="94"/>
        <v>3.2737051327019762E-2</v>
      </c>
      <c r="Q22" s="23">
        <f t="shared" ref="Q22" si="95">Q12/Q4</f>
        <v>2.9434292592187328E-2</v>
      </c>
      <c r="V22" s="10">
        <f t="shared" ref="V22:AA22" si="96">V12/V4</f>
        <v>2.0351930159596236E-2</v>
      </c>
      <c r="W22" s="10">
        <f t="shared" si="96"/>
        <v>2.1643925777789029E-2</v>
      </c>
      <c r="X22" s="10">
        <f t="shared" si="96"/>
        <v>3.6713348074830648E-2</v>
      </c>
      <c r="Y22" s="10">
        <f t="shared" si="96"/>
        <v>3.6916998487514278E-2</v>
      </c>
      <c r="Z22" s="10">
        <f t="shared" si="96"/>
        <v>3.5846011987090823E-2</v>
      </c>
      <c r="AA22" s="10">
        <f t="shared" si="96"/>
        <v>3.3889483272127922E-2</v>
      </c>
      <c r="AB22" s="23">
        <f t="shared" ref="AB22:AL22" si="97">AB12/AB4</f>
        <v>3.3250440968105768E-2</v>
      </c>
      <c r="AC22" s="10">
        <f t="shared" si="97"/>
        <v>3.3250440968105789E-2</v>
      </c>
      <c r="AD22" s="10">
        <f t="shared" si="97"/>
        <v>3.3446589657873838E-2</v>
      </c>
      <c r="AE22" s="10">
        <f t="shared" si="97"/>
        <v>3.3446589657873796E-2</v>
      </c>
      <c r="AF22" s="10">
        <f t="shared" si="97"/>
        <v>3.3446589657873796E-2</v>
      </c>
      <c r="AG22" s="10">
        <f t="shared" si="97"/>
        <v>3.3446589657873858E-2</v>
      </c>
      <c r="AH22" s="10">
        <f t="shared" si="97"/>
        <v>3.3446589657873851E-2</v>
      </c>
      <c r="AI22" s="10">
        <f t="shared" si="97"/>
        <v>3.3446589657873796E-2</v>
      </c>
      <c r="AJ22" s="10">
        <f t="shared" si="97"/>
        <v>3.3446589657873817E-2</v>
      </c>
      <c r="AK22" s="10">
        <f t="shared" si="97"/>
        <v>3.3446589657873768E-2</v>
      </c>
      <c r="AL22" s="10">
        <f t="shared" si="97"/>
        <v>3.344658965787374E-2</v>
      </c>
      <c r="AN22" s="2" t="s">
        <v>2</v>
      </c>
      <c r="AO22" s="9">
        <v>112.38409299999999</v>
      </c>
    </row>
    <row r="23" spans="3:41" x14ac:dyDescent="0.25">
      <c r="C23" s="2" t="s">
        <v>128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55"/>
      <c r="R23" s="27"/>
      <c r="S23" s="27"/>
      <c r="T23" s="27"/>
      <c r="U23" s="27"/>
      <c r="V23" s="27">
        <f>V16/3075</f>
        <v>0.17203252032520325</v>
      </c>
      <c r="W23" s="27">
        <f>W16/3384</f>
        <v>0.17464539007092197</v>
      </c>
      <c r="X23" s="27">
        <f>X16/3530</f>
        <v>0.21529745042492918</v>
      </c>
      <c r="Y23" s="27">
        <f>Y16/H40</f>
        <v>0.201423487544484</v>
      </c>
      <c r="Z23" s="27">
        <f>Z16/K40</f>
        <v>0.19056693663649357</v>
      </c>
      <c r="AA23" s="27">
        <f>AA16/O40</f>
        <v>0.17518083182640146</v>
      </c>
      <c r="AB23" s="23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N23" s="2" t="s">
        <v>113</v>
      </c>
      <c r="AO23" s="9">
        <f>AO21/AO22</f>
        <v>176.66989672103989</v>
      </c>
    </row>
    <row r="24" spans="3:41" x14ac:dyDescent="0.25">
      <c r="AN24" s="1" t="s">
        <v>114</v>
      </c>
      <c r="AO24" s="32">
        <f>(AO23-B4)/B4</f>
        <v>0.26554367278681873</v>
      </c>
    </row>
    <row r="25" spans="3:41" x14ac:dyDescent="0.25">
      <c r="C25" s="3" t="s">
        <v>34</v>
      </c>
    </row>
    <row r="26" spans="3:41" x14ac:dyDescent="0.25">
      <c r="C26" s="2" t="s">
        <v>63</v>
      </c>
      <c r="D26" s="14">
        <v>466</v>
      </c>
      <c r="E26" s="14"/>
      <c r="F26" s="14"/>
      <c r="G26" s="14"/>
      <c r="H26" s="14">
        <v>553</v>
      </c>
      <c r="I26" s="14">
        <v>549</v>
      </c>
      <c r="J26" s="14">
        <v>511</v>
      </c>
      <c r="K26" s="14">
        <v>514</v>
      </c>
      <c r="L26" s="14">
        <v>518</v>
      </c>
      <c r="M26" s="14">
        <v>503</v>
      </c>
      <c r="N26" s="14">
        <v>501</v>
      </c>
      <c r="O26" s="14">
        <v>498</v>
      </c>
      <c r="P26" s="14">
        <v>474</v>
      </c>
      <c r="Q26" s="15">
        <v>476</v>
      </c>
      <c r="R26" s="1"/>
      <c r="S26" s="1"/>
      <c r="T26" s="1"/>
      <c r="U26" s="1"/>
      <c r="V26" s="1"/>
      <c r="W26" s="1"/>
      <c r="X26" s="1"/>
    </row>
    <row r="27" spans="3:41" x14ac:dyDescent="0.25">
      <c r="C27" s="2" t="s">
        <v>64</v>
      </c>
      <c r="D27" s="14">
        <v>1201</v>
      </c>
      <c r="E27" s="14"/>
      <c r="F27" s="14"/>
      <c r="G27" s="14"/>
      <c r="H27" s="14">
        <v>1296</v>
      </c>
      <c r="I27" s="14">
        <v>1269</v>
      </c>
      <c r="J27" s="14">
        <v>1313</v>
      </c>
      <c r="K27" s="14">
        <v>1314</v>
      </c>
      <c r="L27" s="14">
        <v>1368</v>
      </c>
      <c r="M27" s="14">
        <v>1407</v>
      </c>
      <c r="N27" s="14">
        <v>1419</v>
      </c>
      <c r="O27" s="14">
        <v>1448</v>
      </c>
      <c r="P27" s="14">
        <v>1436</v>
      </c>
      <c r="Q27" s="15">
        <v>1518</v>
      </c>
    </row>
    <row r="28" spans="3:41" x14ac:dyDescent="0.25">
      <c r="C28" s="2" t="s">
        <v>65</v>
      </c>
      <c r="D28" s="14">
        <v>278</v>
      </c>
      <c r="E28" s="14"/>
      <c r="F28" s="14"/>
      <c r="G28" s="14"/>
      <c r="H28" s="14">
        <v>211</v>
      </c>
      <c r="I28" s="14">
        <v>201</v>
      </c>
      <c r="J28" s="14">
        <v>186</v>
      </c>
      <c r="K28" s="14">
        <v>209</v>
      </c>
      <c r="L28" s="14">
        <v>223</v>
      </c>
      <c r="M28" s="14">
        <v>239</v>
      </c>
      <c r="N28" s="14">
        <v>198</v>
      </c>
      <c r="O28" s="14">
        <v>170</v>
      </c>
      <c r="P28" s="14">
        <v>182</v>
      </c>
      <c r="Q28" s="15">
        <v>199</v>
      </c>
    </row>
    <row r="29" spans="3:41" x14ac:dyDescent="0.25">
      <c r="C29" s="2" t="s">
        <v>66</v>
      </c>
      <c r="D29" s="14">
        <v>3858</v>
      </c>
      <c r="E29" s="14"/>
      <c r="F29" s="14"/>
      <c r="G29" s="14"/>
      <c r="H29" s="14">
        <v>4367</v>
      </c>
      <c r="I29" s="14">
        <v>4417</v>
      </c>
      <c r="J29" s="14">
        <v>4307</v>
      </c>
      <c r="K29" s="14">
        <v>4336</v>
      </c>
      <c r="L29" s="14">
        <v>4429</v>
      </c>
      <c r="M29" s="14">
        <v>4360</v>
      </c>
      <c r="N29" s="14">
        <v>4469</v>
      </c>
      <c r="O29" s="14">
        <v>4465</v>
      </c>
      <c r="P29" s="14">
        <v>4403</v>
      </c>
      <c r="Q29" s="15">
        <v>4499</v>
      </c>
    </row>
    <row r="30" spans="3:41" x14ac:dyDescent="0.25">
      <c r="C30" s="2" t="s">
        <v>67</v>
      </c>
      <c r="D30" s="14">
        <v>332</v>
      </c>
      <c r="E30" s="14"/>
      <c r="F30" s="14"/>
      <c r="G30" s="14"/>
      <c r="H30" s="14">
        <v>501</v>
      </c>
      <c r="I30" s="14">
        <v>538</v>
      </c>
      <c r="J30" s="14">
        <v>541</v>
      </c>
      <c r="K30" s="14">
        <v>572</v>
      </c>
      <c r="L30" s="14">
        <v>590</v>
      </c>
      <c r="M30" s="14">
        <v>617</v>
      </c>
      <c r="N30" s="14">
        <v>661</v>
      </c>
      <c r="O30" s="14">
        <v>712</v>
      </c>
      <c r="P30" s="14">
        <v>747</v>
      </c>
      <c r="Q30" s="15">
        <v>791</v>
      </c>
    </row>
    <row r="31" spans="3:41" x14ac:dyDescent="0.25">
      <c r="C31" s="2" t="s">
        <v>68</v>
      </c>
      <c r="D31" s="14">
        <v>72</v>
      </c>
      <c r="E31" s="14"/>
      <c r="F31" s="14"/>
      <c r="G31" s="14"/>
      <c r="H31" s="14">
        <v>168</v>
      </c>
      <c r="I31" s="14">
        <v>208</v>
      </c>
      <c r="J31" s="14">
        <v>206</v>
      </c>
      <c r="K31" s="14">
        <v>182</v>
      </c>
      <c r="L31" s="14">
        <v>195</v>
      </c>
      <c r="M31" s="14">
        <v>180</v>
      </c>
      <c r="N31" s="14">
        <v>183</v>
      </c>
      <c r="O31" s="14">
        <v>168</v>
      </c>
      <c r="P31" s="14">
        <v>195</v>
      </c>
      <c r="Q31" s="15">
        <v>191</v>
      </c>
    </row>
    <row r="32" spans="3:41" x14ac:dyDescent="0.25">
      <c r="C32" s="2" t="s">
        <v>69</v>
      </c>
      <c r="D32" s="14">
        <v>1491</v>
      </c>
      <c r="E32" s="14"/>
      <c r="F32" s="14"/>
      <c r="G32" s="14"/>
      <c r="H32" s="14">
        <v>1266</v>
      </c>
      <c r="I32" s="14">
        <v>1232</v>
      </c>
      <c r="J32" s="14">
        <v>834</v>
      </c>
      <c r="K32" s="14">
        <v>785</v>
      </c>
      <c r="L32" s="14">
        <v>894</v>
      </c>
      <c r="M32" s="14">
        <v>998</v>
      </c>
      <c r="N32" s="14">
        <v>946</v>
      </c>
      <c r="O32" s="14">
        <v>974</v>
      </c>
      <c r="P32" s="14">
        <v>1104</v>
      </c>
      <c r="Q32" s="15">
        <v>1266</v>
      </c>
    </row>
    <row r="33" spans="3:17" x14ac:dyDescent="0.25">
      <c r="C33" s="2" t="s">
        <v>70</v>
      </c>
      <c r="D33" s="14">
        <v>3120</v>
      </c>
      <c r="E33" s="14"/>
      <c r="F33" s="14"/>
      <c r="G33" s="14"/>
      <c r="H33" s="14">
        <v>4676</v>
      </c>
      <c r="I33" s="14">
        <v>6151</v>
      </c>
      <c r="J33" s="14">
        <v>3996</v>
      </c>
      <c r="K33" s="14">
        <v>6946</v>
      </c>
      <c r="L33" s="14">
        <v>4522</v>
      </c>
      <c r="M33" s="14">
        <v>5968</v>
      </c>
      <c r="N33" s="14">
        <v>4308</v>
      </c>
      <c r="O33" s="14">
        <v>8074</v>
      </c>
      <c r="P33" s="14">
        <v>4994</v>
      </c>
      <c r="Q33" s="15">
        <v>7566</v>
      </c>
    </row>
    <row r="34" spans="3:17" x14ac:dyDescent="0.25">
      <c r="C34" s="2" t="s">
        <v>71</v>
      </c>
      <c r="D34" s="14">
        <v>2040</v>
      </c>
      <c r="E34" s="14"/>
      <c r="F34" s="14"/>
      <c r="G34" s="14"/>
      <c r="H34" s="14">
        <v>2746</v>
      </c>
      <c r="I34" s="14">
        <v>2571</v>
      </c>
      <c r="J34" s="14">
        <v>2523</v>
      </c>
      <c r="K34" s="14">
        <v>2191</v>
      </c>
      <c r="L34" s="14">
        <v>2546</v>
      </c>
      <c r="M34" s="14">
        <v>2579</v>
      </c>
      <c r="N34" s="14">
        <v>2444</v>
      </c>
      <c r="O34" s="14">
        <v>2596</v>
      </c>
      <c r="P34" s="14">
        <v>2667</v>
      </c>
      <c r="Q34" s="15">
        <v>3126</v>
      </c>
    </row>
    <row r="35" spans="3:17" x14ac:dyDescent="0.25">
      <c r="C35" s="2" t="s">
        <v>72</v>
      </c>
      <c r="D35" s="14">
        <v>629</v>
      </c>
      <c r="E35" s="14"/>
      <c r="F35" s="14"/>
      <c r="G35" s="14"/>
      <c r="H35" s="14">
        <v>1053</v>
      </c>
      <c r="I35" s="14">
        <v>1161</v>
      </c>
      <c r="J35" s="14">
        <v>1019</v>
      </c>
      <c r="K35" s="14">
        <v>1587</v>
      </c>
      <c r="L35" s="14">
        <v>830</v>
      </c>
      <c r="M35" s="14">
        <v>1190</v>
      </c>
      <c r="N35" s="14">
        <v>1034</v>
      </c>
      <c r="O35" s="14">
        <v>2004</v>
      </c>
      <c r="P35" s="14">
        <v>879</v>
      </c>
      <c r="Q35" s="15">
        <v>1066</v>
      </c>
    </row>
    <row r="36" spans="3:17" x14ac:dyDescent="0.25">
      <c r="C36" s="1" t="s">
        <v>73</v>
      </c>
      <c r="D36" s="12">
        <f t="shared" ref="D36:O36" si="98">SUM(D26:D35)</f>
        <v>13487</v>
      </c>
      <c r="E36" s="12">
        <f t="shared" si="98"/>
        <v>0</v>
      </c>
      <c r="F36" s="12">
        <f t="shared" si="98"/>
        <v>0</v>
      </c>
      <c r="G36" s="12">
        <f t="shared" si="98"/>
        <v>0</v>
      </c>
      <c r="H36" s="12">
        <f t="shared" si="98"/>
        <v>16837</v>
      </c>
      <c r="I36" s="12">
        <f t="shared" si="98"/>
        <v>18297</v>
      </c>
      <c r="J36" s="12">
        <f t="shared" si="98"/>
        <v>15436</v>
      </c>
      <c r="K36" s="12">
        <f t="shared" si="98"/>
        <v>18636</v>
      </c>
      <c r="L36" s="12">
        <f t="shared" si="98"/>
        <v>16115</v>
      </c>
      <c r="M36" s="12">
        <f t="shared" si="98"/>
        <v>18041</v>
      </c>
      <c r="N36" s="12">
        <f t="shared" si="98"/>
        <v>16163</v>
      </c>
      <c r="O36" s="12">
        <f t="shared" si="98"/>
        <v>21109</v>
      </c>
      <c r="P36" s="12">
        <f>SUM(P26:P35)</f>
        <v>17081</v>
      </c>
      <c r="Q36" s="13">
        <f>SUM(Q26:Q35)</f>
        <v>20698</v>
      </c>
    </row>
    <row r="37" spans="3:17" x14ac:dyDescent="0.25">
      <c r="C37" s="2" t="s">
        <v>74</v>
      </c>
      <c r="D37" s="14">
        <v>680</v>
      </c>
      <c r="E37" s="14"/>
      <c r="F37" s="14"/>
      <c r="G37" s="14"/>
      <c r="H37" s="14">
        <v>680</v>
      </c>
      <c r="I37" s="14">
        <v>680</v>
      </c>
      <c r="J37" s="14">
        <v>680</v>
      </c>
      <c r="K37" s="14">
        <v>680</v>
      </c>
      <c r="L37" s="14">
        <v>680</v>
      </c>
      <c r="M37" s="14">
        <v>681</v>
      </c>
      <c r="N37" s="14">
        <v>681</v>
      </c>
      <c r="O37" s="14">
        <v>681</v>
      </c>
      <c r="P37" s="14">
        <v>681</v>
      </c>
      <c r="Q37" s="15">
        <v>681</v>
      </c>
    </row>
    <row r="38" spans="3:17" x14ac:dyDescent="0.25">
      <c r="C38" s="2" t="s">
        <v>75</v>
      </c>
      <c r="D38" s="14">
        <v>1324</v>
      </c>
      <c r="E38" s="14"/>
      <c r="F38" s="14"/>
      <c r="G38" s="14"/>
      <c r="H38" s="14">
        <v>1828</v>
      </c>
      <c r="I38" s="14">
        <v>1899</v>
      </c>
      <c r="J38" s="14">
        <v>1763</v>
      </c>
      <c r="K38" s="14">
        <v>1806</v>
      </c>
      <c r="L38" s="14">
        <v>1923</v>
      </c>
      <c r="M38" s="14">
        <v>1832</v>
      </c>
      <c r="N38" s="14">
        <v>1975</v>
      </c>
      <c r="O38" s="14">
        <v>1957</v>
      </c>
      <c r="P38" s="14">
        <v>1883</v>
      </c>
      <c r="Q38" s="15">
        <v>2021</v>
      </c>
    </row>
    <row r="39" spans="3:17" x14ac:dyDescent="0.25">
      <c r="C39" s="2" t="s">
        <v>76</v>
      </c>
      <c r="D39" s="14">
        <v>1486</v>
      </c>
      <c r="E39" s="14"/>
      <c r="F39" s="14"/>
      <c r="G39" s="14"/>
      <c r="H39" s="14">
        <v>1707</v>
      </c>
      <c r="I39" s="14">
        <v>1563</v>
      </c>
      <c r="J39" s="14">
        <v>1770</v>
      </c>
      <c r="K39" s="14">
        <v>1712</v>
      </c>
      <c r="L39" s="14">
        <v>1908</v>
      </c>
      <c r="M39" s="14">
        <v>1670</v>
      </c>
      <c r="N39" s="14">
        <v>1498</v>
      </c>
      <c r="O39" s="14">
        <v>1786</v>
      </c>
      <c r="P39" s="14">
        <v>1893</v>
      </c>
      <c r="Q39" s="15">
        <v>1301</v>
      </c>
    </row>
    <row r="40" spans="3:17" x14ac:dyDescent="0.25">
      <c r="C40" s="11" t="s">
        <v>77</v>
      </c>
      <c r="D40" s="16">
        <f t="shared" ref="D40:O40" si="99">SUM(D37:D39)</f>
        <v>3490</v>
      </c>
      <c r="E40" s="16">
        <f t="shared" si="99"/>
        <v>0</v>
      </c>
      <c r="F40" s="16">
        <f t="shared" si="99"/>
        <v>0</v>
      </c>
      <c r="G40" s="16">
        <f t="shared" si="99"/>
        <v>0</v>
      </c>
      <c r="H40" s="16">
        <f t="shared" si="99"/>
        <v>4215</v>
      </c>
      <c r="I40" s="16">
        <f t="shared" si="99"/>
        <v>4142</v>
      </c>
      <c r="J40" s="16">
        <f t="shared" si="99"/>
        <v>4213</v>
      </c>
      <c r="K40" s="16">
        <f t="shared" si="99"/>
        <v>4198</v>
      </c>
      <c r="L40" s="16">
        <f t="shared" si="99"/>
        <v>4511</v>
      </c>
      <c r="M40" s="16">
        <f t="shared" si="99"/>
        <v>4183</v>
      </c>
      <c r="N40" s="16">
        <f t="shared" si="99"/>
        <v>4154</v>
      </c>
      <c r="O40" s="16">
        <f t="shared" si="99"/>
        <v>4424</v>
      </c>
      <c r="P40" s="16">
        <f>SUM(P37:P39)</f>
        <v>4457</v>
      </c>
      <c r="Q40" s="24">
        <f>SUM(Q37:Q39)</f>
        <v>4003</v>
      </c>
    </row>
    <row r="41" spans="3:17" x14ac:dyDescent="0.25">
      <c r="C41" s="2" t="s">
        <v>78</v>
      </c>
      <c r="D41" s="14">
        <v>475</v>
      </c>
      <c r="E41" s="14"/>
      <c r="F41" s="14"/>
      <c r="G41" s="14"/>
      <c r="H41" s="14">
        <v>0</v>
      </c>
      <c r="I41" s="14">
        <v>588</v>
      </c>
      <c r="J41" s="14">
        <v>588</v>
      </c>
      <c r="K41" s="14">
        <v>588</v>
      </c>
      <c r="L41" s="14">
        <v>588</v>
      </c>
      <c r="M41" s="14">
        <v>588</v>
      </c>
      <c r="N41" s="14">
        <v>588</v>
      </c>
      <c r="O41" s="14">
        <v>588</v>
      </c>
      <c r="P41" s="14">
        <v>588</v>
      </c>
      <c r="Q41" s="15">
        <v>588</v>
      </c>
    </row>
    <row r="42" spans="3:17" x14ac:dyDescent="0.25">
      <c r="C42" s="2" t="s">
        <v>79</v>
      </c>
      <c r="D42" s="14">
        <v>1050</v>
      </c>
      <c r="E42" s="14"/>
      <c r="F42" s="14"/>
      <c r="G42" s="14"/>
      <c r="H42" s="14">
        <v>1110</v>
      </c>
      <c r="I42" s="14">
        <v>1100</v>
      </c>
      <c r="J42" s="14">
        <v>1149</v>
      </c>
      <c r="K42" s="14">
        <v>1093</v>
      </c>
      <c r="L42" s="14">
        <v>1144</v>
      </c>
      <c r="M42" s="14">
        <v>1183</v>
      </c>
      <c r="N42" s="14">
        <v>1186</v>
      </c>
      <c r="O42" s="14">
        <v>1151</v>
      </c>
      <c r="P42" s="14">
        <v>1167</v>
      </c>
      <c r="Q42" s="15">
        <v>1233</v>
      </c>
    </row>
    <row r="43" spans="3:17" x14ac:dyDescent="0.25">
      <c r="C43" s="2" t="s">
        <v>80</v>
      </c>
      <c r="D43" s="14">
        <v>144</v>
      </c>
      <c r="E43" s="16"/>
      <c r="F43" s="16"/>
      <c r="G43" s="16"/>
      <c r="H43" s="16">
        <v>148</v>
      </c>
      <c r="I43" s="16">
        <v>177</v>
      </c>
      <c r="J43" s="16">
        <v>148</v>
      </c>
      <c r="K43" s="16">
        <v>168</v>
      </c>
      <c r="L43" s="16">
        <v>176</v>
      </c>
      <c r="M43" s="16">
        <v>165</v>
      </c>
      <c r="N43" s="16">
        <v>187</v>
      </c>
      <c r="O43" s="16">
        <v>198</v>
      </c>
      <c r="P43" s="14">
        <v>191</v>
      </c>
      <c r="Q43" s="15">
        <v>192</v>
      </c>
    </row>
    <row r="44" spans="3:17" x14ac:dyDescent="0.25">
      <c r="C44" s="2" t="s">
        <v>81</v>
      </c>
      <c r="D44" s="16">
        <v>135</v>
      </c>
      <c r="E44" s="14"/>
      <c r="F44" s="14"/>
      <c r="G44" s="14"/>
      <c r="H44" s="14">
        <v>155</v>
      </c>
      <c r="I44" s="14">
        <v>154</v>
      </c>
      <c r="J44" s="14">
        <v>150</v>
      </c>
      <c r="K44" s="14">
        <v>151</v>
      </c>
      <c r="L44" s="14">
        <v>153</v>
      </c>
      <c r="M44" s="14">
        <v>150</v>
      </c>
      <c r="N44" s="14">
        <v>156</v>
      </c>
      <c r="O44" s="14">
        <v>168</v>
      </c>
      <c r="P44" s="14">
        <v>167</v>
      </c>
      <c r="Q44" s="15">
        <v>170</v>
      </c>
    </row>
    <row r="45" spans="3:17" x14ac:dyDescent="0.25">
      <c r="C45" s="2" t="s">
        <v>82</v>
      </c>
      <c r="D45" s="14">
        <v>4874</v>
      </c>
      <c r="E45" s="14"/>
      <c r="F45" s="14"/>
      <c r="G45" s="14"/>
      <c r="H45" s="14">
        <v>6999</v>
      </c>
      <c r="I45" s="14">
        <v>7521</v>
      </c>
      <c r="J45" s="14">
        <v>5007</v>
      </c>
      <c r="K45" s="14">
        <v>8045</v>
      </c>
      <c r="L45" s="14">
        <v>5148</v>
      </c>
      <c r="M45" s="14">
        <v>7118</v>
      </c>
      <c r="N45" s="14">
        <v>4905</v>
      </c>
      <c r="O45" s="14">
        <v>9746</v>
      </c>
      <c r="P45" s="14">
        <v>5950</v>
      </c>
      <c r="Q45" s="15">
        <v>8314</v>
      </c>
    </row>
    <row r="46" spans="3:17" x14ac:dyDescent="0.25">
      <c r="C46" s="2" t="s">
        <v>83</v>
      </c>
      <c r="D46" s="14">
        <v>265</v>
      </c>
      <c r="E46" s="14"/>
      <c r="F46" s="14"/>
      <c r="G46" s="14"/>
      <c r="H46" s="14">
        <v>484</v>
      </c>
      <c r="I46" s="14">
        <v>585</v>
      </c>
      <c r="J46" s="14">
        <v>570</v>
      </c>
      <c r="K46" s="14">
        <v>5</v>
      </c>
      <c r="L46" s="14">
        <v>327</v>
      </c>
      <c r="M46" s="14">
        <v>655</v>
      </c>
      <c r="N46" s="14">
        <v>520</v>
      </c>
      <c r="O46" s="14">
        <v>4</v>
      </c>
      <c r="P46" s="14">
        <v>13</v>
      </c>
      <c r="Q46" s="15">
        <v>891</v>
      </c>
    </row>
    <row r="47" spans="3:17" x14ac:dyDescent="0.25">
      <c r="C47" s="2" t="s">
        <v>84</v>
      </c>
      <c r="D47" s="14">
        <v>337</v>
      </c>
      <c r="E47" s="14"/>
      <c r="F47" s="14"/>
      <c r="G47" s="14"/>
      <c r="H47" s="14">
        <v>411</v>
      </c>
      <c r="I47" s="14">
        <v>448</v>
      </c>
      <c r="J47" s="14">
        <v>423</v>
      </c>
      <c r="K47" s="14">
        <v>418</v>
      </c>
      <c r="L47" s="14">
        <v>470</v>
      </c>
      <c r="M47" s="14">
        <v>458</v>
      </c>
      <c r="N47" s="14">
        <v>447</v>
      </c>
      <c r="O47" s="14">
        <v>456</v>
      </c>
      <c r="P47" s="14">
        <v>470</v>
      </c>
      <c r="Q47" s="15">
        <v>491</v>
      </c>
    </row>
    <row r="48" spans="3:17" x14ac:dyDescent="0.25">
      <c r="C48" s="2" t="s">
        <v>85</v>
      </c>
      <c r="D48" s="14">
        <v>50</v>
      </c>
      <c r="E48" s="14"/>
      <c r="F48" s="14"/>
      <c r="G48" s="14"/>
      <c r="H48" s="14">
        <v>71</v>
      </c>
      <c r="I48" s="14">
        <v>116</v>
      </c>
      <c r="J48" s="14">
        <v>150</v>
      </c>
      <c r="K48" s="14">
        <v>200</v>
      </c>
      <c r="L48" s="14">
        <v>103</v>
      </c>
      <c r="M48" s="14">
        <v>159</v>
      </c>
      <c r="N48" s="14">
        <v>160</v>
      </c>
      <c r="O48" s="14">
        <v>144</v>
      </c>
      <c r="P48" s="14">
        <v>83</v>
      </c>
      <c r="Q48" s="15">
        <v>144</v>
      </c>
    </row>
    <row r="49" spans="3:27" x14ac:dyDescent="0.25">
      <c r="C49" s="2" t="s">
        <v>86</v>
      </c>
      <c r="D49" s="14">
        <v>118</v>
      </c>
      <c r="E49" s="14"/>
      <c r="F49" s="14"/>
      <c r="G49" s="14"/>
      <c r="H49" s="14">
        <v>45</v>
      </c>
      <c r="I49" s="14">
        <v>40</v>
      </c>
      <c r="J49" s="14">
        <v>49</v>
      </c>
      <c r="K49" s="14">
        <v>55</v>
      </c>
      <c r="L49" s="14">
        <v>54</v>
      </c>
      <c r="M49" s="14">
        <v>38</v>
      </c>
      <c r="N49" s="14">
        <v>39</v>
      </c>
      <c r="O49" s="14">
        <v>90</v>
      </c>
      <c r="P49" s="14">
        <v>64</v>
      </c>
      <c r="Q49" s="15">
        <v>58</v>
      </c>
    </row>
    <row r="50" spans="3:27" x14ac:dyDescent="0.25">
      <c r="C50" s="2" t="s">
        <v>87</v>
      </c>
      <c r="D50" s="14">
        <v>2552</v>
      </c>
      <c r="E50" s="14"/>
      <c r="F50" s="14"/>
      <c r="G50" s="14"/>
      <c r="H50" s="14">
        <v>3199</v>
      </c>
      <c r="I50" s="14">
        <v>3427</v>
      </c>
      <c r="J50" s="14">
        <v>2989</v>
      </c>
      <c r="K50" s="14">
        <v>3715</v>
      </c>
      <c r="L50" s="14">
        <v>3442</v>
      </c>
      <c r="M50" s="14">
        <v>3343</v>
      </c>
      <c r="N50" s="14">
        <v>3821</v>
      </c>
      <c r="O50" s="14">
        <v>4141</v>
      </c>
      <c r="P50" s="14">
        <v>3932</v>
      </c>
      <c r="Q50" s="15">
        <v>4617</v>
      </c>
    </row>
    <row r="51" spans="3:27" x14ac:dyDescent="0.25">
      <c r="C51" s="11" t="s">
        <v>88</v>
      </c>
      <c r="D51" s="16">
        <f t="shared" ref="D51:O51" si="100">SUM(D41:D50)</f>
        <v>10000</v>
      </c>
      <c r="E51" s="16">
        <f t="shared" si="100"/>
        <v>0</v>
      </c>
      <c r="F51" s="16">
        <f t="shared" si="100"/>
        <v>0</v>
      </c>
      <c r="G51" s="16">
        <f t="shared" si="100"/>
        <v>0</v>
      </c>
      <c r="H51" s="16">
        <f t="shared" si="100"/>
        <v>12622</v>
      </c>
      <c r="I51" s="16">
        <f t="shared" si="100"/>
        <v>14156</v>
      </c>
      <c r="J51" s="16">
        <f t="shared" si="100"/>
        <v>11223</v>
      </c>
      <c r="K51" s="16">
        <f t="shared" si="100"/>
        <v>14438</v>
      </c>
      <c r="L51" s="16">
        <f t="shared" si="100"/>
        <v>11605</v>
      </c>
      <c r="M51" s="16">
        <f t="shared" si="100"/>
        <v>13857</v>
      </c>
      <c r="N51" s="16">
        <f t="shared" si="100"/>
        <v>12009</v>
      </c>
      <c r="O51" s="16">
        <f t="shared" si="100"/>
        <v>16686</v>
      </c>
      <c r="P51" s="16">
        <f>SUM(P41:P50)</f>
        <v>12625</v>
      </c>
      <c r="Q51" s="24">
        <f>SUM(Q41:Q50)</f>
        <v>16698</v>
      </c>
    </row>
    <row r="52" spans="3:27" x14ac:dyDescent="0.25">
      <c r="C52" s="1" t="s">
        <v>89</v>
      </c>
      <c r="D52" s="12">
        <f t="shared" ref="D52:O52" si="101">D40+D51</f>
        <v>13490</v>
      </c>
      <c r="E52" s="12">
        <f t="shared" si="101"/>
        <v>0</v>
      </c>
      <c r="F52" s="12">
        <f t="shared" si="101"/>
        <v>0</v>
      </c>
      <c r="G52" s="12">
        <f t="shared" si="101"/>
        <v>0</v>
      </c>
      <c r="H52" s="12">
        <f t="shared" si="101"/>
        <v>16837</v>
      </c>
      <c r="I52" s="12">
        <f t="shared" si="101"/>
        <v>18298</v>
      </c>
      <c r="J52" s="12">
        <f t="shared" si="101"/>
        <v>15436</v>
      </c>
      <c r="K52" s="12">
        <f t="shared" si="101"/>
        <v>18636</v>
      </c>
      <c r="L52" s="12">
        <f t="shared" si="101"/>
        <v>16116</v>
      </c>
      <c r="M52" s="12">
        <f t="shared" si="101"/>
        <v>18040</v>
      </c>
      <c r="N52" s="12">
        <f t="shared" si="101"/>
        <v>16163</v>
      </c>
      <c r="O52" s="12">
        <f t="shared" si="101"/>
        <v>21110</v>
      </c>
      <c r="P52" s="12">
        <f>P40+P51</f>
        <v>17082</v>
      </c>
      <c r="Q52" s="13">
        <f>Q40+Q51</f>
        <v>20701</v>
      </c>
    </row>
    <row r="53" spans="3:27" x14ac:dyDescent="0.25"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3:27" x14ac:dyDescent="0.25">
      <c r="C54" s="3" t="s">
        <v>30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3:27" x14ac:dyDescent="0.25">
      <c r="C55" s="2" t="s">
        <v>90</v>
      </c>
      <c r="D55" s="2">
        <f t="shared" ref="D55:Q55" si="102">D14</f>
        <v>164</v>
      </c>
      <c r="E55" s="2">
        <f t="shared" si="102"/>
        <v>282</v>
      </c>
      <c r="F55" s="2">
        <f t="shared" si="102"/>
        <v>248</v>
      </c>
      <c r="G55" s="2">
        <f t="shared" si="102"/>
        <v>391</v>
      </c>
      <c r="H55" s="2">
        <f t="shared" si="102"/>
        <v>224</v>
      </c>
      <c r="I55" s="2">
        <f t="shared" si="102"/>
        <v>249</v>
      </c>
      <c r="J55" s="2">
        <f t="shared" si="102"/>
        <v>237</v>
      </c>
      <c r="K55" s="2">
        <f t="shared" si="102"/>
        <v>310</v>
      </c>
      <c r="L55" s="2">
        <f t="shared" si="102"/>
        <v>246</v>
      </c>
      <c r="M55" s="2">
        <f t="shared" si="102"/>
        <v>178</v>
      </c>
      <c r="N55" s="2">
        <f t="shared" si="102"/>
        <v>250</v>
      </c>
      <c r="O55" s="2">
        <f t="shared" si="102"/>
        <v>329</v>
      </c>
      <c r="P55" s="2">
        <f t="shared" si="102"/>
        <v>208</v>
      </c>
      <c r="Q55" s="4">
        <f t="shared" si="102"/>
        <v>203</v>
      </c>
      <c r="V55" s="2">
        <f t="shared" ref="V55:AA55" si="103">V14</f>
        <v>656</v>
      </c>
      <c r="W55" s="2">
        <f t="shared" si="103"/>
        <v>750</v>
      </c>
      <c r="X55" s="2">
        <f t="shared" si="103"/>
        <v>942</v>
      </c>
      <c r="Y55" s="2">
        <f t="shared" si="103"/>
        <v>1084</v>
      </c>
      <c r="Z55" s="2">
        <f t="shared" si="103"/>
        <v>1021</v>
      </c>
      <c r="AA55" s="2">
        <f t="shared" si="103"/>
        <v>1002</v>
      </c>
    </row>
    <row r="56" spans="3:27" x14ac:dyDescent="0.25">
      <c r="C56" s="2" t="s">
        <v>91</v>
      </c>
      <c r="D56" s="14">
        <v>163</v>
      </c>
      <c r="E56" s="14"/>
      <c r="F56" s="14"/>
      <c r="G56" s="14"/>
      <c r="H56" s="14">
        <v>224</v>
      </c>
      <c r="I56" s="14">
        <v>249</v>
      </c>
      <c r="J56" s="14">
        <v>237</v>
      </c>
      <c r="K56" s="14">
        <v>311</v>
      </c>
      <c r="L56" s="14">
        <v>245</v>
      </c>
      <c r="M56" s="14">
        <v>178</v>
      </c>
      <c r="N56" s="14">
        <v>250</v>
      </c>
      <c r="O56" s="2">
        <v>329</v>
      </c>
      <c r="P56" s="2">
        <v>209</v>
      </c>
      <c r="Q56" s="4">
        <v>203</v>
      </c>
      <c r="Z56" s="14">
        <f>SUM(H56:K56)</f>
        <v>1021</v>
      </c>
      <c r="AA56" s="14">
        <f>SUM(L56:O56)</f>
        <v>1002</v>
      </c>
    </row>
    <row r="57" spans="3:27" x14ac:dyDescent="0.25">
      <c r="C57" s="2" t="s">
        <v>54</v>
      </c>
      <c r="D57" s="14">
        <v>147</v>
      </c>
      <c r="E57" s="14"/>
      <c r="F57" s="14"/>
      <c r="G57" s="14"/>
      <c r="H57" s="14">
        <v>168</v>
      </c>
      <c r="I57" s="14">
        <v>175</v>
      </c>
      <c r="J57" s="14">
        <v>170</v>
      </c>
      <c r="K57" s="14">
        <v>175</v>
      </c>
      <c r="L57" s="14">
        <v>180</v>
      </c>
      <c r="M57" s="14">
        <v>179</v>
      </c>
      <c r="N57" s="14">
        <v>185</v>
      </c>
      <c r="O57" s="2">
        <v>192</v>
      </c>
      <c r="P57" s="2">
        <v>188</v>
      </c>
      <c r="Q57" s="4">
        <v>194</v>
      </c>
      <c r="Z57" s="14">
        <f t="shared" ref="Z57:Z63" si="104">SUM(H57:K57)</f>
        <v>688</v>
      </c>
      <c r="AA57" s="14">
        <f t="shared" ref="AA57:AA63" si="105">SUM(L57:O57)</f>
        <v>736</v>
      </c>
    </row>
    <row r="58" spans="3:27" x14ac:dyDescent="0.25">
      <c r="C58" s="2" t="s">
        <v>92</v>
      </c>
      <c r="D58" s="14">
        <v>7</v>
      </c>
      <c r="E58" s="14"/>
      <c r="F58" s="14"/>
      <c r="G58" s="14"/>
      <c r="H58" s="14">
        <v>12</v>
      </c>
      <c r="I58" s="14">
        <v>16</v>
      </c>
      <c r="J58" s="14">
        <v>18</v>
      </c>
      <c r="K58" s="14">
        <v>17</v>
      </c>
      <c r="L58" s="14">
        <v>15</v>
      </c>
      <c r="M58" s="14">
        <v>20</v>
      </c>
      <c r="N58" s="14">
        <v>22</v>
      </c>
      <c r="O58" s="2">
        <v>21</v>
      </c>
      <c r="P58" s="2">
        <v>11</v>
      </c>
      <c r="Q58" s="4">
        <v>28</v>
      </c>
      <c r="Z58" s="14">
        <f t="shared" si="104"/>
        <v>63</v>
      </c>
      <c r="AA58" s="14">
        <f t="shared" si="105"/>
        <v>78</v>
      </c>
    </row>
    <row r="59" spans="3:27" x14ac:dyDescent="0.25">
      <c r="C59" s="2" t="s">
        <v>93</v>
      </c>
      <c r="D59" s="14">
        <v>0</v>
      </c>
      <c r="E59" s="14"/>
      <c r="F59" s="14"/>
      <c r="G59" s="14"/>
      <c r="H59" s="14">
        <v>0</v>
      </c>
      <c r="I59" s="14">
        <v>0</v>
      </c>
      <c r="J59" s="14">
        <v>0</v>
      </c>
      <c r="K59" s="14">
        <v>0</v>
      </c>
      <c r="L59" s="14">
        <v>-2</v>
      </c>
      <c r="M59" s="14">
        <v>0</v>
      </c>
      <c r="N59" s="14">
        <v>-2</v>
      </c>
      <c r="O59" s="2">
        <v>1</v>
      </c>
      <c r="P59" s="2">
        <v>0</v>
      </c>
      <c r="Q59" s="4">
        <v>-2</v>
      </c>
      <c r="Z59" s="14">
        <f t="shared" si="104"/>
        <v>0</v>
      </c>
      <c r="AA59" s="14">
        <f t="shared" si="105"/>
        <v>-3</v>
      </c>
    </row>
    <row r="60" spans="3:27" x14ac:dyDescent="0.25">
      <c r="C60" s="2" t="s">
        <v>94</v>
      </c>
      <c r="D60" s="14">
        <v>23</v>
      </c>
      <c r="E60" s="14"/>
      <c r="F60" s="14"/>
      <c r="G60" s="14"/>
      <c r="H60" s="14">
        <v>43</v>
      </c>
      <c r="I60" s="14">
        <v>48</v>
      </c>
      <c r="J60" s="14">
        <v>51</v>
      </c>
      <c r="K60" s="14">
        <v>54</v>
      </c>
      <c r="L60" s="14">
        <v>36</v>
      </c>
      <c r="M60" s="14">
        <v>52</v>
      </c>
      <c r="N60" s="14">
        <v>51</v>
      </c>
      <c r="O60" s="2">
        <v>41</v>
      </c>
      <c r="P60" s="2">
        <v>34</v>
      </c>
      <c r="Q60" s="4">
        <v>45</v>
      </c>
      <c r="Z60" s="14">
        <f t="shared" si="104"/>
        <v>196</v>
      </c>
      <c r="AA60" s="14">
        <f t="shared" si="105"/>
        <v>180</v>
      </c>
    </row>
    <row r="61" spans="3:27" x14ac:dyDescent="0.25">
      <c r="C61" s="2" t="s">
        <v>95</v>
      </c>
      <c r="D61" s="14">
        <v>-95</v>
      </c>
      <c r="E61" s="14"/>
      <c r="F61" s="14"/>
      <c r="G61" s="14"/>
      <c r="H61" s="14">
        <v>-82</v>
      </c>
      <c r="I61" s="14">
        <v>-39</v>
      </c>
      <c r="J61" s="14">
        <v>-46</v>
      </c>
      <c r="K61" s="14">
        <v>-85</v>
      </c>
      <c r="L61" s="14">
        <v>-99</v>
      </c>
      <c r="M61" s="14">
        <v>-55</v>
      </c>
      <c r="N61" s="14">
        <v>-63</v>
      </c>
      <c r="O61" s="2">
        <v>-47</v>
      </c>
      <c r="P61" s="2">
        <v>-10</v>
      </c>
      <c r="Q61" s="4">
        <v>-42</v>
      </c>
      <c r="T61" s="1"/>
      <c r="U61" s="1"/>
      <c r="Z61" s="14">
        <f t="shared" si="104"/>
        <v>-252</v>
      </c>
      <c r="AA61" s="14">
        <f t="shared" si="105"/>
        <v>-264</v>
      </c>
    </row>
    <row r="62" spans="3:27" x14ac:dyDescent="0.25">
      <c r="C62" s="2" t="s">
        <v>96</v>
      </c>
      <c r="D62" s="14">
        <v>-20</v>
      </c>
      <c r="E62" s="14"/>
      <c r="F62" s="14"/>
      <c r="G62" s="14"/>
      <c r="H62" s="14">
        <v>-43</v>
      </c>
      <c r="I62" s="14">
        <v>-46</v>
      </c>
      <c r="J62" s="14">
        <v>-43</v>
      </c>
      <c r="K62" s="14">
        <v>-64</v>
      </c>
      <c r="L62" s="14">
        <v>-36</v>
      </c>
      <c r="M62" s="14">
        <v>-52</v>
      </c>
      <c r="N62" s="14">
        <v>-52</v>
      </c>
      <c r="O62" s="2">
        <v>-41</v>
      </c>
      <c r="P62" s="2">
        <v>-34</v>
      </c>
      <c r="Q62" s="4">
        <v>-45</v>
      </c>
      <c r="T62" s="1"/>
      <c r="U62" s="1"/>
      <c r="Z62" s="14">
        <f t="shared" si="104"/>
        <v>-196</v>
      </c>
      <c r="AA62" s="14">
        <f t="shared" si="105"/>
        <v>-181</v>
      </c>
    </row>
    <row r="63" spans="3:27" x14ac:dyDescent="0.25">
      <c r="C63" s="2" t="s">
        <v>97</v>
      </c>
      <c r="D63" s="14">
        <f>1923-340-1545-959</f>
        <v>-921</v>
      </c>
      <c r="E63" s="14"/>
      <c r="F63" s="14"/>
      <c r="G63" s="14"/>
      <c r="H63" s="14">
        <f>2407+14-1541-996</f>
        <v>-116</v>
      </c>
      <c r="I63" s="14">
        <f>-1449+28+891+465</f>
        <v>-65</v>
      </c>
      <c r="J63" s="14">
        <f>2045+377-2770-341</f>
        <v>-689</v>
      </c>
      <c r="K63" s="14">
        <f>-2810+69+2919+1048</f>
        <v>1226</v>
      </c>
      <c r="L63" s="14">
        <f>2482-96-2964-664</f>
        <v>-1242</v>
      </c>
      <c r="M63" s="14">
        <f>-1530-116+2037-48</f>
        <v>343</v>
      </c>
      <c r="N63" s="14">
        <f>1818+90-2385+197</f>
        <v>-280</v>
      </c>
      <c r="O63" s="2">
        <f>-3762-35+4839+617</f>
        <v>1659</v>
      </c>
      <c r="P63" s="2">
        <f>3088-125-3791-452</f>
        <v>-1280</v>
      </c>
      <c r="Q63" s="4">
        <f>-2470-147+2281-156</f>
        <v>-492</v>
      </c>
      <c r="T63" s="1"/>
      <c r="U63" s="1"/>
      <c r="Z63" s="14">
        <f t="shared" si="104"/>
        <v>356</v>
      </c>
      <c r="AA63" s="14">
        <f t="shared" si="105"/>
        <v>480</v>
      </c>
    </row>
    <row r="64" spans="3:27" x14ac:dyDescent="0.25">
      <c r="C64" s="1" t="s">
        <v>98</v>
      </c>
      <c r="D64" s="1">
        <f t="shared" ref="D64:O64" si="106">SUM(D56:D63)</f>
        <v>-696</v>
      </c>
      <c r="E64" s="1">
        <f t="shared" si="106"/>
        <v>0</v>
      </c>
      <c r="F64" s="1">
        <f t="shared" si="106"/>
        <v>0</v>
      </c>
      <c r="G64" s="1">
        <f t="shared" si="106"/>
        <v>0</v>
      </c>
      <c r="H64" s="1">
        <f t="shared" si="106"/>
        <v>206</v>
      </c>
      <c r="I64" s="1">
        <f t="shared" si="106"/>
        <v>338</v>
      </c>
      <c r="J64" s="1">
        <f t="shared" si="106"/>
        <v>-302</v>
      </c>
      <c r="K64" s="1">
        <f t="shared" si="106"/>
        <v>1634</v>
      </c>
      <c r="L64" s="1">
        <f t="shared" si="106"/>
        <v>-903</v>
      </c>
      <c r="M64" s="1">
        <f t="shared" si="106"/>
        <v>665</v>
      </c>
      <c r="N64" s="1">
        <f t="shared" si="106"/>
        <v>111</v>
      </c>
      <c r="O64" s="1">
        <f t="shared" si="106"/>
        <v>2155</v>
      </c>
      <c r="P64" s="1">
        <f>SUM(P56:P63)</f>
        <v>-882</v>
      </c>
      <c r="Q64" s="20">
        <f>SUM(Q56:Q63)</f>
        <v>-111</v>
      </c>
      <c r="R64" s="1"/>
      <c r="S64" s="1"/>
      <c r="T64" s="1"/>
      <c r="U64" s="1"/>
      <c r="V64" s="1">
        <f t="shared" ref="V64" si="107">SUM(V56:V63)</f>
        <v>0</v>
      </c>
      <c r="W64" s="1">
        <f t="shared" ref="W64" si="108">SUM(W56:W63)</f>
        <v>0</v>
      </c>
      <c r="X64" s="1">
        <f t="shared" ref="X64" si="109">SUM(X56:X63)</f>
        <v>0</v>
      </c>
      <c r="Y64" s="1">
        <f t="shared" ref="Y64" si="110">SUM(Y56:Y63)</f>
        <v>0</v>
      </c>
      <c r="Z64" s="1">
        <f t="shared" ref="Z64" si="111">SUM(Z56:Z63)</f>
        <v>1876</v>
      </c>
      <c r="AA64" s="1">
        <f t="shared" ref="AA64" si="112">SUM(AA56:AA63)</f>
        <v>2028</v>
      </c>
    </row>
    <row r="65" spans="3:27" x14ac:dyDescent="0.25">
      <c r="C65" s="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"/>
      <c r="P65" s="1"/>
      <c r="Q65" s="20"/>
      <c r="R65" s="1"/>
      <c r="S65" s="1"/>
      <c r="T65" s="1"/>
      <c r="U65" s="1"/>
      <c r="V65" s="1"/>
      <c r="W65" s="1"/>
    </row>
    <row r="66" spans="3:27" x14ac:dyDescent="0.25">
      <c r="C66" s="2" t="s">
        <v>99</v>
      </c>
      <c r="D66" s="14">
        <v>-68</v>
      </c>
      <c r="E66" s="14"/>
      <c r="F66" s="14"/>
      <c r="G66" s="14"/>
      <c r="H66" s="14">
        <v>-73</v>
      </c>
      <c r="I66" s="14">
        <v>-108</v>
      </c>
      <c r="J66" s="14">
        <v>-41</v>
      </c>
      <c r="K66" s="14">
        <v>-100</v>
      </c>
      <c r="L66" s="14">
        <v>-82</v>
      </c>
      <c r="M66" s="14">
        <v>-112</v>
      </c>
      <c r="N66" s="14">
        <v>-89</v>
      </c>
      <c r="O66" s="2">
        <v>-144</v>
      </c>
      <c r="P66" s="2">
        <v>-103</v>
      </c>
      <c r="Q66" s="4">
        <v>-108</v>
      </c>
      <c r="R66" s="1"/>
      <c r="S66" s="1"/>
      <c r="T66" s="1"/>
      <c r="U66" s="1"/>
      <c r="V66" s="1"/>
      <c r="W66" s="1"/>
      <c r="Z66" s="14">
        <f t="shared" ref="Z66:Z67" si="113">SUM(H66:K66)</f>
        <v>-322</v>
      </c>
      <c r="AA66" s="14">
        <f t="shared" ref="AA66:AA67" si="114">SUM(L66:O66)</f>
        <v>-427</v>
      </c>
    </row>
    <row r="67" spans="3:27" x14ac:dyDescent="0.25">
      <c r="C67" s="2" t="s">
        <v>100</v>
      </c>
      <c r="D67" s="14">
        <v>1</v>
      </c>
      <c r="E67" s="14"/>
      <c r="F67" s="14"/>
      <c r="G67" s="14"/>
      <c r="H67" s="14">
        <v>0</v>
      </c>
      <c r="I67" s="14">
        <v>1</v>
      </c>
      <c r="J67" s="14">
        <v>0</v>
      </c>
      <c r="K67" s="14">
        <v>1</v>
      </c>
      <c r="L67" s="14">
        <v>2</v>
      </c>
      <c r="M67" s="14">
        <v>1</v>
      </c>
      <c r="N67" s="14">
        <v>2</v>
      </c>
      <c r="O67" s="2">
        <v>0</v>
      </c>
      <c r="P67" s="2">
        <v>0</v>
      </c>
      <c r="Q67" s="4">
        <v>3</v>
      </c>
      <c r="R67" s="1"/>
      <c r="S67" s="1"/>
      <c r="T67" s="1"/>
      <c r="U67" s="1"/>
      <c r="V67" s="1"/>
      <c r="W67" s="1"/>
      <c r="Z67" s="14">
        <f t="shared" si="113"/>
        <v>2</v>
      </c>
      <c r="AA67" s="14">
        <f t="shared" si="114"/>
        <v>5</v>
      </c>
    </row>
    <row r="68" spans="3:27" x14ac:dyDescent="0.25">
      <c r="C68" s="1" t="s">
        <v>101</v>
      </c>
      <c r="D68" s="1">
        <f t="shared" ref="D68:O68" si="115">SUM(D66:D67)</f>
        <v>-67</v>
      </c>
      <c r="E68" s="1">
        <f t="shared" si="115"/>
        <v>0</v>
      </c>
      <c r="F68" s="1">
        <f t="shared" si="115"/>
        <v>0</v>
      </c>
      <c r="G68" s="1">
        <f t="shared" si="115"/>
        <v>0</v>
      </c>
      <c r="H68" s="1">
        <f t="shared" si="115"/>
        <v>-73</v>
      </c>
      <c r="I68" s="1">
        <f t="shared" si="115"/>
        <v>-107</v>
      </c>
      <c r="J68" s="1">
        <f t="shared" si="115"/>
        <v>-41</v>
      </c>
      <c r="K68" s="1">
        <f t="shared" si="115"/>
        <v>-99</v>
      </c>
      <c r="L68" s="1">
        <f t="shared" si="115"/>
        <v>-80</v>
      </c>
      <c r="M68" s="1">
        <f t="shared" si="115"/>
        <v>-111</v>
      </c>
      <c r="N68" s="1">
        <f t="shared" si="115"/>
        <v>-87</v>
      </c>
      <c r="O68" s="1">
        <f t="shared" si="115"/>
        <v>-144</v>
      </c>
      <c r="P68" s="1">
        <f>SUM(P66:P67)</f>
        <v>-103</v>
      </c>
      <c r="Q68" s="20">
        <f>SUM(Q66:Q67)</f>
        <v>-105</v>
      </c>
      <c r="V68" s="1">
        <f t="shared" ref="V68:Y68" si="116">SUM(V66:V67)</f>
        <v>0</v>
      </c>
      <c r="W68" s="1">
        <f t="shared" si="116"/>
        <v>0</v>
      </c>
      <c r="X68" s="1">
        <f t="shared" si="116"/>
        <v>0</v>
      </c>
      <c r="Y68" s="1">
        <f t="shared" si="116"/>
        <v>0</v>
      </c>
      <c r="Z68" s="1">
        <f t="shared" ref="Z68" si="117">SUM(Z66:Z67)</f>
        <v>-320</v>
      </c>
      <c r="AA68" s="1">
        <f t="shared" ref="AA68" si="118">SUM(AA66:AA67)</f>
        <v>-422</v>
      </c>
    </row>
    <row r="69" spans="3:27" x14ac:dyDescent="0.25">
      <c r="D69" s="14"/>
    </row>
    <row r="70" spans="3:27" x14ac:dyDescent="0.25">
      <c r="C70" s="2" t="s">
        <v>102</v>
      </c>
      <c r="D70" s="2">
        <v>0</v>
      </c>
      <c r="H70" s="2">
        <v>0</v>
      </c>
      <c r="I70" s="2">
        <v>-346</v>
      </c>
      <c r="J70" s="2">
        <v>0</v>
      </c>
      <c r="K70" s="2">
        <v>-347</v>
      </c>
      <c r="L70" s="2">
        <v>0</v>
      </c>
      <c r="M70" s="2">
        <v>-391</v>
      </c>
      <c r="N70" s="2">
        <v>0</v>
      </c>
      <c r="O70" s="2">
        <v>-391</v>
      </c>
      <c r="P70" s="2">
        <v>0</v>
      </c>
      <c r="Q70" s="4">
        <v>-390</v>
      </c>
      <c r="Z70" s="14">
        <f t="shared" ref="Z70:Z73" si="119">SUM(H70:K70)</f>
        <v>-693</v>
      </c>
      <c r="AA70" s="14">
        <f t="shared" ref="AA70:AA73" si="120">SUM(L70:O70)</f>
        <v>-782</v>
      </c>
    </row>
    <row r="71" spans="3:27" x14ac:dyDescent="0.25">
      <c r="C71" s="2" t="s">
        <v>103</v>
      </c>
      <c r="D71" s="2">
        <v>-81</v>
      </c>
      <c r="H71" s="2">
        <v>0</v>
      </c>
      <c r="I71" s="2">
        <v>6</v>
      </c>
      <c r="J71" s="2">
        <v>10</v>
      </c>
      <c r="K71" s="2">
        <v>10</v>
      </c>
      <c r="L71" s="2">
        <v>9</v>
      </c>
      <c r="M71" s="2">
        <v>9</v>
      </c>
      <c r="N71" s="2">
        <v>10</v>
      </c>
      <c r="O71" s="2">
        <v>-6</v>
      </c>
      <c r="P71" s="2">
        <v>-65</v>
      </c>
      <c r="Q71" s="4">
        <v>9</v>
      </c>
      <c r="Z71" s="14">
        <f t="shared" si="119"/>
        <v>26</v>
      </c>
      <c r="AA71" s="14">
        <f t="shared" si="120"/>
        <v>22</v>
      </c>
    </row>
    <row r="72" spans="3:27" x14ac:dyDescent="0.25">
      <c r="C72" s="2" t="s">
        <v>104</v>
      </c>
      <c r="D72" s="2">
        <v>-78</v>
      </c>
      <c r="H72" s="2">
        <v>-82</v>
      </c>
      <c r="I72" s="2">
        <v>-87</v>
      </c>
      <c r="J72" s="2">
        <v>-93</v>
      </c>
      <c r="K72" s="2">
        <v>-100</v>
      </c>
      <c r="L72" s="2">
        <v>-95</v>
      </c>
      <c r="M72" s="2">
        <v>-94</v>
      </c>
      <c r="N72" s="2">
        <v>-100</v>
      </c>
      <c r="O72" s="2">
        <v>-109</v>
      </c>
      <c r="P72" s="2">
        <v>-103</v>
      </c>
      <c r="Q72" s="4">
        <v>-104</v>
      </c>
      <c r="Z72" s="14">
        <f t="shared" si="119"/>
        <v>-362</v>
      </c>
      <c r="AA72" s="14">
        <f t="shared" si="120"/>
        <v>-398</v>
      </c>
    </row>
    <row r="73" spans="3:27" x14ac:dyDescent="0.25">
      <c r="C73" s="2" t="s">
        <v>105</v>
      </c>
      <c r="D73" s="2">
        <v>267</v>
      </c>
      <c r="H73" s="2">
        <v>-97</v>
      </c>
      <c r="I73" s="2">
        <v>317</v>
      </c>
      <c r="J73" s="2">
        <v>317</v>
      </c>
      <c r="K73" s="2">
        <v>-592</v>
      </c>
      <c r="L73" s="2">
        <v>306</v>
      </c>
      <c r="M73" s="2">
        <v>314</v>
      </c>
      <c r="N73" s="2">
        <v>-153</v>
      </c>
      <c r="O73" s="2">
        <v>-540</v>
      </c>
      <c r="P73" s="2">
        <v>4</v>
      </c>
      <c r="Q73" s="4">
        <v>880</v>
      </c>
      <c r="Z73" s="14">
        <f t="shared" si="119"/>
        <v>-55</v>
      </c>
      <c r="AA73" s="14">
        <f t="shared" si="120"/>
        <v>-73</v>
      </c>
    </row>
    <row r="74" spans="3:27" x14ac:dyDescent="0.25">
      <c r="C74" s="1" t="s">
        <v>106</v>
      </c>
      <c r="D74" s="1">
        <f t="shared" ref="D74:O74" si="121">SUM(D70:D73)</f>
        <v>108</v>
      </c>
      <c r="E74" s="1">
        <f t="shared" si="121"/>
        <v>0</v>
      </c>
      <c r="F74" s="1">
        <f t="shared" si="121"/>
        <v>0</v>
      </c>
      <c r="G74" s="1">
        <f t="shared" si="121"/>
        <v>0</v>
      </c>
      <c r="H74" s="1">
        <f t="shared" si="121"/>
        <v>-179</v>
      </c>
      <c r="I74" s="1">
        <f t="shared" si="121"/>
        <v>-110</v>
      </c>
      <c r="J74" s="1">
        <f t="shared" si="121"/>
        <v>234</v>
      </c>
      <c r="K74" s="1">
        <f t="shared" si="121"/>
        <v>-1029</v>
      </c>
      <c r="L74" s="1">
        <f t="shared" si="121"/>
        <v>220</v>
      </c>
      <c r="M74" s="1">
        <f t="shared" si="121"/>
        <v>-162</v>
      </c>
      <c r="N74" s="1">
        <f t="shared" si="121"/>
        <v>-243</v>
      </c>
      <c r="O74" s="1">
        <f t="shared" si="121"/>
        <v>-1046</v>
      </c>
      <c r="P74" s="1">
        <f>SUM(P70:P73)</f>
        <v>-164</v>
      </c>
      <c r="Q74" s="20">
        <f>SUM(Q70:Q73)</f>
        <v>395</v>
      </c>
      <c r="V74" s="1">
        <f t="shared" ref="V74:Y74" si="122">SUM(V70:V73)</f>
        <v>0</v>
      </c>
      <c r="W74" s="1">
        <f t="shared" si="122"/>
        <v>0</v>
      </c>
      <c r="X74" s="1">
        <f t="shared" si="122"/>
        <v>0</v>
      </c>
      <c r="Y74" s="1">
        <f t="shared" si="122"/>
        <v>0</v>
      </c>
      <c r="Z74" s="1">
        <f t="shared" ref="Z74" si="123">SUM(Z70:Z73)</f>
        <v>-1084</v>
      </c>
      <c r="AA74" s="1">
        <f t="shared" ref="AA74" si="124">SUM(AA70:AA73)</f>
        <v>-1231</v>
      </c>
    </row>
    <row r="76" spans="3:27" x14ac:dyDescent="0.25">
      <c r="C76" s="2" t="s">
        <v>107</v>
      </c>
      <c r="D76" s="14">
        <v>-92</v>
      </c>
      <c r="E76" s="14"/>
      <c r="F76" s="14"/>
      <c r="G76" s="14"/>
      <c r="H76" s="14">
        <v>179</v>
      </c>
      <c r="I76" s="14">
        <v>-15</v>
      </c>
      <c r="J76" s="14">
        <v>-36</v>
      </c>
      <c r="K76" s="14">
        <v>62</v>
      </c>
      <c r="L76" s="14">
        <v>6</v>
      </c>
      <c r="M76" s="14">
        <v>-32</v>
      </c>
      <c r="N76" s="14">
        <v>62</v>
      </c>
      <c r="O76" s="14">
        <v>5</v>
      </c>
      <c r="P76" s="14">
        <v>22</v>
      </c>
      <c r="Q76" s="4">
        <v>10</v>
      </c>
      <c r="Z76" s="2">
        <v>190</v>
      </c>
      <c r="AA76" s="2">
        <v>41</v>
      </c>
    </row>
    <row r="77" spans="3:27" x14ac:dyDescent="0.25"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3:27" x14ac:dyDescent="0.25">
      <c r="C78" s="2" t="s">
        <v>108</v>
      </c>
      <c r="D78" s="14">
        <f t="shared" ref="D78:O78" si="125">D64+D68+D74+D76</f>
        <v>-747</v>
      </c>
      <c r="E78" s="14">
        <f t="shared" si="125"/>
        <v>0</v>
      </c>
      <c r="F78" s="14">
        <f t="shared" si="125"/>
        <v>0</v>
      </c>
      <c r="G78" s="14">
        <f t="shared" si="125"/>
        <v>0</v>
      </c>
      <c r="H78" s="14">
        <f t="shared" si="125"/>
        <v>133</v>
      </c>
      <c r="I78" s="14">
        <f t="shared" si="125"/>
        <v>106</v>
      </c>
      <c r="J78" s="14">
        <f t="shared" si="125"/>
        <v>-145</v>
      </c>
      <c r="K78" s="14">
        <f t="shared" si="125"/>
        <v>568</v>
      </c>
      <c r="L78" s="14">
        <f t="shared" si="125"/>
        <v>-757</v>
      </c>
      <c r="M78" s="14">
        <f t="shared" si="125"/>
        <v>360</v>
      </c>
      <c r="N78" s="14">
        <f t="shared" si="125"/>
        <v>-157</v>
      </c>
      <c r="O78" s="14">
        <f t="shared" si="125"/>
        <v>970</v>
      </c>
      <c r="P78" s="14">
        <f>P64+P68+P74+P76</f>
        <v>-1127</v>
      </c>
      <c r="Q78" s="15">
        <f>Q64+Q68+Q74+Q76</f>
        <v>189</v>
      </c>
      <c r="V78" s="14">
        <f t="shared" ref="V78:Y78" si="126">V64+V68+V74+V76</f>
        <v>0</v>
      </c>
      <c r="W78" s="14">
        <f t="shared" si="126"/>
        <v>0</v>
      </c>
      <c r="X78" s="14">
        <f t="shared" si="126"/>
        <v>0</v>
      </c>
      <c r="Y78" s="14">
        <f t="shared" si="126"/>
        <v>0</v>
      </c>
      <c r="Z78" s="14">
        <f>Z64+Z68+Z74+Z76</f>
        <v>662</v>
      </c>
      <c r="AA78" s="14">
        <f t="shared" ref="AA78" si="127">AA64+AA68+AA74+AA76</f>
        <v>416</v>
      </c>
    </row>
    <row r="79" spans="3:27" x14ac:dyDescent="0.25"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5"/>
      <c r="V79" s="14"/>
      <c r="W79" s="14"/>
      <c r="X79" s="14"/>
      <c r="Y79" s="14"/>
      <c r="Z79" s="14"/>
      <c r="AA79" s="14"/>
    </row>
    <row r="80" spans="3:27" x14ac:dyDescent="0.25">
      <c r="C80" s="2" t="s">
        <v>109</v>
      </c>
      <c r="D80" s="14">
        <f t="shared" ref="D80:O80" si="128">D64+D66</f>
        <v>-764</v>
      </c>
      <c r="E80" s="14">
        <f t="shared" si="128"/>
        <v>0</v>
      </c>
      <c r="F80" s="14">
        <f t="shared" si="128"/>
        <v>0</v>
      </c>
      <c r="G80" s="14">
        <f t="shared" si="128"/>
        <v>0</v>
      </c>
      <c r="H80" s="14">
        <f t="shared" si="128"/>
        <v>133</v>
      </c>
      <c r="I80" s="14">
        <f t="shared" si="128"/>
        <v>230</v>
      </c>
      <c r="J80" s="14">
        <f t="shared" si="128"/>
        <v>-343</v>
      </c>
      <c r="K80" s="14">
        <f t="shared" si="128"/>
        <v>1534</v>
      </c>
      <c r="L80" s="14">
        <f t="shared" si="128"/>
        <v>-985</v>
      </c>
      <c r="M80" s="14">
        <f t="shared" si="128"/>
        <v>553</v>
      </c>
      <c r="N80" s="14">
        <f t="shared" si="128"/>
        <v>22</v>
      </c>
      <c r="O80" s="14">
        <f t="shared" si="128"/>
        <v>2011</v>
      </c>
      <c r="P80" s="14">
        <f>P64+P66</f>
        <v>-985</v>
      </c>
      <c r="Q80" s="15">
        <f>Q64+Q66</f>
        <v>-219</v>
      </c>
      <c r="V80" s="14">
        <f t="shared" ref="V80:Y80" si="129">V64+V66</f>
        <v>0</v>
      </c>
      <c r="W80" s="14">
        <f t="shared" si="129"/>
        <v>0</v>
      </c>
      <c r="X80" s="14">
        <f t="shared" si="129"/>
        <v>0</v>
      </c>
      <c r="Y80" s="14">
        <f t="shared" si="129"/>
        <v>0</v>
      </c>
      <c r="Z80" s="14">
        <f t="shared" ref="Z80:AA80" si="130">Z64+Z66</f>
        <v>1554</v>
      </c>
      <c r="AA80" s="14">
        <f t="shared" si="130"/>
        <v>1601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2:V57"/>
  <sheetViews>
    <sheetView showGridLines="0" topLeftCell="B1" zoomScale="90" zoomScaleNormal="9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X13" sqref="X13"/>
    </sheetView>
  </sheetViews>
  <sheetFormatPr baseColWidth="10" defaultRowHeight="19" x14ac:dyDescent="0.25"/>
  <cols>
    <col min="1" max="1" width="5.5" style="2" customWidth="1"/>
    <col min="2" max="2" width="16.6640625" style="2" customWidth="1"/>
    <col min="3" max="11" width="10.83203125" style="2"/>
    <col min="12" max="12" width="11.1640625" style="2" bestFit="1" customWidth="1"/>
    <col min="13" max="18" width="10.83203125" style="2"/>
    <col min="19" max="19" width="11.1640625" style="2" bestFit="1" customWidth="1"/>
    <col min="20" max="16384" width="10.83203125" style="2"/>
  </cols>
  <sheetData>
    <row r="2" spans="2:22" x14ac:dyDescent="0.25">
      <c r="B2" s="2" t="s">
        <v>39</v>
      </c>
      <c r="C2" s="7" t="s">
        <v>3</v>
      </c>
      <c r="D2" s="7" t="s">
        <v>4</v>
      </c>
      <c r="E2" s="7" t="s">
        <v>5</v>
      </c>
      <c r="F2" s="7" t="s">
        <v>6</v>
      </c>
      <c r="G2" s="42">
        <v>2022</v>
      </c>
      <c r="H2" s="7" t="s">
        <v>7</v>
      </c>
      <c r="I2" s="7" t="s">
        <v>8</v>
      </c>
      <c r="J2" s="7" t="s">
        <v>9</v>
      </c>
      <c r="K2" s="7" t="s">
        <v>10</v>
      </c>
      <c r="L2" s="42">
        <v>2023</v>
      </c>
      <c r="M2" s="7" t="s">
        <v>11</v>
      </c>
      <c r="N2" s="7" t="s">
        <v>12</v>
      </c>
      <c r="O2" s="7" t="s">
        <v>13</v>
      </c>
      <c r="P2" s="7" t="s">
        <v>14</v>
      </c>
      <c r="Q2" s="42">
        <v>2024</v>
      </c>
      <c r="R2" s="7" t="s">
        <v>46</v>
      </c>
      <c r="S2" s="7" t="s">
        <v>40</v>
      </c>
      <c r="T2" s="7" t="s">
        <v>44</v>
      </c>
      <c r="U2" s="7" t="s">
        <v>45</v>
      </c>
      <c r="V2" s="43">
        <v>2025</v>
      </c>
    </row>
    <row r="3" spans="2:22" x14ac:dyDescent="0.25">
      <c r="B3" s="1" t="s">
        <v>115</v>
      </c>
      <c r="G3" s="43"/>
      <c r="L3" s="43"/>
      <c r="Q3" s="43"/>
      <c r="V3" s="43"/>
    </row>
    <row r="4" spans="2:22" x14ac:dyDescent="0.25">
      <c r="B4" s="2" t="s">
        <v>116</v>
      </c>
      <c r="C4" s="14">
        <v>1218</v>
      </c>
      <c r="D4" s="14">
        <v>1411</v>
      </c>
      <c r="E4" s="14">
        <v>1456</v>
      </c>
      <c r="F4" s="14">
        <v>1828</v>
      </c>
      <c r="G4" s="49">
        <f>SUM(C4:F4)</f>
        <v>5913</v>
      </c>
      <c r="H4" s="14">
        <v>1288</v>
      </c>
      <c r="I4" s="14">
        <v>1462</v>
      </c>
      <c r="J4" s="14">
        <v>2082</v>
      </c>
      <c r="K4" s="14">
        <v>1686</v>
      </c>
      <c r="L4" s="49">
        <f>SUM(H4:K4)</f>
        <v>6518</v>
      </c>
      <c r="M4" s="14">
        <v>1305</v>
      </c>
      <c r="N4" s="14">
        <v>1510</v>
      </c>
      <c r="O4" s="14">
        <v>1413</v>
      </c>
      <c r="P4" s="14">
        <v>2184</v>
      </c>
      <c r="Q4" s="49">
        <f>SUM(M4:P4)</f>
        <v>6412</v>
      </c>
      <c r="R4" s="14">
        <v>1454</v>
      </c>
      <c r="S4" s="14">
        <v>1503</v>
      </c>
      <c r="T4" s="14"/>
      <c r="U4" s="14"/>
      <c r="V4" s="49">
        <f>SUM(R4:U4)</f>
        <v>2957</v>
      </c>
    </row>
    <row r="5" spans="2:22" x14ac:dyDescent="0.25">
      <c r="B5" s="2" t="s">
        <v>117</v>
      </c>
      <c r="C5" s="14">
        <v>529</v>
      </c>
      <c r="D5" s="14">
        <v>516</v>
      </c>
      <c r="E5" s="14">
        <v>497</v>
      </c>
      <c r="F5" s="14">
        <v>598</v>
      </c>
      <c r="G5" s="49">
        <f>SUM(C5:F5)</f>
        <v>2140</v>
      </c>
      <c r="H5" s="14">
        <v>586</v>
      </c>
      <c r="I5" s="14">
        <v>573</v>
      </c>
      <c r="J5" s="14">
        <v>615</v>
      </c>
      <c r="K5" s="14">
        <v>610</v>
      </c>
      <c r="L5" s="49">
        <f>SUM(H5:K5)</f>
        <v>2384</v>
      </c>
      <c r="M5" s="14">
        <v>595</v>
      </c>
      <c r="N5" s="14">
        <v>605</v>
      </c>
      <c r="O5" s="14">
        <v>555</v>
      </c>
      <c r="P5" s="14">
        <v>634</v>
      </c>
      <c r="Q5" s="49">
        <f>SUM(M5:P5)</f>
        <v>2389</v>
      </c>
      <c r="R5" s="14">
        <v>646</v>
      </c>
      <c r="S5" s="14">
        <v>630</v>
      </c>
      <c r="T5" s="14"/>
      <c r="U5" s="14"/>
      <c r="V5" s="49">
        <f>SUM(R5:U5)</f>
        <v>1276</v>
      </c>
    </row>
    <row r="6" spans="2:22" x14ac:dyDescent="0.25">
      <c r="B6" s="1" t="s">
        <v>118</v>
      </c>
      <c r="C6" s="12">
        <f t="shared" ref="C6:R6" si="0">SUM(C4:C5)</f>
        <v>1747</v>
      </c>
      <c r="D6" s="12">
        <f t="shared" si="0"/>
        <v>1927</v>
      </c>
      <c r="E6" s="12">
        <f t="shared" si="0"/>
        <v>1953</v>
      </c>
      <c r="F6" s="12">
        <f t="shared" si="0"/>
        <v>2426</v>
      </c>
      <c r="G6" s="50">
        <f>SUM(G4:G5)</f>
        <v>8053</v>
      </c>
      <c r="H6" s="12">
        <f t="shared" si="0"/>
        <v>1874</v>
      </c>
      <c r="I6" s="12">
        <f t="shared" si="0"/>
        <v>2035</v>
      </c>
      <c r="J6" s="12">
        <f t="shared" si="0"/>
        <v>2697</v>
      </c>
      <c r="K6" s="12">
        <f t="shared" si="0"/>
        <v>2296</v>
      </c>
      <c r="L6" s="50">
        <f>SUM(L4:L5)</f>
        <v>8902</v>
      </c>
      <c r="M6" s="12">
        <f t="shared" si="0"/>
        <v>1900</v>
      </c>
      <c r="N6" s="12">
        <f t="shared" si="0"/>
        <v>2115</v>
      </c>
      <c r="O6" s="12">
        <f t="shared" si="0"/>
        <v>1968</v>
      </c>
      <c r="P6" s="12">
        <f t="shared" si="0"/>
        <v>2818</v>
      </c>
      <c r="Q6" s="50">
        <f>SUM(Q4:Q5)</f>
        <v>8801</v>
      </c>
      <c r="R6" s="12">
        <f t="shared" si="0"/>
        <v>2100</v>
      </c>
      <c r="S6" s="12">
        <f>SUM(S4:S5)</f>
        <v>2133</v>
      </c>
      <c r="T6" s="12">
        <f t="shared" ref="T6:U6" si="1">SUM(T4:T5)</f>
        <v>0</v>
      </c>
      <c r="U6" s="12">
        <f t="shared" si="1"/>
        <v>0</v>
      </c>
      <c r="V6" s="50">
        <f>SUM(V4:V5)</f>
        <v>4233</v>
      </c>
    </row>
    <row r="7" spans="2:22" x14ac:dyDescent="0.25">
      <c r="B7" s="11" t="s">
        <v>127</v>
      </c>
      <c r="C7" s="40"/>
      <c r="D7" s="40"/>
      <c r="E7" s="40"/>
      <c r="F7" s="40"/>
      <c r="G7" s="44"/>
      <c r="H7" s="40">
        <f t="shared" ref="H7:Q7" si="2">(H6-C6)/C6</f>
        <v>7.2696050372066404E-2</v>
      </c>
      <c r="I7" s="40">
        <f t="shared" si="2"/>
        <v>5.6045666839647117E-2</v>
      </c>
      <c r="J7" s="40">
        <f t="shared" si="2"/>
        <v>0.38095238095238093</v>
      </c>
      <c r="K7" s="40">
        <f t="shared" si="2"/>
        <v>-5.3586150041220117E-2</v>
      </c>
      <c r="L7" s="44">
        <f t="shared" si="2"/>
        <v>0.10542654911213213</v>
      </c>
      <c r="M7" s="40">
        <f t="shared" si="2"/>
        <v>1.3874066168623266E-2</v>
      </c>
      <c r="N7" s="40">
        <f t="shared" si="2"/>
        <v>3.9312039312039311E-2</v>
      </c>
      <c r="O7" s="40">
        <f t="shared" si="2"/>
        <v>-0.27030033370411566</v>
      </c>
      <c r="P7" s="40">
        <f t="shared" si="2"/>
        <v>0.22735191637630661</v>
      </c>
      <c r="Q7" s="44">
        <f t="shared" si="2"/>
        <v>-1.1345764996629971E-2</v>
      </c>
      <c r="R7" s="40">
        <f t="shared" ref="R7" si="3">(R6-M6)/M6</f>
        <v>0.10526315789473684</v>
      </c>
      <c r="S7" s="40">
        <f>(S6-N6)/N6</f>
        <v>8.5106382978723406E-3</v>
      </c>
      <c r="T7" s="40">
        <f>(T6-O6)/O6</f>
        <v>-1</v>
      </c>
      <c r="U7" s="40">
        <f>(U6-P6)/P6</f>
        <v>-1</v>
      </c>
      <c r="V7" s="44">
        <f>(V6-Q6)/Q6</f>
        <v>-0.51903192818997845</v>
      </c>
    </row>
    <row r="8" spans="2:22" x14ac:dyDescent="0.25">
      <c r="B8" s="2" t="s">
        <v>49</v>
      </c>
      <c r="C8" s="14">
        <v>603</v>
      </c>
      <c r="D8" s="14">
        <v>594</v>
      </c>
      <c r="E8" s="14">
        <v>573</v>
      </c>
      <c r="F8" s="14">
        <v>741</v>
      </c>
      <c r="G8" s="50">
        <f>SUM(C8:F8)</f>
        <v>2511</v>
      </c>
      <c r="H8" s="14">
        <v>666</v>
      </c>
      <c r="I8" s="14">
        <v>667</v>
      </c>
      <c r="J8" s="14">
        <v>615</v>
      </c>
      <c r="K8" s="14">
        <v>745</v>
      </c>
      <c r="L8" s="50">
        <f>SUM(H8:K8)</f>
        <v>2693</v>
      </c>
      <c r="M8" s="14">
        <v>684</v>
      </c>
      <c r="N8" s="14">
        <v>728</v>
      </c>
      <c r="O8" s="14">
        <v>633</v>
      </c>
      <c r="P8" s="14">
        <v>783</v>
      </c>
      <c r="Q8" s="50">
        <f>SUM(M8:P8)</f>
        <v>2828</v>
      </c>
      <c r="R8" s="14">
        <v>729</v>
      </c>
      <c r="S8" s="14">
        <v>738</v>
      </c>
      <c r="T8" s="14"/>
      <c r="U8" s="14"/>
      <c r="V8" s="50">
        <f>SUM(R8:U8)</f>
        <v>1467</v>
      </c>
    </row>
    <row r="9" spans="2:22" x14ac:dyDescent="0.25">
      <c r="B9" s="2" t="s">
        <v>119</v>
      </c>
      <c r="C9" s="27">
        <v>0.34499999999999997</v>
      </c>
      <c r="D9" s="27">
        <v>0.308</v>
      </c>
      <c r="E9" s="27">
        <v>0.29299999999999998</v>
      </c>
      <c r="F9" s="27">
        <v>0.30599999999999999</v>
      </c>
      <c r="G9" s="45">
        <f>G8/G6</f>
        <v>0.31180926362846145</v>
      </c>
      <c r="H9" s="27">
        <v>0.35499999999999998</v>
      </c>
      <c r="I9" s="27">
        <v>0.32800000000000001</v>
      </c>
      <c r="J9" s="27">
        <v>0.29499999999999998</v>
      </c>
      <c r="K9" s="27">
        <v>0.32400000000000001</v>
      </c>
      <c r="L9" s="45">
        <f>L8/L6</f>
        <v>0.30251628847450013</v>
      </c>
      <c r="M9" s="27">
        <v>0.36</v>
      </c>
      <c r="N9" s="27">
        <v>0.34399999999999997</v>
      </c>
      <c r="O9" s="27">
        <v>0.32100000000000001</v>
      </c>
      <c r="P9" s="27">
        <v>0.27800000000000002</v>
      </c>
      <c r="Q9" s="45">
        <f>Q8/Q6</f>
        <v>0.32132712191796386</v>
      </c>
      <c r="R9" s="27">
        <v>0.34699999999999998</v>
      </c>
      <c r="S9" s="27">
        <v>0.34599999999999997</v>
      </c>
      <c r="T9" s="27"/>
      <c r="U9" s="27"/>
      <c r="V9" s="45">
        <f>V8/V6</f>
        <v>0.34656272147413181</v>
      </c>
    </row>
    <row r="10" spans="2:22" x14ac:dyDescent="0.25">
      <c r="B10" s="2" t="s">
        <v>120</v>
      </c>
      <c r="C10" s="14">
        <v>558</v>
      </c>
      <c r="D10" s="14">
        <v>475</v>
      </c>
      <c r="E10" s="14">
        <v>485</v>
      </c>
      <c r="F10" s="14">
        <v>606</v>
      </c>
      <c r="G10" s="50">
        <f>SUM(C10:F10)</f>
        <v>2124</v>
      </c>
      <c r="H10" s="14">
        <v>611</v>
      </c>
      <c r="I10" s="14">
        <v>586</v>
      </c>
      <c r="J10" s="14">
        <v>526</v>
      </c>
      <c r="K10" s="14">
        <v>637</v>
      </c>
      <c r="L10" s="50">
        <f>SUM(H10:K10)</f>
        <v>2360</v>
      </c>
      <c r="M10" s="14">
        <v>624</v>
      </c>
      <c r="N10" s="14">
        <v>630</v>
      </c>
      <c r="O10" s="14">
        <v>519</v>
      </c>
      <c r="P10" s="14">
        <v>644</v>
      </c>
      <c r="Q10" s="50">
        <f>SUM(M10:P10)</f>
        <v>2417</v>
      </c>
      <c r="R10" s="14">
        <v>656</v>
      </c>
      <c r="S10" s="14">
        <v>630</v>
      </c>
      <c r="T10" s="14"/>
      <c r="U10" s="14"/>
      <c r="V10" s="50">
        <f>SUM(R10:U10)</f>
        <v>1286</v>
      </c>
    </row>
    <row r="11" spans="2:22" x14ac:dyDescent="0.25">
      <c r="B11" s="11" t="s">
        <v>122</v>
      </c>
      <c r="C11" s="11"/>
      <c r="D11" s="11"/>
      <c r="E11" s="11"/>
      <c r="F11" s="11"/>
      <c r="G11" s="46"/>
      <c r="H11" s="40">
        <f t="shared" ref="H11:Q11" si="4">(H10-C10)/C10</f>
        <v>9.4982078853046589E-2</v>
      </c>
      <c r="I11" s="40">
        <f t="shared" si="4"/>
        <v>0.2336842105263158</v>
      </c>
      <c r="J11" s="40">
        <f t="shared" si="4"/>
        <v>8.4536082474226809E-2</v>
      </c>
      <c r="K11" s="40">
        <f t="shared" si="4"/>
        <v>5.1155115511551157E-2</v>
      </c>
      <c r="L11" s="44">
        <f t="shared" si="4"/>
        <v>0.1111111111111111</v>
      </c>
      <c r="M11" s="40">
        <f t="shared" si="4"/>
        <v>2.1276595744680851E-2</v>
      </c>
      <c r="N11" s="40">
        <f t="shared" si="4"/>
        <v>7.5085324232081918E-2</v>
      </c>
      <c r="O11" s="40">
        <f t="shared" si="4"/>
        <v>-1.3307984790874524E-2</v>
      </c>
      <c r="P11" s="40">
        <f t="shared" si="4"/>
        <v>1.098901098901099E-2</v>
      </c>
      <c r="Q11" s="44">
        <f t="shared" si="4"/>
        <v>2.4152542372881357E-2</v>
      </c>
      <c r="R11" s="40">
        <f t="shared" ref="R11" si="5">(R10-M10)/M10</f>
        <v>5.128205128205128E-2</v>
      </c>
      <c r="S11" s="40">
        <f>(S10-N10)/N10</f>
        <v>0</v>
      </c>
      <c r="T11" s="40">
        <f>(T10-O10)/O10</f>
        <v>-1</v>
      </c>
      <c r="U11" s="40">
        <f>(U10-P10)/P10</f>
        <v>-1</v>
      </c>
      <c r="V11" s="44">
        <f>(V10-Q10)/Q10</f>
        <v>-0.46793545717832025</v>
      </c>
    </row>
    <row r="12" spans="2:22" x14ac:dyDescent="0.25">
      <c r="B12" s="2" t="s">
        <v>55</v>
      </c>
      <c r="C12" s="2">
        <v>45</v>
      </c>
      <c r="D12" s="2">
        <v>119</v>
      </c>
      <c r="E12" s="2">
        <v>88</v>
      </c>
      <c r="F12" s="2">
        <v>136</v>
      </c>
      <c r="G12" s="43">
        <f>SUM(C12:F12)</f>
        <v>388</v>
      </c>
      <c r="H12" s="2">
        <v>55</v>
      </c>
      <c r="I12" s="2">
        <v>81</v>
      </c>
      <c r="J12" s="2">
        <v>88</v>
      </c>
      <c r="K12" s="2">
        <v>108</v>
      </c>
      <c r="L12" s="43">
        <f>SUM(H12:K12)</f>
        <v>332</v>
      </c>
      <c r="M12" s="2">
        <v>60</v>
      </c>
      <c r="N12" s="2">
        <v>97</v>
      </c>
      <c r="O12" s="2">
        <v>114</v>
      </c>
      <c r="P12" s="2">
        <v>139</v>
      </c>
      <c r="Q12" s="43">
        <f>SUM(M12:P12)</f>
        <v>410</v>
      </c>
      <c r="R12" s="2">
        <v>73</v>
      </c>
      <c r="S12" s="2">
        <v>108</v>
      </c>
      <c r="V12" s="43">
        <f>SUM(R12:U12)</f>
        <v>181</v>
      </c>
    </row>
    <row r="13" spans="2:22" x14ac:dyDescent="0.25">
      <c r="B13" s="29" t="s">
        <v>121</v>
      </c>
      <c r="C13" s="34">
        <v>2.5999999999999999E-2</v>
      </c>
      <c r="D13" s="34">
        <v>6.2E-2</v>
      </c>
      <c r="E13" s="34">
        <v>4.4999999999999998E-2</v>
      </c>
      <c r="F13" s="34">
        <v>5.6000000000000001E-2</v>
      </c>
      <c r="G13" s="47">
        <f>G12/G6</f>
        <v>4.8180802185520927E-2</v>
      </c>
      <c r="H13" s="34">
        <v>2.9000000000000001E-2</v>
      </c>
      <c r="I13" s="34">
        <v>0.04</v>
      </c>
      <c r="J13" s="34">
        <v>4.2000000000000003E-2</v>
      </c>
      <c r="K13" s="34">
        <v>4.7E-2</v>
      </c>
      <c r="L13" s="47">
        <f>L12/L6</f>
        <v>3.7294989889912381E-2</v>
      </c>
      <c r="M13" s="34">
        <v>3.2000000000000001E-2</v>
      </c>
      <c r="N13" s="34">
        <v>4.5999999999999999E-2</v>
      </c>
      <c r="O13" s="34">
        <v>5.8000000000000003E-2</v>
      </c>
      <c r="P13" s="34">
        <v>4.9000000000000002E-2</v>
      </c>
      <c r="Q13" s="47">
        <f>Q12/Q6</f>
        <v>4.6585615270991934E-2</v>
      </c>
      <c r="R13" s="34">
        <v>3.5000000000000003E-2</v>
      </c>
      <c r="S13" s="34">
        <v>5.0999999999999997E-2</v>
      </c>
      <c r="T13" s="34"/>
      <c r="U13" s="34"/>
      <c r="V13" s="47">
        <f>V12/V6</f>
        <v>4.2759272383652257E-2</v>
      </c>
    </row>
    <row r="14" spans="2:22" x14ac:dyDescent="0.25">
      <c r="B14" s="1" t="s">
        <v>123</v>
      </c>
      <c r="G14" s="43"/>
      <c r="L14" s="43"/>
      <c r="Q14" s="43"/>
      <c r="V14" s="43"/>
    </row>
    <row r="15" spans="2:22" x14ac:dyDescent="0.25">
      <c r="B15" s="2" t="s">
        <v>116</v>
      </c>
      <c r="C15" s="14">
        <v>2054</v>
      </c>
      <c r="D15" s="14">
        <v>2334</v>
      </c>
      <c r="E15" s="14">
        <v>2645</v>
      </c>
      <c r="F15" s="14">
        <v>2974</v>
      </c>
      <c r="G15" s="49">
        <f>SUM(C15:F15)</f>
        <v>10007</v>
      </c>
      <c r="H15" s="14">
        <v>2391</v>
      </c>
      <c r="I15" s="14">
        <v>2568</v>
      </c>
      <c r="J15" s="14">
        <v>2072</v>
      </c>
      <c r="K15" s="14">
        <v>2352</v>
      </c>
      <c r="L15" s="49">
        <f>SUM(H15:K15)</f>
        <v>9383</v>
      </c>
      <c r="M15" s="14">
        <v>2008</v>
      </c>
      <c r="N15" s="14">
        <v>2222</v>
      </c>
      <c r="O15" s="14">
        <v>2211</v>
      </c>
      <c r="P15" s="14">
        <v>2647</v>
      </c>
      <c r="Q15" s="49">
        <f>SUM(M15:P15)</f>
        <v>9088</v>
      </c>
      <c r="R15" s="14">
        <v>2218</v>
      </c>
      <c r="S15" s="14">
        <v>2373</v>
      </c>
      <c r="T15" s="14"/>
      <c r="U15" s="14"/>
      <c r="V15" s="49">
        <f>SUM(R15:U15)</f>
        <v>4591</v>
      </c>
    </row>
    <row r="16" spans="2:22" x14ac:dyDescent="0.25">
      <c r="B16" s="2" t="s">
        <v>117</v>
      </c>
      <c r="C16" s="14">
        <v>765</v>
      </c>
      <c r="D16" s="14">
        <v>825</v>
      </c>
      <c r="E16" s="14">
        <v>764</v>
      </c>
      <c r="F16" s="14">
        <v>960</v>
      </c>
      <c r="G16" s="49">
        <f>SUM(C16:F16)</f>
        <v>3314</v>
      </c>
      <c r="H16" s="14">
        <v>843</v>
      </c>
      <c r="I16" s="14">
        <v>911</v>
      </c>
      <c r="J16" s="14">
        <v>765</v>
      </c>
      <c r="K16" s="14">
        <v>994</v>
      </c>
      <c r="L16" s="49">
        <f>SUM(H16:K16)</f>
        <v>3513</v>
      </c>
      <c r="M16" s="14">
        <v>867</v>
      </c>
      <c r="N16" s="14">
        <v>871</v>
      </c>
      <c r="O16" s="14">
        <v>738</v>
      </c>
      <c r="P16" s="14">
        <v>985</v>
      </c>
      <c r="Q16" s="49">
        <f>SUM(M16:P16)</f>
        <v>3461</v>
      </c>
      <c r="R16" s="14">
        <v>881</v>
      </c>
      <c r="S16" s="14">
        <v>945</v>
      </c>
      <c r="T16" s="14"/>
      <c r="U16" s="14"/>
      <c r="V16" s="49">
        <f>SUM(R16:U16)</f>
        <v>1826</v>
      </c>
    </row>
    <row r="17" spans="2:22" x14ac:dyDescent="0.25">
      <c r="B17" s="1" t="s">
        <v>118</v>
      </c>
      <c r="C17" s="12">
        <f t="shared" ref="C17:R17" si="6">SUM(C15:C16)</f>
        <v>2819</v>
      </c>
      <c r="D17" s="12">
        <f t="shared" si="6"/>
        <v>3159</v>
      </c>
      <c r="E17" s="12">
        <f t="shared" si="6"/>
        <v>3409</v>
      </c>
      <c r="F17" s="12">
        <f t="shared" si="6"/>
        <v>3934</v>
      </c>
      <c r="G17" s="50">
        <f>SUM(G15:G16)</f>
        <v>13321</v>
      </c>
      <c r="H17" s="12">
        <f t="shared" si="6"/>
        <v>3234</v>
      </c>
      <c r="I17" s="12">
        <f t="shared" si="6"/>
        <v>3479</v>
      </c>
      <c r="J17" s="12">
        <f t="shared" si="6"/>
        <v>2837</v>
      </c>
      <c r="K17" s="12">
        <f t="shared" si="6"/>
        <v>3346</v>
      </c>
      <c r="L17" s="50">
        <f>SUM(L15:L16)</f>
        <v>12896</v>
      </c>
      <c r="M17" s="12">
        <f t="shared" si="6"/>
        <v>2875</v>
      </c>
      <c r="N17" s="12">
        <f t="shared" si="6"/>
        <v>3093</v>
      </c>
      <c r="O17" s="12">
        <f t="shared" si="6"/>
        <v>2949</v>
      </c>
      <c r="P17" s="12">
        <f t="shared" si="6"/>
        <v>3632</v>
      </c>
      <c r="Q17" s="50">
        <f>SUM(Q15:Q16)</f>
        <v>12549</v>
      </c>
      <c r="R17" s="12">
        <f t="shared" si="6"/>
        <v>3099</v>
      </c>
      <c r="S17" s="12">
        <f>SUM(S15:S16)</f>
        <v>3318</v>
      </c>
      <c r="T17" s="12">
        <f t="shared" ref="T17:U17" si="7">SUM(T15:T16)</f>
        <v>0</v>
      </c>
      <c r="U17" s="12">
        <f t="shared" si="7"/>
        <v>0</v>
      </c>
      <c r="V17" s="50">
        <f>SUM(V15:V16)</f>
        <v>6417</v>
      </c>
    </row>
    <row r="18" spans="2:22" x14ac:dyDescent="0.25">
      <c r="B18" s="11" t="s">
        <v>127</v>
      </c>
      <c r="C18" s="1"/>
      <c r="E18" s="1"/>
      <c r="F18" s="1"/>
      <c r="G18" s="44"/>
      <c r="H18" s="40">
        <f>(H17-C17)/C17</f>
        <v>0.14721532458318554</v>
      </c>
      <c r="I18" s="40">
        <f>(I17-D17)/D17</f>
        <v>0.10129787907565685</v>
      </c>
      <c r="J18" s="40">
        <f>(J17-E17)/E17</f>
        <v>-0.16779114109709592</v>
      </c>
      <c r="K18" s="40">
        <f t="shared" ref="K18" si="8">(K17-F17)/F17</f>
        <v>-0.1494661921708185</v>
      </c>
      <c r="L18" s="44">
        <f>(L17-G17)/G17</f>
        <v>-3.1904511673297803E-2</v>
      </c>
      <c r="M18" s="40">
        <f t="shared" ref="M18" si="9">(M17-H17)/H17</f>
        <v>-0.11100803957946816</v>
      </c>
      <c r="N18" s="40">
        <f t="shared" ref="N18" si="10">(N17-I17)/I17</f>
        <v>-0.11095142282265019</v>
      </c>
      <c r="O18" s="40">
        <f t="shared" ref="O18" si="11">(O17-J17)/J17</f>
        <v>3.9478322171307721E-2</v>
      </c>
      <c r="P18" s="40">
        <f t="shared" ref="P18" si="12">(P17-K17)/K17</f>
        <v>8.5475194261805137E-2</v>
      </c>
      <c r="Q18" s="44">
        <f>(Q17-L17)/L17</f>
        <v>-2.69075682382134E-2</v>
      </c>
      <c r="R18" s="40">
        <f t="shared" ref="R18" si="13">(R17-M17)/M17</f>
        <v>7.7913043478260863E-2</v>
      </c>
      <c r="S18" s="40">
        <f>(S17-N17)/N17</f>
        <v>7.2744907856450047E-2</v>
      </c>
      <c r="T18" s="40">
        <f t="shared" ref="T18" si="14">(T17-O17)/O17</f>
        <v>-1</v>
      </c>
      <c r="U18" s="40">
        <f t="shared" ref="U18" si="15">(U17-P17)/P17</f>
        <v>-1</v>
      </c>
      <c r="V18" s="44">
        <f>(V17-Q17)/Q17</f>
        <v>-0.48864451350705235</v>
      </c>
    </row>
    <row r="19" spans="2:22" x14ac:dyDescent="0.25">
      <c r="B19" s="2" t="s">
        <v>49</v>
      </c>
      <c r="C19" s="14">
        <v>848</v>
      </c>
      <c r="D19" s="14">
        <v>886</v>
      </c>
      <c r="E19" s="14">
        <v>791</v>
      </c>
      <c r="F19" s="14">
        <v>989</v>
      </c>
      <c r="G19" s="50">
        <f>SUM(C19:F19)</f>
        <v>3514</v>
      </c>
      <c r="H19" s="14">
        <v>945</v>
      </c>
      <c r="I19" s="14">
        <v>986</v>
      </c>
      <c r="J19" s="14">
        <v>803</v>
      </c>
      <c r="K19" s="14">
        <v>984</v>
      </c>
      <c r="L19" s="50">
        <f>SUM(H19:K19)</f>
        <v>3718</v>
      </c>
      <c r="M19" s="14">
        <v>960</v>
      </c>
      <c r="N19" s="14">
        <v>945</v>
      </c>
      <c r="O19" s="14">
        <v>809</v>
      </c>
      <c r="P19" s="14">
        <v>979</v>
      </c>
      <c r="Q19" s="50">
        <f>SUM(M19:P19)</f>
        <v>3693</v>
      </c>
      <c r="R19" s="14">
        <v>959</v>
      </c>
      <c r="S19" s="14">
        <v>1003</v>
      </c>
      <c r="T19" s="14"/>
      <c r="U19" s="14"/>
      <c r="V19" s="50">
        <f>SUM(R19:U19)</f>
        <v>1962</v>
      </c>
    </row>
    <row r="20" spans="2:22" x14ac:dyDescent="0.25">
      <c r="B20" s="2" t="s">
        <v>119</v>
      </c>
      <c r="C20" s="27">
        <v>0.30099999999999999</v>
      </c>
      <c r="D20" s="27">
        <v>0.28000000000000003</v>
      </c>
      <c r="E20" s="27">
        <v>0.23200000000000001</v>
      </c>
      <c r="F20" s="27">
        <v>0.251</v>
      </c>
      <c r="G20" s="45">
        <f>G19/G17</f>
        <v>0.26379400945874937</v>
      </c>
      <c r="H20" s="27">
        <v>0.29199999999999998</v>
      </c>
      <c r="I20" s="27">
        <v>0.28299999999999997</v>
      </c>
      <c r="J20" s="27">
        <v>0.28299999999999997</v>
      </c>
      <c r="K20" s="27">
        <v>0.29399999999999998</v>
      </c>
      <c r="L20" s="45">
        <f>L19/L17</f>
        <v>0.28830645161290325</v>
      </c>
      <c r="M20" s="27">
        <v>0.33400000000000002</v>
      </c>
      <c r="N20" s="27">
        <v>0.30499999999999999</v>
      </c>
      <c r="O20" s="27">
        <v>0.27400000000000002</v>
      </c>
      <c r="P20" s="27">
        <v>0.26900000000000002</v>
      </c>
      <c r="Q20" s="45">
        <f>Q19/Q17</f>
        <v>0.29428639732249584</v>
      </c>
      <c r="R20" s="27">
        <v>0.309</v>
      </c>
      <c r="S20" s="27">
        <v>0.30199999999999999</v>
      </c>
      <c r="T20" s="27"/>
      <c r="U20" s="27"/>
      <c r="V20" s="45">
        <f>V19/V17</f>
        <v>0.30575035063113604</v>
      </c>
    </row>
    <row r="21" spans="2:22" x14ac:dyDescent="0.25">
      <c r="B21" s="2" t="s">
        <v>120</v>
      </c>
      <c r="C21" s="14">
        <v>697</v>
      </c>
      <c r="D21" s="14">
        <v>747</v>
      </c>
      <c r="E21" s="14">
        <v>651</v>
      </c>
      <c r="F21" s="14">
        <v>791</v>
      </c>
      <c r="G21" s="50">
        <f>SUM(C21:F21)</f>
        <v>2886</v>
      </c>
      <c r="H21" s="14">
        <v>772</v>
      </c>
      <c r="I21" s="14">
        <v>834</v>
      </c>
      <c r="J21" s="14">
        <v>650</v>
      </c>
      <c r="K21" s="14">
        <v>810</v>
      </c>
      <c r="L21" s="50">
        <f>SUM(H21:K21)</f>
        <v>3066</v>
      </c>
      <c r="M21" s="14">
        <v>778</v>
      </c>
      <c r="N21" s="14">
        <v>839</v>
      </c>
      <c r="O21" s="14">
        <v>679</v>
      </c>
      <c r="P21" s="14">
        <v>821</v>
      </c>
      <c r="Q21" s="50">
        <f>SUM(M21:P21)</f>
        <v>3117</v>
      </c>
      <c r="R21" s="14">
        <v>775</v>
      </c>
      <c r="S21" s="14">
        <v>878</v>
      </c>
      <c r="T21" s="14"/>
      <c r="U21" s="14"/>
      <c r="V21" s="50">
        <f>SUM(R21:U21)</f>
        <v>1653</v>
      </c>
    </row>
    <row r="22" spans="2:22" x14ac:dyDescent="0.25">
      <c r="B22" s="11" t="s">
        <v>122</v>
      </c>
      <c r="C22" s="11"/>
      <c r="D22" s="11"/>
      <c r="E22" s="11"/>
      <c r="F22" s="11"/>
      <c r="G22" s="46"/>
      <c r="H22" s="40">
        <f t="shared" ref="H22:Q22" si="16">(H21-C21)/C21</f>
        <v>0.10760401721664276</v>
      </c>
      <c r="I22" s="40">
        <f t="shared" si="16"/>
        <v>0.11646586345381527</v>
      </c>
      <c r="J22" s="40">
        <f t="shared" si="16"/>
        <v>-1.5360983102918587E-3</v>
      </c>
      <c r="K22" s="40">
        <f t="shared" si="16"/>
        <v>2.402022756005057E-2</v>
      </c>
      <c r="L22" s="44">
        <f t="shared" si="16"/>
        <v>6.2370062370062374E-2</v>
      </c>
      <c r="M22" s="40">
        <f t="shared" si="16"/>
        <v>7.7720207253886009E-3</v>
      </c>
      <c r="N22" s="40">
        <f t="shared" si="16"/>
        <v>5.9952038369304557E-3</v>
      </c>
      <c r="O22" s="40">
        <f t="shared" si="16"/>
        <v>4.4615384615384612E-2</v>
      </c>
      <c r="P22" s="40">
        <f t="shared" si="16"/>
        <v>1.3580246913580247E-2</v>
      </c>
      <c r="Q22" s="44">
        <f t="shared" si="16"/>
        <v>1.6634050880626222E-2</v>
      </c>
      <c r="R22" s="40">
        <f t="shared" ref="R22" si="17">(R21-M21)/M21</f>
        <v>-3.8560411311053984E-3</v>
      </c>
      <c r="S22" s="40">
        <f>(S21-N21)/N21</f>
        <v>4.6483909415971393E-2</v>
      </c>
      <c r="T22" s="40">
        <f>(T21-O21)/O21</f>
        <v>-1</v>
      </c>
      <c r="U22" s="40">
        <f>(U21-P21)/P21</f>
        <v>-1</v>
      </c>
      <c r="V22" s="44">
        <f>(V21-Q21)/Q21</f>
        <v>-0.46968238691049086</v>
      </c>
    </row>
    <row r="23" spans="2:22" x14ac:dyDescent="0.25">
      <c r="B23" s="2" t="s">
        <v>55</v>
      </c>
      <c r="C23" s="2">
        <v>151</v>
      </c>
      <c r="D23" s="2">
        <v>139</v>
      </c>
      <c r="E23" s="2">
        <v>140</v>
      </c>
      <c r="F23" s="2">
        <v>198</v>
      </c>
      <c r="G23" s="43">
        <f>SUM(C23:F23)</f>
        <v>628</v>
      </c>
      <c r="H23" s="2">
        <v>173</v>
      </c>
      <c r="I23" s="2">
        <v>152</v>
      </c>
      <c r="J23" s="2">
        <v>153</v>
      </c>
      <c r="K23" s="2">
        <v>174</v>
      </c>
      <c r="L23" s="43">
        <f>SUM(H23:K23)</f>
        <v>652</v>
      </c>
      <c r="M23" s="2">
        <v>182</v>
      </c>
      <c r="N23" s="2">
        <v>106</v>
      </c>
      <c r="O23" s="2">
        <v>130</v>
      </c>
      <c r="P23" s="2">
        <v>157</v>
      </c>
      <c r="Q23" s="43">
        <f>SUM(M23:P23)</f>
        <v>575</v>
      </c>
      <c r="R23" s="2">
        <v>184</v>
      </c>
      <c r="S23" s="2">
        <v>125</v>
      </c>
      <c r="V23" s="43">
        <f>SUM(R23:U23)</f>
        <v>309</v>
      </c>
    </row>
    <row r="24" spans="2:22" x14ac:dyDescent="0.25">
      <c r="B24" s="29" t="s">
        <v>121</v>
      </c>
      <c r="C24" s="34">
        <v>5.2999999999999999E-2</v>
      </c>
      <c r="D24" s="34">
        <v>4.3999999999999997E-2</v>
      </c>
      <c r="E24" s="34">
        <v>4.1000000000000002E-2</v>
      </c>
      <c r="F24" s="34">
        <v>0.05</v>
      </c>
      <c r="G24" s="47">
        <f>G23/G17</f>
        <v>4.7143607837249454E-2</v>
      </c>
      <c r="H24" s="34">
        <v>5.2999999999999999E-2</v>
      </c>
      <c r="I24" s="34">
        <v>4.3999999999999997E-2</v>
      </c>
      <c r="J24" s="34">
        <v>5.3999999999999999E-2</v>
      </c>
      <c r="K24" s="34">
        <f>K23/K17</f>
        <v>5.2002390914524806E-2</v>
      </c>
      <c r="L24" s="47">
        <f>L23/L17</f>
        <v>5.0558312655086847E-2</v>
      </c>
      <c r="M24" s="34">
        <v>6.3E-2</v>
      </c>
      <c r="N24" s="34">
        <v>3.4000000000000002E-2</v>
      </c>
      <c r="O24" s="34">
        <v>4.3999999999999997E-2</v>
      </c>
      <c r="P24" s="34">
        <f>P23/P17</f>
        <v>4.3226872246696038E-2</v>
      </c>
      <c r="Q24" s="47">
        <f>Q23/Q17</f>
        <v>4.5820384094350144E-2</v>
      </c>
      <c r="R24" s="34">
        <v>5.8999999999999997E-2</v>
      </c>
      <c r="S24" s="34">
        <v>3.7999999999999999E-2</v>
      </c>
      <c r="T24" s="34"/>
      <c r="U24" s="34"/>
      <c r="V24" s="47">
        <f>V23/V17</f>
        <v>4.8153342683496962E-2</v>
      </c>
    </row>
    <row r="25" spans="2:22" x14ac:dyDescent="0.25">
      <c r="B25" s="1" t="s">
        <v>124</v>
      </c>
      <c r="G25" s="43"/>
      <c r="L25" s="43"/>
      <c r="Q25" s="43"/>
      <c r="V25" s="43"/>
    </row>
    <row r="26" spans="2:22" x14ac:dyDescent="0.25">
      <c r="B26" s="2" t="s">
        <v>116</v>
      </c>
      <c r="C26" s="14">
        <v>882</v>
      </c>
      <c r="D26" s="14">
        <v>862</v>
      </c>
      <c r="E26" s="14">
        <v>930</v>
      </c>
      <c r="F26" s="14">
        <v>994</v>
      </c>
      <c r="G26" s="49">
        <f>SUM(C26:F26)</f>
        <v>3668</v>
      </c>
      <c r="H26" s="14">
        <v>1183</v>
      </c>
      <c r="I26" s="14">
        <v>828</v>
      </c>
      <c r="J26" s="14">
        <v>705</v>
      </c>
      <c r="K26" s="14">
        <v>994</v>
      </c>
      <c r="L26" s="49">
        <f>SUM(H26:K26)</f>
        <v>3710</v>
      </c>
      <c r="M26" s="14">
        <v>679</v>
      </c>
      <c r="N26" s="14">
        <v>763</v>
      </c>
      <c r="O26" s="14">
        <v>734</v>
      </c>
      <c r="P26" s="14">
        <v>1320</v>
      </c>
      <c r="Q26" s="49">
        <f>SUM(M26:P26)</f>
        <v>3496</v>
      </c>
      <c r="R26" s="14">
        <v>902</v>
      </c>
      <c r="S26" s="14">
        <v>908</v>
      </c>
      <c r="T26" s="14"/>
      <c r="U26" s="14"/>
      <c r="V26" s="49">
        <f>SUM(R26:U26)</f>
        <v>1810</v>
      </c>
    </row>
    <row r="27" spans="2:22" x14ac:dyDescent="0.25">
      <c r="B27" s="2" t="s">
        <v>117</v>
      </c>
      <c r="C27" s="14">
        <v>333</v>
      </c>
      <c r="D27" s="14">
        <v>356</v>
      </c>
      <c r="E27" s="14">
        <v>358</v>
      </c>
      <c r="F27" s="14">
        <v>433</v>
      </c>
      <c r="G27" s="49">
        <f>SUM(C27:F27)</f>
        <v>1480</v>
      </c>
      <c r="H27" s="14">
        <v>383</v>
      </c>
      <c r="I27" s="14">
        <v>390</v>
      </c>
      <c r="J27" s="14">
        <v>373</v>
      </c>
      <c r="K27" s="14">
        <v>433</v>
      </c>
      <c r="L27" s="49">
        <f>SUM(H27:K27)</f>
        <v>1579</v>
      </c>
      <c r="M27" s="14">
        <v>377</v>
      </c>
      <c r="N27" s="14">
        <v>408</v>
      </c>
      <c r="O27" s="14">
        <v>355</v>
      </c>
      <c r="P27" s="14">
        <v>404</v>
      </c>
      <c r="Q27" s="49">
        <f>SUM(M27:P27)</f>
        <v>1544</v>
      </c>
      <c r="R27" s="14">
        <v>378</v>
      </c>
      <c r="S27" s="14">
        <v>401</v>
      </c>
      <c r="T27" s="14"/>
      <c r="U27" s="14"/>
      <c r="V27" s="49">
        <f>SUM(R27:U27)</f>
        <v>779</v>
      </c>
    </row>
    <row r="28" spans="2:22" x14ac:dyDescent="0.25">
      <c r="B28" s="1" t="s">
        <v>118</v>
      </c>
      <c r="C28" s="12">
        <f t="shared" ref="C28" si="18">SUM(C26:C27)</f>
        <v>1215</v>
      </c>
      <c r="D28" s="12">
        <f t="shared" ref="D28:E28" si="19">SUM(D26:D27)</f>
        <v>1218</v>
      </c>
      <c r="E28" s="12">
        <f t="shared" si="19"/>
        <v>1288</v>
      </c>
      <c r="F28" s="12">
        <f t="shared" ref="F28" si="20">SUM(F26:F27)</f>
        <v>1427</v>
      </c>
      <c r="G28" s="50">
        <f>SUM(G26:G27)</f>
        <v>5148</v>
      </c>
      <c r="H28" s="12">
        <f t="shared" ref="H28" si="21">SUM(H26:H27)</f>
        <v>1566</v>
      </c>
      <c r="I28" s="12">
        <f t="shared" ref="I28" si="22">SUM(I26:I27)</f>
        <v>1218</v>
      </c>
      <c r="J28" s="12">
        <f t="shared" ref="J28" si="23">SUM(J26:J27)</f>
        <v>1078</v>
      </c>
      <c r="K28" s="12">
        <f t="shared" ref="K28" si="24">SUM(K26:K27)</f>
        <v>1427</v>
      </c>
      <c r="L28" s="50">
        <f>SUM(L26:L27)</f>
        <v>5289</v>
      </c>
      <c r="M28" s="12">
        <f t="shared" ref="M28" si="25">SUM(M26:M27)</f>
        <v>1056</v>
      </c>
      <c r="N28" s="12">
        <f t="shared" ref="N28" si="26">SUM(N26:N27)</f>
        <v>1171</v>
      </c>
      <c r="O28" s="12">
        <f t="shared" ref="O28" si="27">SUM(O26:O27)</f>
        <v>1089</v>
      </c>
      <c r="P28" s="12">
        <f t="shared" ref="P28" si="28">SUM(P26:P27)</f>
        <v>1724</v>
      </c>
      <c r="Q28" s="50">
        <f>SUM(Q26:Q27)</f>
        <v>5040</v>
      </c>
      <c r="R28" s="12">
        <f t="shared" ref="R28" si="29">SUM(R26:R27)</f>
        <v>1280</v>
      </c>
      <c r="S28" s="12">
        <f>SUM(S26:S27)</f>
        <v>1309</v>
      </c>
      <c r="T28" s="12">
        <f t="shared" ref="T28" si="30">SUM(T26:T27)</f>
        <v>0</v>
      </c>
      <c r="U28" s="12">
        <f t="shared" ref="U28" si="31">SUM(U26:U27)</f>
        <v>0</v>
      </c>
      <c r="V28" s="50">
        <f>SUM(V26:V27)</f>
        <v>2589</v>
      </c>
    </row>
    <row r="29" spans="2:22" x14ac:dyDescent="0.25">
      <c r="B29" s="11" t="s">
        <v>127</v>
      </c>
      <c r="C29" s="1"/>
      <c r="D29" s="1"/>
      <c r="E29" s="1"/>
      <c r="G29" s="44"/>
      <c r="H29" s="40">
        <f>(H28-C28)/C28</f>
        <v>0.28888888888888886</v>
      </c>
      <c r="I29" s="40">
        <f>(I28-D28)/D28</f>
        <v>0</v>
      </c>
      <c r="J29" s="40">
        <f>(J28-E28)/E28</f>
        <v>-0.16304347826086957</v>
      </c>
      <c r="K29" s="40">
        <f t="shared" ref="K29" si="32">(K28-F28)/F28</f>
        <v>0</v>
      </c>
      <c r="L29" s="44">
        <f>(L28-G28)/G28</f>
        <v>2.7389277389277388E-2</v>
      </c>
      <c r="M29" s="40">
        <f t="shared" ref="M29" si="33">(M28-H28)/H28</f>
        <v>-0.32567049808429116</v>
      </c>
      <c r="N29" s="40">
        <f t="shared" ref="N29" si="34">(N28-I28)/I28</f>
        <v>-3.858784893267652E-2</v>
      </c>
      <c r="O29" s="40">
        <f t="shared" ref="O29" si="35">(O28-J28)/J28</f>
        <v>1.020408163265306E-2</v>
      </c>
      <c r="P29" s="40">
        <f t="shared" ref="P29" si="36">(P28-K28)/K28</f>
        <v>0.20812894183601963</v>
      </c>
      <c r="Q29" s="44">
        <f>(Q28-L28)/L28</f>
        <v>-4.7078842881452074E-2</v>
      </c>
      <c r="R29" s="40">
        <f t="shared" ref="R29" si="37">(R28-M28)/M28</f>
        <v>0.21212121212121213</v>
      </c>
      <c r="S29" s="40">
        <f>(S28-N28)/N28</f>
        <v>0.11784799316823227</v>
      </c>
      <c r="T29" s="40">
        <f t="shared" ref="T29" si="38">(T28-O28)/O28</f>
        <v>-1</v>
      </c>
      <c r="U29" s="40">
        <f t="shared" ref="U29" si="39">(U28-P28)/P28</f>
        <v>-1</v>
      </c>
      <c r="V29" s="44">
        <f>(V28-Q28)/Q28</f>
        <v>-0.4863095238095238</v>
      </c>
    </row>
    <row r="30" spans="2:22" x14ac:dyDescent="0.25">
      <c r="B30" s="2" t="s">
        <v>49</v>
      </c>
      <c r="C30" s="14">
        <v>301</v>
      </c>
      <c r="D30" s="14">
        <v>323</v>
      </c>
      <c r="E30" s="14">
        <v>319</v>
      </c>
      <c r="F30" s="14">
        <v>375</v>
      </c>
      <c r="G30" s="50">
        <f>SUM(C30:F30)</f>
        <v>1318</v>
      </c>
      <c r="H30" s="14">
        <v>357</v>
      </c>
      <c r="I30" s="14">
        <v>355</v>
      </c>
      <c r="J30" s="14">
        <v>325</v>
      </c>
      <c r="K30" s="14">
        <v>375</v>
      </c>
      <c r="L30" s="50">
        <f>SUM(H30:K30)</f>
        <v>1412</v>
      </c>
      <c r="M30" s="14">
        <v>327</v>
      </c>
      <c r="N30" s="14">
        <v>348</v>
      </c>
      <c r="O30" s="14">
        <v>304</v>
      </c>
      <c r="P30" s="14">
        <v>374</v>
      </c>
      <c r="Q30" s="50">
        <f>SUM(M30:P30)</f>
        <v>1353</v>
      </c>
      <c r="R30" s="14">
        <v>332</v>
      </c>
      <c r="S30" s="14">
        <v>332</v>
      </c>
      <c r="T30" s="14"/>
      <c r="U30" s="14"/>
      <c r="V30" s="50">
        <f>SUM(R30:U30)</f>
        <v>664</v>
      </c>
    </row>
    <row r="31" spans="2:22" x14ac:dyDescent="0.25">
      <c r="B31" s="2" t="s">
        <v>119</v>
      </c>
      <c r="C31" s="27">
        <v>0.248</v>
      </c>
      <c r="D31" s="27">
        <v>0.26600000000000001</v>
      </c>
      <c r="E31" s="27">
        <v>0.247</v>
      </c>
      <c r="F31" s="27">
        <v>0.26300000000000001</v>
      </c>
      <c r="G31" s="45">
        <f>G30/G28</f>
        <v>0.25602175602175603</v>
      </c>
      <c r="H31" s="27">
        <v>0.22800000000000001</v>
      </c>
      <c r="I31" s="27">
        <v>0.29099999999999998</v>
      </c>
      <c r="J31" s="27">
        <v>0.30199999999999999</v>
      </c>
      <c r="K31" s="27">
        <v>0.26300000000000001</v>
      </c>
      <c r="L31" s="45">
        <f>L30/L28</f>
        <v>0.26696918131972019</v>
      </c>
      <c r="M31" s="27">
        <v>0.309</v>
      </c>
      <c r="N31" s="27">
        <v>0.29699999999999999</v>
      </c>
      <c r="O31" s="27">
        <v>0.28000000000000003</v>
      </c>
      <c r="P31" s="27">
        <v>0.217</v>
      </c>
      <c r="Q31" s="45">
        <f>Q30/Q28</f>
        <v>0.26845238095238094</v>
      </c>
      <c r="R31" s="27">
        <v>0.25900000000000001</v>
      </c>
      <c r="S31" s="27">
        <v>0.254</v>
      </c>
      <c r="T31" s="27"/>
      <c r="U31" s="27"/>
      <c r="V31" s="45">
        <f>V30/V28</f>
        <v>0.25646967941290072</v>
      </c>
    </row>
    <row r="32" spans="2:22" x14ac:dyDescent="0.25">
      <c r="B32" s="2" t="s">
        <v>120</v>
      </c>
      <c r="C32" s="14">
        <v>313</v>
      </c>
      <c r="D32" s="14">
        <v>321</v>
      </c>
      <c r="E32" s="14">
        <v>300</v>
      </c>
      <c r="F32" s="14">
        <v>335</v>
      </c>
      <c r="G32" s="50">
        <f>SUM(C32:F32)</f>
        <v>1269</v>
      </c>
      <c r="H32" s="14">
        <v>347</v>
      </c>
      <c r="I32" s="14">
        <v>338</v>
      </c>
      <c r="J32" s="14">
        <v>312</v>
      </c>
      <c r="K32" s="14">
        <v>335</v>
      </c>
      <c r="L32" s="50">
        <f>SUM(H32:K32)</f>
        <v>1332</v>
      </c>
      <c r="M32" s="14">
        <v>334</v>
      </c>
      <c r="N32" s="14">
        <v>339</v>
      </c>
      <c r="O32" s="14">
        <v>292</v>
      </c>
      <c r="P32" s="14">
        <v>340</v>
      </c>
      <c r="Q32" s="50">
        <f>SUM(M32:P32)</f>
        <v>1305</v>
      </c>
      <c r="R32" s="14">
        <v>332</v>
      </c>
      <c r="S32" s="14">
        <v>321</v>
      </c>
      <c r="T32" s="14"/>
      <c r="U32" s="14"/>
      <c r="V32" s="50">
        <f>SUM(R32:U32)</f>
        <v>653</v>
      </c>
    </row>
    <row r="33" spans="2:22" x14ac:dyDescent="0.25">
      <c r="B33" s="11" t="s">
        <v>122</v>
      </c>
      <c r="D33" s="11"/>
      <c r="E33" s="11"/>
      <c r="F33" s="11"/>
      <c r="G33" s="46"/>
      <c r="H33" s="40">
        <f>(H32-C32)/C32</f>
        <v>0.10862619808306709</v>
      </c>
      <c r="I33" s="40">
        <f>(I32-D32)/D32</f>
        <v>5.2959501557632398E-2</v>
      </c>
      <c r="J33" s="40">
        <f>(J32-E32)/E32</f>
        <v>0.04</v>
      </c>
      <c r="K33" s="40">
        <f t="shared" ref="K33" si="40">(K32-F32)/F32</f>
        <v>0</v>
      </c>
      <c r="L33" s="44">
        <f>(L32-G32)/G32</f>
        <v>4.9645390070921988E-2</v>
      </c>
      <c r="M33" s="40">
        <f t="shared" ref="M33" si="41">(M32-H32)/H32</f>
        <v>-3.7463976945244955E-2</v>
      </c>
      <c r="N33" s="40">
        <f t="shared" ref="N33" si="42">(N32-I32)/I32</f>
        <v>2.9585798816568047E-3</v>
      </c>
      <c r="O33" s="40">
        <f t="shared" ref="O33" si="43">(O32-J32)/J32</f>
        <v>-6.4102564102564097E-2</v>
      </c>
      <c r="P33" s="40">
        <f t="shared" ref="P33" si="44">(P32-K32)/K32</f>
        <v>1.4925373134328358E-2</v>
      </c>
      <c r="Q33" s="44">
        <f>(Q32-L32)/L32</f>
        <v>-2.0270270270270271E-2</v>
      </c>
      <c r="R33" s="40">
        <f t="shared" ref="R33" si="45">(R32-M32)/M32</f>
        <v>-5.9880239520958087E-3</v>
      </c>
      <c r="S33" s="40">
        <f>(S32-N32)/N32</f>
        <v>-5.3097345132743362E-2</v>
      </c>
      <c r="T33" s="40">
        <f t="shared" ref="T33" si="46">(T32-O32)/O32</f>
        <v>-1</v>
      </c>
      <c r="U33" s="40">
        <f t="shared" ref="U33" si="47">(U32-P32)/P32</f>
        <v>-1</v>
      </c>
      <c r="V33" s="44">
        <f>(V32-Q32)/Q32</f>
        <v>-0.49961685823754787</v>
      </c>
    </row>
    <row r="34" spans="2:22" x14ac:dyDescent="0.25">
      <c r="B34" s="2" t="s">
        <v>55</v>
      </c>
      <c r="C34" s="11">
        <v>-12</v>
      </c>
      <c r="D34" s="2">
        <v>2</v>
      </c>
      <c r="E34" s="2">
        <v>18</v>
      </c>
      <c r="F34" s="2">
        <v>40</v>
      </c>
      <c r="G34" s="43">
        <f>SUM(C34:F34)</f>
        <v>48</v>
      </c>
      <c r="H34" s="2">
        <v>10</v>
      </c>
      <c r="I34" s="2">
        <v>17</v>
      </c>
      <c r="J34" s="2">
        <v>13</v>
      </c>
      <c r="K34" s="2">
        <v>40</v>
      </c>
      <c r="L34" s="43">
        <f>SUM(H34:K34)</f>
        <v>80</v>
      </c>
      <c r="M34" s="2">
        <v>-7</v>
      </c>
      <c r="N34" s="2">
        <v>9</v>
      </c>
      <c r="O34" s="2">
        <v>12</v>
      </c>
      <c r="P34" s="2">
        <v>33</v>
      </c>
      <c r="Q34" s="43">
        <f>SUM(M34:P34)</f>
        <v>47</v>
      </c>
      <c r="R34" s="2">
        <v>0</v>
      </c>
      <c r="S34" s="2">
        <v>11</v>
      </c>
      <c r="V34" s="43">
        <f>SUM(R34:U34)</f>
        <v>11</v>
      </c>
    </row>
    <row r="35" spans="2:22" x14ac:dyDescent="0.25">
      <c r="B35" s="29" t="s">
        <v>121</v>
      </c>
      <c r="C35" s="34">
        <v>-8.9999999999999993E-3</v>
      </c>
      <c r="D35" s="34">
        <v>2E-3</v>
      </c>
      <c r="E35" s="34">
        <v>1.4E-2</v>
      </c>
      <c r="F35" s="34">
        <v>2.8000000000000001E-2</v>
      </c>
      <c r="G35" s="47">
        <f>G34/G28</f>
        <v>9.324009324009324E-3</v>
      </c>
      <c r="H35" s="34">
        <v>6.0000000000000001E-3</v>
      </c>
      <c r="I35" s="34">
        <v>1.4E-2</v>
      </c>
      <c r="J35" s="34">
        <v>1.2E-2</v>
      </c>
      <c r="K35" s="34">
        <v>2.8000000000000001E-2</v>
      </c>
      <c r="L35" s="47">
        <f>L34/L28</f>
        <v>1.5125732652675365E-2</v>
      </c>
      <c r="M35" s="34">
        <v>-7.0000000000000001E-3</v>
      </c>
      <c r="N35" s="34">
        <v>8.0000000000000002E-3</v>
      </c>
      <c r="O35" s="34">
        <v>1.0999999999999999E-2</v>
      </c>
      <c r="P35" s="34">
        <v>1.9E-2</v>
      </c>
      <c r="Q35" s="47">
        <f>Q34/Q28</f>
        <v>9.3253968253968252E-3</v>
      </c>
      <c r="R35" s="34">
        <v>0</v>
      </c>
      <c r="S35" s="34">
        <v>8.0000000000000002E-3</v>
      </c>
      <c r="T35" s="34"/>
      <c r="U35" s="34"/>
      <c r="V35" s="47">
        <f>V34/V28</f>
        <v>4.248744689069139E-3</v>
      </c>
    </row>
    <row r="36" spans="2:22" x14ac:dyDescent="0.25">
      <c r="B36" s="35" t="s">
        <v>125</v>
      </c>
      <c r="C36" s="36"/>
      <c r="D36" s="36"/>
      <c r="E36" s="36"/>
      <c r="F36" s="36"/>
      <c r="G36" s="48"/>
      <c r="H36" s="36"/>
      <c r="I36" s="36"/>
      <c r="K36" s="36"/>
      <c r="L36" s="48"/>
      <c r="M36" s="36"/>
      <c r="N36" s="36"/>
      <c r="O36" s="36"/>
      <c r="P36" s="36"/>
      <c r="Q36" s="48"/>
      <c r="R36" s="36"/>
      <c r="S36" s="36"/>
      <c r="T36" s="36"/>
      <c r="U36" s="36"/>
      <c r="V36" s="43"/>
    </row>
    <row r="37" spans="2:22" x14ac:dyDescent="0.25">
      <c r="B37" s="36" t="s">
        <v>116</v>
      </c>
      <c r="C37" s="26">
        <v>52</v>
      </c>
      <c r="D37" s="26">
        <v>58.4</v>
      </c>
      <c r="E37" s="26">
        <v>72.2</v>
      </c>
      <c r="F37" s="26">
        <v>67.599999999999994</v>
      </c>
      <c r="G37" s="49">
        <f>SUM(C37:F37)</f>
        <v>250.20000000000002</v>
      </c>
      <c r="H37" s="26">
        <v>76.900000000000006</v>
      </c>
      <c r="I37" s="26">
        <v>75.8</v>
      </c>
      <c r="J37" s="26">
        <v>63.6</v>
      </c>
      <c r="K37" s="26">
        <v>67.599999999999994</v>
      </c>
      <c r="L37" s="49">
        <f>SUM(H37:K37)</f>
        <v>283.89999999999998</v>
      </c>
      <c r="M37" s="26">
        <v>63.2</v>
      </c>
      <c r="N37" s="26">
        <v>72.3</v>
      </c>
      <c r="O37" s="26">
        <v>59.2</v>
      </c>
      <c r="P37" s="26">
        <v>63.8</v>
      </c>
      <c r="Q37" s="49">
        <f>SUM(M37:P37)</f>
        <v>258.5</v>
      </c>
      <c r="R37" s="26">
        <v>60.9</v>
      </c>
      <c r="S37" s="26">
        <v>70.5</v>
      </c>
      <c r="T37" s="26"/>
      <c r="U37" s="26"/>
      <c r="V37" s="49">
        <f>SUM(R37:U37)</f>
        <v>131.4</v>
      </c>
    </row>
    <row r="38" spans="2:22" x14ac:dyDescent="0.25">
      <c r="B38" s="36" t="s">
        <v>117</v>
      </c>
      <c r="C38" s="26">
        <v>8.6999999999999993</v>
      </c>
      <c r="D38" s="26">
        <v>10.8</v>
      </c>
      <c r="E38" s="26">
        <v>9.6</v>
      </c>
      <c r="F38" s="26">
        <v>13.5</v>
      </c>
      <c r="G38" s="49">
        <f>SUM(C38:F38)</f>
        <v>42.6</v>
      </c>
      <c r="H38" s="26">
        <v>11.6</v>
      </c>
      <c r="I38" s="26">
        <v>11.6</v>
      </c>
      <c r="J38" s="26">
        <v>11.1</v>
      </c>
      <c r="K38" s="26">
        <v>13.5</v>
      </c>
      <c r="L38" s="49">
        <f>SUM(H38:K38)</f>
        <v>47.8</v>
      </c>
      <c r="M38" s="26">
        <v>11.9</v>
      </c>
      <c r="N38" s="26">
        <v>12.5</v>
      </c>
      <c r="O38" s="26">
        <v>12</v>
      </c>
      <c r="P38" s="26">
        <v>13.3</v>
      </c>
      <c r="Q38" s="49">
        <f>SUM(M38:P38)</f>
        <v>49.7</v>
      </c>
      <c r="R38" s="26">
        <v>12.1</v>
      </c>
      <c r="S38" s="26">
        <v>11.7</v>
      </c>
      <c r="T38" s="26"/>
      <c r="U38" s="26"/>
      <c r="V38" s="49">
        <f>SUM(R38:U38)</f>
        <v>23.799999999999997</v>
      </c>
    </row>
    <row r="39" spans="2:22" x14ac:dyDescent="0.25">
      <c r="B39" s="35" t="s">
        <v>118</v>
      </c>
      <c r="C39" s="12">
        <f t="shared" ref="C39:D39" si="48">SUM(C37:C38)</f>
        <v>60.7</v>
      </c>
      <c r="D39" s="12">
        <f t="shared" si="48"/>
        <v>69.2</v>
      </c>
      <c r="E39" s="12">
        <f t="shared" ref="E39" si="49">SUM(E37:E38)</f>
        <v>81.8</v>
      </c>
      <c r="F39" s="12">
        <f t="shared" ref="F39" si="50">SUM(F37:F38)</f>
        <v>81.099999999999994</v>
      </c>
      <c r="G39" s="50">
        <f>SUM(G37:G38)</f>
        <v>292.8</v>
      </c>
      <c r="H39" s="12">
        <f t="shared" ref="H39" si="51">SUM(H37:H38)</f>
        <v>88.5</v>
      </c>
      <c r="I39" s="12">
        <f t="shared" ref="I39" si="52">SUM(I37:I38)</f>
        <v>87.399999999999991</v>
      </c>
      <c r="J39" s="12">
        <f t="shared" ref="J39" si="53">SUM(J37:J38)</f>
        <v>74.7</v>
      </c>
      <c r="K39" s="12">
        <f t="shared" ref="K39" si="54">SUM(K37:K38)</f>
        <v>81.099999999999994</v>
      </c>
      <c r="L39" s="50">
        <f>SUM(L37:L38)</f>
        <v>331.7</v>
      </c>
      <c r="M39" s="12">
        <f t="shared" ref="M39" si="55">SUM(M37:M38)</f>
        <v>75.100000000000009</v>
      </c>
      <c r="N39" s="12">
        <f t="shared" ref="N39" si="56">SUM(N37:N38)</f>
        <v>84.8</v>
      </c>
      <c r="O39" s="12">
        <f>SUM(O37:O38)</f>
        <v>71.2</v>
      </c>
      <c r="P39" s="12">
        <f t="shared" ref="P39" si="57">SUM(P37:P38)</f>
        <v>77.099999999999994</v>
      </c>
      <c r="Q39" s="50">
        <f>SUM(Q37:Q38)</f>
        <v>308.2</v>
      </c>
      <c r="R39" s="12">
        <f t="shared" ref="R39" si="58">SUM(R37:R38)</f>
        <v>73</v>
      </c>
      <c r="S39" s="12">
        <f>SUM(S37:S38)</f>
        <v>82.2</v>
      </c>
      <c r="T39" s="12">
        <f t="shared" ref="T39" si="59">SUM(T37:T38)</f>
        <v>0</v>
      </c>
      <c r="U39" s="12">
        <f t="shared" ref="U39" si="60">SUM(U37:U38)</f>
        <v>0</v>
      </c>
      <c r="V39" s="50">
        <f>SUM(V37:V38)</f>
        <v>155.19999999999999</v>
      </c>
    </row>
    <row r="40" spans="2:22" x14ac:dyDescent="0.25">
      <c r="B40" s="11" t="s">
        <v>127</v>
      </c>
      <c r="C40" s="1"/>
      <c r="D40" s="1"/>
      <c r="E40" s="1"/>
      <c r="F40" s="1"/>
      <c r="G40" s="44"/>
      <c r="H40" s="40">
        <f>(H39-C39)/C39</f>
        <v>0.457990115321252</v>
      </c>
      <c r="I40" s="40">
        <f>(I39-D39)/D39</f>
        <v>0.26300578034682065</v>
      </c>
      <c r="J40" s="40">
        <f>(J39-E39)/E39</f>
        <v>-8.6797066014669855E-2</v>
      </c>
      <c r="K40" s="40">
        <f t="shared" ref="K40" si="61">(K39-F39)/F39</f>
        <v>0</v>
      </c>
      <c r="L40" s="44">
        <f>(L39-G39)/G39</f>
        <v>0.13285519125683051</v>
      </c>
      <c r="M40" s="40">
        <f t="shared" ref="M40" si="62">(M39-H39)/H39</f>
        <v>-0.15141242937853097</v>
      </c>
      <c r="N40" s="40">
        <f t="shared" ref="N40" si="63">(N39-I39)/I39</f>
        <v>-2.9748283752860351E-2</v>
      </c>
      <c r="O40" s="40">
        <f t="shared" ref="O40" si="64">(O39-J39)/J39</f>
        <v>-4.6854082998661312E-2</v>
      </c>
      <c r="P40" s="40">
        <f t="shared" ref="P40" si="65">(P39-K39)/K39</f>
        <v>-4.9321824907521579E-2</v>
      </c>
      <c r="Q40" s="44">
        <f>(Q39-L39)/L39</f>
        <v>-7.0847151040096479E-2</v>
      </c>
      <c r="R40" s="40">
        <f t="shared" ref="R40" si="66">(R39-M39)/M39</f>
        <v>-2.7962716378162559E-2</v>
      </c>
      <c r="S40" s="40">
        <f>(S39-N39)/N39</f>
        <v>-3.06603773584905E-2</v>
      </c>
      <c r="T40" s="40">
        <f t="shared" ref="T40" si="67">(T39-O39)/O39</f>
        <v>-1</v>
      </c>
      <c r="U40" s="40">
        <f t="shared" ref="U40" si="68">(U39-P39)/P39</f>
        <v>-1</v>
      </c>
      <c r="V40" s="44">
        <f>(V39-Q39)/Q39</f>
        <v>-0.4964308890330954</v>
      </c>
    </row>
    <row r="41" spans="2:22" x14ac:dyDescent="0.25">
      <c r="B41" s="36" t="s">
        <v>49</v>
      </c>
      <c r="C41" s="51">
        <v>13.3</v>
      </c>
      <c r="D41" s="51">
        <v>15.3</v>
      </c>
      <c r="E41" s="51">
        <v>14.3</v>
      </c>
      <c r="F41" s="51">
        <v>18</v>
      </c>
      <c r="G41" s="52">
        <f>SUM(C41:F41)</f>
        <v>60.900000000000006</v>
      </c>
      <c r="H41" s="51">
        <v>16.8</v>
      </c>
      <c r="I41" s="51">
        <v>17.8</v>
      </c>
      <c r="J41" s="51">
        <v>15.9</v>
      </c>
      <c r="K41" s="51">
        <v>18</v>
      </c>
      <c r="L41" s="52">
        <f>SUM(H41:K41)</f>
        <v>68.5</v>
      </c>
      <c r="M41" s="51">
        <v>16.3</v>
      </c>
      <c r="N41" s="51">
        <v>17.2</v>
      </c>
      <c r="O41" s="51">
        <v>14.5</v>
      </c>
      <c r="P41" s="51">
        <v>16.899999999999999</v>
      </c>
      <c r="Q41" s="52">
        <f>SUM(M41:P41)</f>
        <v>64.900000000000006</v>
      </c>
      <c r="R41" s="51">
        <v>17.100000000000001</v>
      </c>
      <c r="S41" s="51">
        <v>17</v>
      </c>
      <c r="T41" s="51"/>
      <c r="U41" s="51"/>
      <c r="V41" s="52">
        <f>SUM(R41:U41)</f>
        <v>34.1</v>
      </c>
    </row>
    <row r="42" spans="2:22" x14ac:dyDescent="0.25">
      <c r="B42" s="36" t="s">
        <v>119</v>
      </c>
      <c r="C42" s="37">
        <v>0.219</v>
      </c>
      <c r="D42" s="37">
        <v>0.222</v>
      </c>
      <c r="E42" s="37">
        <v>0.17399999999999999</v>
      </c>
      <c r="F42" s="37">
        <v>0.222</v>
      </c>
      <c r="G42" s="45">
        <f>G41/G39</f>
        <v>0.20799180327868855</v>
      </c>
      <c r="H42" s="37">
        <v>0.19</v>
      </c>
      <c r="I42" s="37">
        <v>0.20399999999999999</v>
      </c>
      <c r="J42" s="37">
        <v>0.214</v>
      </c>
      <c r="K42" s="37">
        <v>0.222</v>
      </c>
      <c r="L42" s="45">
        <f>L41/L39</f>
        <v>0.20651190835091951</v>
      </c>
      <c r="M42" s="37">
        <v>0.218</v>
      </c>
      <c r="N42" s="37">
        <v>0.20300000000000001</v>
      </c>
      <c r="O42" s="37">
        <v>0.20399999999999999</v>
      </c>
      <c r="P42" s="37">
        <v>0.219</v>
      </c>
      <c r="Q42" s="45">
        <f>Q41/Q39</f>
        <v>0.21057754704737186</v>
      </c>
      <c r="R42" s="37">
        <v>0.23400000000000001</v>
      </c>
      <c r="S42" s="37">
        <v>0.20699999999999999</v>
      </c>
      <c r="T42" s="37"/>
      <c r="U42" s="37"/>
      <c r="V42" s="45">
        <f>V41/V39</f>
        <v>0.21971649484536085</v>
      </c>
    </row>
    <row r="43" spans="2:22" x14ac:dyDescent="0.25">
      <c r="B43" s="36" t="s">
        <v>120</v>
      </c>
      <c r="C43" s="51">
        <v>11.8</v>
      </c>
      <c r="D43" s="51">
        <v>13</v>
      </c>
      <c r="E43" s="51">
        <v>11.8</v>
      </c>
      <c r="F43" s="51">
        <v>14.5</v>
      </c>
      <c r="G43" s="52">
        <f>SUM(C43:F43)</f>
        <v>51.1</v>
      </c>
      <c r="H43" s="51">
        <v>14.7</v>
      </c>
      <c r="I43" s="51">
        <v>14</v>
      </c>
      <c r="J43" s="51">
        <v>13.1</v>
      </c>
      <c r="K43" s="51">
        <v>14.5</v>
      </c>
      <c r="L43" s="52">
        <f>SUM(H43:K43)</f>
        <v>56.3</v>
      </c>
      <c r="M43" s="51">
        <v>14.4</v>
      </c>
      <c r="N43" s="51">
        <v>13.8</v>
      </c>
      <c r="O43" s="51">
        <v>12.7</v>
      </c>
      <c r="P43" s="51">
        <v>14</v>
      </c>
      <c r="Q43" s="52">
        <f>SUM(M43:P43)</f>
        <v>54.900000000000006</v>
      </c>
      <c r="R43" s="51">
        <v>15.1</v>
      </c>
      <c r="S43" s="51">
        <v>14.4</v>
      </c>
      <c r="T43" s="51"/>
      <c r="U43" s="51"/>
      <c r="V43" s="52">
        <f>SUM(R43:U43)</f>
        <v>29.5</v>
      </c>
    </row>
    <row r="44" spans="2:22" x14ac:dyDescent="0.25">
      <c r="B44" s="41" t="s">
        <v>122</v>
      </c>
      <c r="C44" s="41"/>
      <c r="D44" s="41"/>
      <c r="E44" s="41"/>
      <c r="F44" s="41"/>
      <c r="G44" s="46"/>
      <c r="H44" s="40">
        <f t="shared" ref="H44:V44" si="69">(H43-C43)/C43</f>
        <v>0.24576271186440665</v>
      </c>
      <c r="I44" s="40">
        <f t="shared" si="69"/>
        <v>7.6923076923076927E-2</v>
      </c>
      <c r="J44" s="40">
        <f t="shared" si="69"/>
        <v>0.11016949152542363</v>
      </c>
      <c r="K44" s="40">
        <f t="shared" si="69"/>
        <v>0</v>
      </c>
      <c r="L44" s="44">
        <f t="shared" si="69"/>
        <v>0.10176125244618386</v>
      </c>
      <c r="M44" s="40">
        <f t="shared" si="69"/>
        <v>-2.0408163265306051E-2</v>
      </c>
      <c r="N44" s="40">
        <f t="shared" si="69"/>
        <v>-1.4285714285714235E-2</v>
      </c>
      <c r="O44" s="40">
        <f t="shared" si="69"/>
        <v>-3.0534351145038195E-2</v>
      </c>
      <c r="P44" s="40">
        <f t="shared" si="69"/>
        <v>-3.4482758620689655E-2</v>
      </c>
      <c r="Q44" s="44">
        <f t="shared" si="69"/>
        <v>-2.4866785079928802E-2</v>
      </c>
      <c r="R44" s="40">
        <f t="shared" si="69"/>
        <v>4.8611111111111063E-2</v>
      </c>
      <c r="S44" s="40">
        <f t="shared" si="69"/>
        <v>4.3478260869565188E-2</v>
      </c>
      <c r="T44" s="40">
        <f t="shared" si="69"/>
        <v>-1</v>
      </c>
      <c r="U44" s="40">
        <f t="shared" si="69"/>
        <v>-1</v>
      </c>
      <c r="V44" s="44">
        <f t="shared" si="69"/>
        <v>-0.46265938069216761</v>
      </c>
    </row>
    <row r="45" spans="2:22" x14ac:dyDescent="0.25">
      <c r="B45" s="36" t="s">
        <v>55</v>
      </c>
      <c r="C45" s="51">
        <v>1.5</v>
      </c>
      <c r="D45" s="51">
        <v>2.4</v>
      </c>
      <c r="E45" s="51">
        <v>2.5</v>
      </c>
      <c r="F45" s="51">
        <v>3.5</v>
      </c>
      <c r="G45" s="52">
        <f>SUM(C45:F45)</f>
        <v>9.9</v>
      </c>
      <c r="H45" s="51">
        <v>2.2000000000000002</v>
      </c>
      <c r="I45" s="51">
        <v>3.8</v>
      </c>
      <c r="J45" s="51">
        <v>2.9</v>
      </c>
      <c r="K45" s="51">
        <v>3.5</v>
      </c>
      <c r="L45" s="52">
        <f>SUM(H45:K45)</f>
        <v>12.4</v>
      </c>
      <c r="M45" s="51">
        <v>2</v>
      </c>
      <c r="N45" s="51">
        <v>3.4</v>
      </c>
      <c r="O45" s="51">
        <v>1.8</v>
      </c>
      <c r="P45" s="51">
        <v>2.9</v>
      </c>
      <c r="Q45" s="52">
        <f>SUM(M45:P45)</f>
        <v>10.1</v>
      </c>
      <c r="R45" s="51">
        <v>2</v>
      </c>
      <c r="S45" s="51">
        <v>2.6</v>
      </c>
      <c r="T45" s="51"/>
      <c r="U45" s="51"/>
      <c r="V45" s="52">
        <f>SUM(R45:U45)</f>
        <v>4.5999999999999996</v>
      </c>
    </row>
    <row r="46" spans="2:22" x14ac:dyDescent="0.25">
      <c r="B46" s="38" t="s">
        <v>121</v>
      </c>
      <c r="C46" s="39">
        <v>2.4E-2</v>
      </c>
      <c r="D46" s="39">
        <v>3.4000000000000002E-2</v>
      </c>
      <c r="E46" s="39">
        <v>0.03</v>
      </c>
      <c r="F46" s="39">
        <v>4.2999999999999997E-2</v>
      </c>
      <c r="G46" s="47">
        <f>G45/G39</f>
        <v>3.3811475409836068E-2</v>
      </c>
      <c r="H46" s="39">
        <v>2.5000000000000001E-2</v>
      </c>
      <c r="I46" s="39">
        <v>4.2999999999999997E-2</v>
      </c>
      <c r="J46" s="39">
        <v>3.7999999999999999E-2</v>
      </c>
      <c r="K46" s="39">
        <v>4.2999999999999997E-2</v>
      </c>
      <c r="L46" s="47">
        <f>L45/L39</f>
        <v>3.7383177570093462E-2</v>
      </c>
      <c r="M46" s="39">
        <v>2.5999999999999999E-2</v>
      </c>
      <c r="N46" s="39">
        <v>0.04</v>
      </c>
      <c r="O46" s="39">
        <v>2.5000000000000001E-2</v>
      </c>
      <c r="P46" s="39">
        <v>3.7999999999999999E-2</v>
      </c>
      <c r="Q46" s="47">
        <f>Q45/Q39</f>
        <v>3.2770927968851393E-2</v>
      </c>
      <c r="R46" s="39">
        <v>2.7E-2</v>
      </c>
      <c r="S46" s="39">
        <v>3.1E-2</v>
      </c>
      <c r="T46" s="39"/>
      <c r="U46" s="39"/>
      <c r="V46" s="47">
        <f>V45/V39</f>
        <v>2.9639175257731958E-2</v>
      </c>
    </row>
    <row r="47" spans="2:22" x14ac:dyDescent="0.25">
      <c r="B47" s="35" t="s">
        <v>126</v>
      </c>
      <c r="C47" s="36"/>
      <c r="D47" s="36"/>
      <c r="E47" s="36"/>
      <c r="F47" s="36"/>
      <c r="G47" s="48"/>
      <c r="H47" s="36"/>
      <c r="I47" s="36"/>
      <c r="J47" s="36"/>
      <c r="K47" s="36"/>
      <c r="L47" s="48"/>
      <c r="M47" s="36"/>
      <c r="N47" s="36"/>
      <c r="O47" s="36"/>
      <c r="P47" s="36"/>
      <c r="Q47" s="48"/>
      <c r="R47" s="36"/>
      <c r="S47" s="36"/>
      <c r="T47" s="36"/>
      <c r="U47" s="36"/>
      <c r="V47" s="43"/>
    </row>
    <row r="48" spans="2:22" x14ac:dyDescent="0.25">
      <c r="B48" s="36" t="s">
        <v>116</v>
      </c>
      <c r="C48" s="51">
        <v>19.3</v>
      </c>
      <c r="D48" s="51">
        <v>21.2</v>
      </c>
      <c r="E48" s="51">
        <v>22.7</v>
      </c>
      <c r="F48" s="51">
        <v>33.799999999999997</v>
      </c>
      <c r="G48" s="53">
        <f>SUM(C48:F48)</f>
        <v>97</v>
      </c>
      <c r="H48" s="51">
        <v>20.3</v>
      </c>
      <c r="I48" s="51">
        <v>18.8</v>
      </c>
      <c r="J48" s="51">
        <v>24.4</v>
      </c>
      <c r="K48" s="51">
        <v>32.4</v>
      </c>
      <c r="L48" s="53">
        <f>SUM(H48:K48)</f>
        <v>95.9</v>
      </c>
      <c r="M48" s="51">
        <v>17.399999999999999</v>
      </c>
      <c r="N48" s="51">
        <v>23.5</v>
      </c>
      <c r="O48" s="51">
        <v>24.7</v>
      </c>
      <c r="P48" s="51">
        <v>28.1</v>
      </c>
      <c r="Q48" s="53">
        <f>SUM(M48:P48)</f>
        <v>93.699999999999989</v>
      </c>
      <c r="R48" s="51">
        <v>22.9</v>
      </c>
      <c r="S48" s="51">
        <v>29.7</v>
      </c>
      <c r="T48" s="51"/>
      <c r="U48" s="51"/>
      <c r="V48" s="53">
        <f>SUM(R48:U48)</f>
        <v>52.599999999999994</v>
      </c>
    </row>
    <row r="49" spans="2:22" x14ac:dyDescent="0.25">
      <c r="B49" s="36" t="s">
        <v>117</v>
      </c>
      <c r="C49" s="51">
        <v>10.6</v>
      </c>
      <c r="D49" s="51">
        <v>10.4</v>
      </c>
      <c r="E49" s="51">
        <v>12</v>
      </c>
      <c r="F49" s="51">
        <v>13.8</v>
      </c>
      <c r="G49" s="53">
        <f>SUM(C49:F49)</f>
        <v>46.8</v>
      </c>
      <c r="H49" s="51">
        <v>12.5</v>
      </c>
      <c r="I49" s="51">
        <v>13.5</v>
      </c>
      <c r="J49" s="51">
        <v>12.9</v>
      </c>
      <c r="K49" s="51">
        <v>14.7</v>
      </c>
      <c r="L49" s="53">
        <f>SUM(H49:K49)</f>
        <v>53.599999999999994</v>
      </c>
      <c r="M49" s="51">
        <v>13.1</v>
      </c>
      <c r="N49" s="51">
        <v>13.2</v>
      </c>
      <c r="O49" s="51">
        <v>12.5</v>
      </c>
      <c r="P49" s="51">
        <v>15.7</v>
      </c>
      <c r="Q49" s="53">
        <f>SUM(M49:P49)</f>
        <v>54.5</v>
      </c>
      <c r="R49" s="51">
        <v>13.9</v>
      </c>
      <c r="S49" s="51">
        <v>13.9</v>
      </c>
      <c r="T49" s="51"/>
      <c r="U49" s="51"/>
      <c r="V49" s="53">
        <f>SUM(R49:U49)</f>
        <v>27.8</v>
      </c>
    </row>
    <row r="50" spans="2:22" x14ac:dyDescent="0.25">
      <c r="B50" s="35" t="s">
        <v>118</v>
      </c>
      <c r="C50" s="54">
        <f t="shared" ref="C50" si="70">SUM(C48:C49)</f>
        <v>29.9</v>
      </c>
      <c r="D50" s="54">
        <f t="shared" ref="D50" si="71">SUM(D48:D49)</f>
        <v>31.6</v>
      </c>
      <c r="E50" s="54">
        <f t="shared" ref="E50" si="72">SUM(E48:E49)</f>
        <v>34.700000000000003</v>
      </c>
      <c r="F50" s="54">
        <f t="shared" ref="F50" si="73">SUM(F48:F49)</f>
        <v>47.599999999999994</v>
      </c>
      <c r="G50" s="52">
        <f>SUM(G48:G49)</f>
        <v>143.80000000000001</v>
      </c>
      <c r="H50" s="54">
        <f t="shared" ref="H50" si="74">SUM(H48:H49)</f>
        <v>32.799999999999997</v>
      </c>
      <c r="I50" s="54">
        <f t="shared" ref="I50" si="75">SUM(I48:I49)</f>
        <v>32.299999999999997</v>
      </c>
      <c r="J50" s="54">
        <f t="shared" ref="J50" si="76">SUM(J48:J49)</f>
        <v>37.299999999999997</v>
      </c>
      <c r="K50" s="54">
        <f t="shared" ref="K50" si="77">SUM(K48:K49)</f>
        <v>47.099999999999994</v>
      </c>
      <c r="L50" s="52">
        <f>SUM(L48:L49)</f>
        <v>149.5</v>
      </c>
      <c r="M50" s="54">
        <f t="shared" ref="M50" si="78">SUM(M48:M49)</f>
        <v>30.5</v>
      </c>
      <c r="N50" s="54">
        <f t="shared" ref="N50" si="79">SUM(N48:N49)</f>
        <v>36.700000000000003</v>
      </c>
      <c r="O50" s="54">
        <f t="shared" ref="O50" si="80">SUM(O48:O49)</f>
        <v>37.200000000000003</v>
      </c>
      <c r="P50" s="54">
        <f t="shared" ref="P50" si="81">SUM(P48:P49)</f>
        <v>43.8</v>
      </c>
      <c r="Q50" s="52">
        <f>SUM(Q48:Q49)</f>
        <v>148.19999999999999</v>
      </c>
      <c r="R50" s="54">
        <f t="shared" ref="R50" si="82">SUM(R48:R49)</f>
        <v>36.799999999999997</v>
      </c>
      <c r="S50" s="54">
        <f>SUM(S48:S49)</f>
        <v>43.6</v>
      </c>
      <c r="T50" s="54">
        <f t="shared" ref="T50" si="83">SUM(T48:T49)</f>
        <v>0</v>
      </c>
      <c r="U50" s="54">
        <f t="shared" ref="U50" si="84">SUM(U48:U49)</f>
        <v>0</v>
      </c>
      <c r="V50" s="52">
        <f>SUM(V48:V49)</f>
        <v>80.399999999999991</v>
      </c>
    </row>
    <row r="51" spans="2:22" x14ac:dyDescent="0.25">
      <c r="B51" s="11" t="s">
        <v>127</v>
      </c>
      <c r="C51" s="1"/>
      <c r="D51" s="1"/>
      <c r="E51" s="1"/>
      <c r="F51" s="1"/>
      <c r="G51" s="44"/>
      <c r="H51" s="40">
        <f>(H50-C50)/C50</f>
        <v>9.698996655518391E-2</v>
      </c>
      <c r="I51" s="40">
        <f>(I50-D50)/D50</f>
        <v>2.215189873417708E-2</v>
      </c>
      <c r="J51" s="40">
        <f>(J50-E50)/E50</f>
        <v>7.4927953890489743E-2</v>
      </c>
      <c r="K51" s="40">
        <f t="shared" ref="K51" si="85">(K50-F50)/F50</f>
        <v>-1.050420168067227E-2</v>
      </c>
      <c r="L51" s="44">
        <f>(L50-G50)/G50</f>
        <v>3.963838664812231E-2</v>
      </c>
      <c r="M51" s="40">
        <f t="shared" ref="M51" si="86">(M50-H50)/H50</f>
        <v>-7.0121951219512119E-2</v>
      </c>
      <c r="N51" s="40">
        <f t="shared" ref="N51" si="87">(N50-I50)/I50</f>
        <v>0.13622291021671845</v>
      </c>
      <c r="O51" s="40">
        <f t="shared" ref="O51" si="88">(O50-J50)/J50</f>
        <v>-2.6809651474529309E-3</v>
      </c>
      <c r="P51" s="40">
        <f t="shared" ref="P51" si="89">(P50-K50)/K50</f>
        <v>-7.0063694267515866E-2</v>
      </c>
      <c r="Q51" s="44">
        <f>(Q50-L50)/L50</f>
        <v>-8.6956521739131199E-3</v>
      </c>
      <c r="R51" s="40">
        <f t="shared" ref="R51" si="90">(R50-M50)/M50</f>
        <v>0.20655737704918023</v>
      </c>
      <c r="S51" s="40">
        <f>(S50-N50)/N50</f>
        <v>0.18801089918256125</v>
      </c>
      <c r="T51" s="40">
        <f t="shared" ref="T51" si="91">(T50-O50)/O50</f>
        <v>-1</v>
      </c>
      <c r="U51" s="40">
        <f t="shared" ref="U51" si="92">(U50-P50)/P50</f>
        <v>-1</v>
      </c>
      <c r="V51" s="44">
        <f>(V50-Q50)/Q50</f>
        <v>-0.45748987854251016</v>
      </c>
    </row>
    <row r="52" spans="2:22" x14ac:dyDescent="0.25">
      <c r="B52" s="36" t="s">
        <v>49</v>
      </c>
      <c r="C52" s="51">
        <v>9.4</v>
      </c>
      <c r="D52" s="51">
        <v>10.199999999999999</v>
      </c>
      <c r="E52" s="51">
        <v>10.1</v>
      </c>
      <c r="F52" s="51">
        <v>13.5</v>
      </c>
      <c r="G52" s="52">
        <f>SUM(C52:F52)</f>
        <v>43.2</v>
      </c>
      <c r="H52" s="51">
        <v>11.3</v>
      </c>
      <c r="I52" s="51">
        <v>11.4</v>
      </c>
      <c r="J52" s="51">
        <v>11.7</v>
      </c>
      <c r="K52" s="51">
        <v>15.4</v>
      </c>
      <c r="L52" s="52">
        <f>SUM(H52:K52)</f>
        <v>49.800000000000004</v>
      </c>
      <c r="M52" s="51">
        <v>12</v>
      </c>
      <c r="N52" s="51">
        <v>12.7</v>
      </c>
      <c r="O52" s="51">
        <v>12.5</v>
      </c>
      <c r="P52" s="51">
        <v>15.6</v>
      </c>
      <c r="Q52" s="52">
        <f>SUM(M52:P52)</f>
        <v>52.800000000000004</v>
      </c>
      <c r="R52" s="51">
        <v>13.2</v>
      </c>
      <c r="S52" s="51">
        <v>13.9</v>
      </c>
      <c r="T52" s="51"/>
      <c r="U52" s="51"/>
      <c r="V52" s="52">
        <f>SUM(R52:U52)</f>
        <v>27.1</v>
      </c>
    </row>
    <row r="53" spans="2:22" x14ac:dyDescent="0.25">
      <c r="B53" s="36" t="s">
        <v>119</v>
      </c>
      <c r="C53" s="37">
        <v>0.315</v>
      </c>
      <c r="D53" s="37">
        <v>0.32300000000000001</v>
      </c>
      <c r="E53" s="37">
        <v>0.29299999999999998</v>
      </c>
      <c r="F53" s="37">
        <v>0.28299999999999997</v>
      </c>
      <c r="G53" s="45">
        <f>G52/G50</f>
        <v>0.3004172461752434</v>
      </c>
      <c r="H53" s="37">
        <v>0.34399999999999997</v>
      </c>
      <c r="I53" s="37">
        <v>0.35099999999999998</v>
      </c>
      <c r="J53" s="37">
        <v>0.314</v>
      </c>
      <c r="K53" s="37">
        <v>0.32600000000000001</v>
      </c>
      <c r="L53" s="45">
        <f>L52/L50</f>
        <v>0.3331103678929766</v>
      </c>
      <c r="M53" s="37">
        <v>0.39400000000000002</v>
      </c>
      <c r="N53" s="37">
        <v>0.34599999999999997</v>
      </c>
      <c r="O53" s="37">
        <v>0.33500000000000002</v>
      </c>
      <c r="P53" s="37">
        <v>0.35599999999999998</v>
      </c>
      <c r="Q53" s="45">
        <f>Q52/Q50</f>
        <v>0.35627530364372473</v>
      </c>
      <c r="R53" s="37">
        <v>0.36</v>
      </c>
      <c r="S53" s="37">
        <v>0.31900000000000001</v>
      </c>
      <c r="T53" s="37"/>
      <c r="U53" s="37"/>
      <c r="V53" s="45">
        <f>V52/V50</f>
        <v>0.33706467661691547</v>
      </c>
    </row>
    <row r="54" spans="2:22" x14ac:dyDescent="0.25">
      <c r="B54" s="36" t="s">
        <v>120</v>
      </c>
      <c r="C54" s="36">
        <v>8.3000000000000007</v>
      </c>
      <c r="D54" s="36">
        <v>8.9</v>
      </c>
      <c r="E54" s="36">
        <v>8.9</v>
      </c>
      <c r="F54" s="36">
        <v>10.9</v>
      </c>
      <c r="G54" s="43">
        <f>SUM(C54:F54)</f>
        <v>37</v>
      </c>
      <c r="H54" s="36">
        <v>10</v>
      </c>
      <c r="I54" s="36">
        <v>10</v>
      </c>
      <c r="J54" s="36">
        <v>10.1</v>
      </c>
      <c r="K54" s="36">
        <v>12.5</v>
      </c>
      <c r="L54" s="43">
        <f>SUM(H54:K54)</f>
        <v>42.6</v>
      </c>
      <c r="M54" s="36">
        <v>10.6</v>
      </c>
      <c r="N54" s="36">
        <v>11.2</v>
      </c>
      <c r="O54" s="36">
        <v>10.7</v>
      </c>
      <c r="P54" s="36">
        <v>12.1</v>
      </c>
      <c r="Q54" s="43">
        <f>SUM(M54:P54)</f>
        <v>44.6</v>
      </c>
      <c r="R54" s="36">
        <v>11.7</v>
      </c>
      <c r="S54" s="36">
        <v>12.1</v>
      </c>
      <c r="T54" s="36"/>
      <c r="U54" s="36"/>
      <c r="V54" s="43">
        <f>SUM(R54:U54)</f>
        <v>23.799999999999997</v>
      </c>
    </row>
    <row r="55" spans="2:22" x14ac:dyDescent="0.25">
      <c r="B55" s="41" t="s">
        <v>122</v>
      </c>
      <c r="C55" s="41"/>
      <c r="D55" s="41"/>
      <c r="E55" s="41"/>
      <c r="F55" s="41"/>
      <c r="G55" s="46"/>
      <c r="H55" s="40">
        <f>(H54-C54)/C54</f>
        <v>0.20481927710843364</v>
      </c>
      <c r="I55" s="40">
        <f>(I54-D54)/D54</f>
        <v>0.12359550561797748</v>
      </c>
      <c r="J55" s="40">
        <f>(J54-E54)/E54</f>
        <v>0.13483146067415722</v>
      </c>
      <c r="K55" s="40">
        <f t="shared" ref="K55" si="93">(K54-F54)/F54</f>
        <v>0.14678899082568803</v>
      </c>
      <c r="L55" s="44">
        <f>(L54-G54)/G54</f>
        <v>0.15135135135135139</v>
      </c>
      <c r="M55" s="40">
        <f t="shared" ref="M55" si="94">(M54-H54)/H54</f>
        <v>5.9999999999999963E-2</v>
      </c>
      <c r="N55" s="40">
        <f t="shared" ref="N55" si="95">(N54-I54)/I54</f>
        <v>0.11999999999999993</v>
      </c>
      <c r="O55" s="40">
        <f t="shared" ref="O55" si="96">(O54-J54)/J54</f>
        <v>5.9405940594059375E-2</v>
      </c>
      <c r="P55" s="40">
        <f t="shared" ref="P55" si="97">(P54-K54)/K54</f>
        <v>-3.2000000000000028E-2</v>
      </c>
      <c r="Q55" s="44">
        <f>(Q54-L54)/L54</f>
        <v>4.6948356807511735E-2</v>
      </c>
      <c r="R55" s="40">
        <f>(R54-M54)/M54</f>
        <v>0.10377358490566034</v>
      </c>
      <c r="S55" s="40">
        <f>(S54-N54)/N54</f>
        <v>8.0357142857142891E-2</v>
      </c>
      <c r="T55" s="40">
        <f t="shared" ref="T55" si="98">(T54-O54)/O54</f>
        <v>-1</v>
      </c>
      <c r="U55" s="40">
        <f t="shared" ref="U55" si="99">(U54-P54)/P54</f>
        <v>-1</v>
      </c>
      <c r="V55" s="44">
        <f>(V54-Q54)/Q54</f>
        <v>-0.46636771300448437</v>
      </c>
    </row>
    <row r="56" spans="2:22" x14ac:dyDescent="0.25">
      <c r="B56" s="36" t="s">
        <v>55</v>
      </c>
      <c r="C56" s="51">
        <v>1.1000000000000001</v>
      </c>
      <c r="D56" s="51">
        <v>1.3</v>
      </c>
      <c r="E56" s="51">
        <v>1.3</v>
      </c>
      <c r="F56" s="51">
        <v>2.6</v>
      </c>
      <c r="G56" s="52">
        <f>SUM(C56:F56)</f>
        <v>6.3000000000000007</v>
      </c>
      <c r="H56" s="51">
        <v>1.3</v>
      </c>
      <c r="I56" s="51">
        <v>1.4</v>
      </c>
      <c r="J56" s="51">
        <v>1.6</v>
      </c>
      <c r="K56" s="51">
        <v>2.9</v>
      </c>
      <c r="L56" s="52">
        <f>SUM(H56:K56)</f>
        <v>7.2000000000000011</v>
      </c>
      <c r="M56" s="51">
        <v>1.4</v>
      </c>
      <c r="N56" s="51">
        <v>1.5</v>
      </c>
      <c r="O56" s="51">
        <v>1.8</v>
      </c>
      <c r="P56" s="51">
        <v>3.5</v>
      </c>
      <c r="Q56" s="52">
        <f>SUM(M56:P56)</f>
        <v>8.1999999999999993</v>
      </c>
      <c r="R56" s="51">
        <v>1.5</v>
      </c>
      <c r="S56" s="51">
        <v>1.8</v>
      </c>
      <c r="T56" s="51"/>
      <c r="U56" s="51"/>
      <c r="V56" s="52">
        <f>SUM(R56:U56)</f>
        <v>3.3</v>
      </c>
    </row>
    <row r="57" spans="2:22" x14ac:dyDescent="0.25">
      <c r="B57" s="38" t="s">
        <v>121</v>
      </c>
      <c r="C57" s="39">
        <v>3.7999999999999999E-2</v>
      </c>
      <c r="D57" s="39">
        <v>4.2000000000000003E-2</v>
      </c>
      <c r="E57" s="39">
        <v>3.5999999999999997E-2</v>
      </c>
      <c r="F57" s="39">
        <v>5.3999999999999999E-2</v>
      </c>
      <c r="G57" s="47">
        <f>G56/G50</f>
        <v>4.3810848400556331E-2</v>
      </c>
      <c r="H57" s="39">
        <v>3.7999999999999999E-2</v>
      </c>
      <c r="I57" s="39">
        <v>4.2000000000000003E-2</v>
      </c>
      <c r="J57" s="39">
        <v>4.3999999999999997E-2</v>
      </c>
      <c r="K57" s="39">
        <v>6.0999999999999999E-2</v>
      </c>
      <c r="L57" s="47">
        <f>L56/L50</f>
        <v>4.8160535117056862E-2</v>
      </c>
      <c r="M57" s="39">
        <v>4.3999999999999997E-2</v>
      </c>
      <c r="N57" s="39">
        <v>4.1000000000000002E-2</v>
      </c>
      <c r="O57" s="39">
        <v>4.7E-2</v>
      </c>
      <c r="P57" s="39">
        <v>7.9000000000000001E-2</v>
      </c>
      <c r="Q57" s="47">
        <f>Q56/Q50</f>
        <v>5.5330634278002701E-2</v>
      </c>
      <c r="R57" s="39">
        <v>4.1000000000000002E-2</v>
      </c>
      <c r="S57" s="39">
        <v>4.1000000000000002E-2</v>
      </c>
      <c r="T57" s="39"/>
      <c r="U57" s="39"/>
      <c r="V57" s="47">
        <f>V56/V50</f>
        <v>4.1044776119402986E-2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F12" sqref="F12"/>
    </sheetView>
  </sheetViews>
  <sheetFormatPr baseColWidth="10" defaultRowHeight="16" x14ac:dyDescent="0.2"/>
  <cols>
    <col min="3" max="3" width="29.5" bestFit="1" customWidth="1"/>
    <col min="4" max="4" width="18.6640625" bestFit="1" customWidth="1"/>
    <col min="5" max="6" width="28.33203125" bestFit="1" customWidth="1"/>
  </cols>
  <sheetData>
    <row r="4" spans="3:6" ht="62" x14ac:dyDescent="0.7">
      <c r="C4" s="28"/>
      <c r="D4" s="28">
        <v>2025</v>
      </c>
      <c r="E4" s="28">
        <v>2026</v>
      </c>
      <c r="F4" s="28">
        <v>2027</v>
      </c>
    </row>
    <row r="5" spans="3:6" ht="62" x14ac:dyDescent="0.7">
      <c r="C5" s="28" t="s">
        <v>32</v>
      </c>
      <c r="D5" s="33">
        <f>Modell!$B$9/Modell!AB12</f>
        <v>12.729817915233713</v>
      </c>
      <c r="E5" s="33">
        <f>Modell!$B$9/Modell!AC12</f>
        <v>11.732551073948116</v>
      </c>
      <c r="F5" s="33">
        <f>Modell!$B$9/Modell!AD12</f>
        <v>10.749995501943976</v>
      </c>
    </row>
    <row r="6" spans="3:6" ht="62" x14ac:dyDescent="0.7">
      <c r="C6" s="28" t="s">
        <v>33</v>
      </c>
      <c r="D6" s="33">
        <f>Modell!$B$4/Modell!AB18</f>
        <v>15.901676037908205</v>
      </c>
      <c r="E6" s="33">
        <f>Modell!$B$4/Modell!AC18</f>
        <v>14.65592261558359</v>
      </c>
      <c r="F6" s="33">
        <f>Modell!$B$4/Modell!AD18</f>
        <v>13.428546034135877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Segementer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2025-08-03T17:58:33Z</dcterms:modified>
</cp:coreProperties>
</file>