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C97D202A-6C39-2740-B8E1-100F6E09C55F}" xr6:coauthVersionLast="47" xr6:coauthVersionMax="47" xr10:uidLastSave="{00000000-0000-0000-0000-000000000000}"/>
  <bookViews>
    <workbookView xWindow="0" yWindow="740" windowWidth="29400" windowHeight="17040" activeTab="3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" l="1"/>
  <c r="V20" i="4"/>
  <c r="V19" i="4"/>
  <c r="V18" i="4"/>
  <c r="V17" i="4"/>
  <c r="V15" i="4"/>
  <c r="V16" i="4" s="1"/>
  <c r="V13" i="4"/>
  <c r="V14" i="4" s="1"/>
  <c r="Q20" i="4"/>
  <c r="Q19" i="4"/>
  <c r="Q18" i="4"/>
  <c r="Q17" i="4"/>
  <c r="Q15" i="4"/>
  <c r="Q16" i="4" s="1"/>
  <c r="Q13" i="4"/>
  <c r="Q14" i="4" s="1"/>
  <c r="V30" i="4"/>
  <c r="V29" i="4"/>
  <c r="V28" i="4"/>
  <c r="V27" i="4"/>
  <c r="V25" i="4"/>
  <c r="V26" i="4" s="1"/>
  <c r="V23" i="4"/>
  <c r="V24" i="4" s="1"/>
  <c r="Q30" i="4"/>
  <c r="Q29" i="4"/>
  <c r="Q28" i="4"/>
  <c r="Q27" i="4"/>
  <c r="Q25" i="4"/>
  <c r="Q26" i="4" s="1"/>
  <c r="Q23" i="4"/>
  <c r="Q24" i="4" s="1"/>
  <c r="V40" i="4"/>
  <c r="V39" i="4"/>
  <c r="V38" i="4"/>
  <c r="V37" i="4"/>
  <c r="V35" i="4"/>
  <c r="V36" i="4" s="1"/>
  <c r="V33" i="4"/>
  <c r="V34" i="4" s="1"/>
  <c r="Q40" i="4"/>
  <c r="Q39" i="4"/>
  <c r="Q38" i="4"/>
  <c r="Q37" i="4"/>
  <c r="Q35" i="4"/>
  <c r="Q36" i="4" s="1"/>
  <c r="Q33" i="4"/>
  <c r="Q34" i="4" s="1"/>
  <c r="V49" i="4"/>
  <c r="V48" i="4"/>
  <c r="V47" i="4"/>
  <c r="V45" i="4"/>
  <c r="V46" i="4" s="1"/>
  <c r="V43" i="4"/>
  <c r="V44" i="4" s="1"/>
  <c r="Q49" i="4"/>
  <c r="Q48" i="4"/>
  <c r="Q47" i="4"/>
  <c r="Q45" i="4"/>
  <c r="Q46" i="4" s="1"/>
  <c r="Q43" i="4"/>
  <c r="Q44" i="4" s="1"/>
  <c r="L44" i="4"/>
  <c r="L49" i="4"/>
  <c r="L48" i="4"/>
  <c r="L47" i="4"/>
  <c r="L45" i="4"/>
  <c r="L46" i="4" s="1"/>
  <c r="L43" i="4"/>
  <c r="L40" i="4"/>
  <c r="L39" i="4"/>
  <c r="L38" i="4"/>
  <c r="L37" i="4"/>
  <c r="L35" i="4"/>
  <c r="L36" i="4" s="1"/>
  <c r="L33" i="4"/>
  <c r="L34" i="4" s="1"/>
  <c r="L30" i="4"/>
  <c r="L29" i="4"/>
  <c r="L28" i="4"/>
  <c r="L27" i="4"/>
  <c r="L25" i="4"/>
  <c r="L26" i="4" s="1"/>
  <c r="L23" i="4"/>
  <c r="L24" i="4" s="1"/>
  <c r="L14" i="4"/>
  <c r="L20" i="4"/>
  <c r="L19" i="4"/>
  <c r="L18" i="4"/>
  <c r="L17" i="4"/>
  <c r="L15" i="4"/>
  <c r="L16" i="4" s="1"/>
  <c r="L13" i="4"/>
  <c r="G31" i="4"/>
  <c r="G30" i="4"/>
  <c r="G41" i="4"/>
  <c r="G40" i="4"/>
  <c r="G20" i="4"/>
  <c r="Q6" i="4"/>
  <c r="Q5" i="4"/>
  <c r="V11" i="4"/>
  <c r="V10" i="4"/>
  <c r="V9" i="4"/>
  <c r="V7" i="4"/>
  <c r="V8" i="4" s="1"/>
  <c r="V5" i="4"/>
  <c r="V6" i="4" s="1"/>
  <c r="Q11" i="4"/>
  <c r="Q10" i="4"/>
  <c r="Q9" i="4"/>
  <c r="Q7" i="4"/>
  <c r="Q8" i="4" s="1"/>
  <c r="L6" i="4"/>
  <c r="L11" i="4"/>
  <c r="L10" i="4"/>
  <c r="L9" i="4"/>
  <c r="L7" i="4"/>
  <c r="L8" i="4" s="1"/>
  <c r="L5" i="4"/>
  <c r="K44" i="4"/>
  <c r="G49" i="4"/>
  <c r="G48" i="4"/>
  <c r="G47" i="4"/>
  <c r="G45" i="4"/>
  <c r="G46" i="4" s="1"/>
  <c r="G43" i="4"/>
  <c r="G39" i="4"/>
  <c r="G38" i="4"/>
  <c r="G37" i="4"/>
  <c r="G35" i="4"/>
  <c r="G36" i="4" s="1"/>
  <c r="G33" i="4"/>
  <c r="G29" i="4"/>
  <c r="G28" i="4"/>
  <c r="G27" i="4"/>
  <c r="G25" i="4"/>
  <c r="G26" i="4" s="1"/>
  <c r="G23" i="4"/>
  <c r="G19" i="4"/>
  <c r="G18" i="4"/>
  <c r="G17" i="4"/>
  <c r="G15" i="4"/>
  <c r="G16" i="4" s="1"/>
  <c r="G13" i="4"/>
  <c r="G8" i="4"/>
  <c r="G11" i="4"/>
  <c r="G10" i="4"/>
  <c r="G9" i="4"/>
  <c r="G7" i="4"/>
  <c r="G5" i="4"/>
  <c r="M6" i="4"/>
  <c r="U44" i="4" l="1"/>
  <c r="T44" i="4"/>
  <c r="S44" i="4"/>
  <c r="R44" i="4"/>
  <c r="P44" i="4"/>
  <c r="O44" i="4"/>
  <c r="N44" i="4"/>
  <c r="M44" i="4"/>
  <c r="J44" i="4"/>
  <c r="I44" i="4"/>
  <c r="H44" i="4"/>
  <c r="U34" i="4"/>
  <c r="T34" i="4"/>
  <c r="S34" i="4"/>
  <c r="R34" i="4"/>
  <c r="P34" i="4"/>
  <c r="O34" i="4"/>
  <c r="N34" i="4"/>
  <c r="M34" i="4"/>
  <c r="K34" i="4"/>
  <c r="J34" i="4"/>
  <c r="I34" i="4"/>
  <c r="H34" i="4"/>
  <c r="U24" i="4"/>
  <c r="T24" i="4"/>
  <c r="S24" i="4"/>
  <c r="R24" i="4"/>
  <c r="P24" i="4"/>
  <c r="O24" i="4"/>
  <c r="N24" i="4"/>
  <c r="M24" i="4"/>
  <c r="K24" i="4"/>
  <c r="J24" i="4"/>
  <c r="I24" i="4"/>
  <c r="H24" i="4"/>
  <c r="U14" i="4"/>
  <c r="T14" i="4"/>
  <c r="S14" i="4"/>
  <c r="R14" i="4"/>
  <c r="P14" i="4"/>
  <c r="O14" i="4"/>
  <c r="N14" i="4"/>
  <c r="M14" i="4"/>
  <c r="K14" i="4"/>
  <c r="J14" i="4"/>
  <c r="I14" i="4"/>
  <c r="H14" i="4"/>
  <c r="H6" i="4"/>
  <c r="I6" i="4"/>
  <c r="J6" i="4"/>
  <c r="K6" i="4"/>
  <c r="N6" i="4"/>
  <c r="O6" i="4"/>
  <c r="P6" i="4"/>
  <c r="R6" i="4"/>
  <c r="T6" i="4"/>
  <c r="U6" i="4"/>
  <c r="S6" i="4"/>
  <c r="AG7" i="2"/>
  <c r="AH7" i="2"/>
  <c r="AI7" i="2" s="1"/>
  <c r="AJ7" i="2" s="1"/>
  <c r="AK7" i="2" s="1"/>
  <c r="AL7" i="2" s="1"/>
  <c r="AM7" i="2" s="1"/>
  <c r="AN7" i="2" s="1"/>
  <c r="AO7" i="2" s="1"/>
  <c r="AP7" i="2" s="1"/>
  <c r="D6" i="3"/>
  <c r="AJ5" i="2"/>
  <c r="AK5" i="2"/>
  <c r="AL5" i="2"/>
  <c r="AM5" i="2"/>
  <c r="AN5" i="2"/>
  <c r="AO5" i="2"/>
  <c r="AP5" i="2"/>
  <c r="AI5" i="2"/>
  <c r="AH5" i="2"/>
  <c r="AG5" i="2"/>
  <c r="AF24" i="2"/>
  <c r="AG24" i="2"/>
  <c r="AH24" i="2"/>
  <c r="AI24" i="2"/>
  <c r="AJ24" i="2"/>
  <c r="AK24" i="2"/>
  <c r="AL24" i="2"/>
  <c r="AM24" i="2"/>
  <c r="AN24" i="2"/>
  <c r="AO24" i="2"/>
  <c r="AP24" i="2"/>
  <c r="AJ4" i="2"/>
  <c r="AK4" i="2"/>
  <c r="AL4" i="2"/>
  <c r="AM4" i="2"/>
  <c r="AN4" i="2"/>
  <c r="AO4" i="2"/>
  <c r="AP4" i="2"/>
  <c r="AI4" i="2"/>
  <c r="AH4" i="2"/>
  <c r="AF5" i="2"/>
  <c r="AG4" i="2"/>
  <c r="AF8" i="2"/>
  <c r="AF7" i="2"/>
  <c r="D7" i="3"/>
  <c r="B8" i="2"/>
  <c r="H24" i="2"/>
  <c r="I24" i="2"/>
  <c r="J24" i="2"/>
  <c r="K24" i="2"/>
  <c r="L24" i="2"/>
  <c r="M24" i="2"/>
  <c r="N24" i="2"/>
  <c r="O24" i="2"/>
  <c r="P24" i="2"/>
  <c r="W24" i="2"/>
  <c r="X24" i="2"/>
  <c r="Y24" i="2"/>
  <c r="Z24" i="2"/>
  <c r="AA24" i="2"/>
  <c r="AB24" i="2"/>
  <c r="AC24" i="2"/>
  <c r="AD24" i="2"/>
  <c r="AE24" i="2"/>
  <c r="AF4" i="2"/>
  <c r="F50" i="2"/>
  <c r="G52" i="2"/>
  <c r="G50" i="2"/>
  <c r="D50" i="2"/>
  <c r="H50" i="2"/>
  <c r="E60" i="2"/>
  <c r="E52" i="2"/>
  <c r="E50" i="2"/>
  <c r="I52" i="2"/>
  <c r="I50" i="2"/>
  <c r="K52" i="2"/>
  <c r="K51" i="2"/>
  <c r="K50" i="2"/>
  <c r="O52" i="2"/>
  <c r="O51" i="2"/>
  <c r="O50" i="2"/>
  <c r="J52" i="2"/>
  <c r="J51" i="2"/>
  <c r="J50" i="2"/>
  <c r="N53" i="2"/>
  <c r="N52" i="2"/>
  <c r="N51" i="2"/>
  <c r="N50" i="2"/>
  <c r="V6" i="2"/>
  <c r="V9" i="2" s="1"/>
  <c r="V12" i="2" s="1"/>
  <c r="V14" i="2" s="1"/>
  <c r="V16" i="2" s="1"/>
  <c r="W6" i="2"/>
  <c r="W9" i="2" s="1"/>
  <c r="W12" i="2" s="1"/>
  <c r="W14" i="2" s="1"/>
  <c r="W16" i="2" s="1"/>
  <c r="X6" i="2"/>
  <c r="X9" i="2" s="1"/>
  <c r="X12" i="2" s="1"/>
  <c r="X14" i="2" s="1"/>
  <c r="X16" i="2" s="1"/>
  <c r="Y6" i="2"/>
  <c r="Y9" i="2" s="1"/>
  <c r="Y12" i="2" s="1"/>
  <c r="Y14" i="2" s="1"/>
  <c r="Y16" i="2" s="1"/>
  <c r="AF6" i="2" l="1"/>
  <c r="AF19" i="2" s="1"/>
  <c r="AG6" i="2"/>
  <c r="AG19" i="2" s="1"/>
  <c r="AH6" i="2"/>
  <c r="AH19" i="2" s="1"/>
  <c r="AI6" i="2"/>
  <c r="AI19" i="2" s="1"/>
  <c r="AJ6" i="2"/>
  <c r="AJ19" i="2" s="1"/>
  <c r="AK6" i="2"/>
  <c r="AK9" i="2" s="1"/>
  <c r="AL6" i="2"/>
  <c r="AL19" i="2" s="1"/>
  <c r="AM6" i="2"/>
  <c r="AM9" i="2" s="1"/>
  <c r="AN6" i="2"/>
  <c r="AO6" i="2"/>
  <c r="AO19" i="2" s="1"/>
  <c r="AP6" i="2"/>
  <c r="AP19" i="2" s="1"/>
  <c r="AF9" i="2"/>
  <c r="AF20" i="2" s="1"/>
  <c r="AJ9" i="2"/>
  <c r="AJ20" i="2" s="1"/>
  <c r="AN9" i="2"/>
  <c r="AN20" i="2" s="1"/>
  <c r="AF18" i="2"/>
  <c r="AG18" i="2"/>
  <c r="AH18" i="2"/>
  <c r="AI18" i="2"/>
  <c r="AJ18" i="2"/>
  <c r="AK18" i="2"/>
  <c r="AL18" i="2"/>
  <c r="AM18" i="2"/>
  <c r="AN18" i="2"/>
  <c r="AO18" i="2"/>
  <c r="AP18" i="2"/>
  <c r="AN19" i="2"/>
  <c r="AG9" i="2" l="1"/>
  <c r="AH9" i="2"/>
  <c r="AN12" i="2"/>
  <c r="AO9" i="2"/>
  <c r="AP9" i="2"/>
  <c r="AF12" i="2"/>
  <c r="AI9" i="2"/>
  <c r="AI12" i="2" s="1"/>
  <c r="AM12" i="2"/>
  <c r="AM20" i="2"/>
  <c r="AK12" i="2"/>
  <c r="AK20" i="2"/>
  <c r="AM19" i="2"/>
  <c r="AH20" i="2"/>
  <c r="AL9" i="2"/>
  <c r="AL12" i="2" s="1"/>
  <c r="AK19" i="2"/>
  <c r="AJ12" i="2"/>
  <c r="AG20" i="2" l="1"/>
  <c r="AH12" i="2"/>
  <c r="AH13" i="2" s="1"/>
  <c r="AH14" i="2" s="1"/>
  <c r="AH16" i="2" s="1"/>
  <c r="F6" i="3" s="1"/>
  <c r="AG12" i="2"/>
  <c r="AG13" i="2" s="1"/>
  <c r="AG14" i="2" s="1"/>
  <c r="AG16" i="2" s="1"/>
  <c r="E6" i="3" s="1"/>
  <c r="AF13" i="2"/>
  <c r="AF14" i="2" s="1"/>
  <c r="AF16" i="2" s="1"/>
  <c r="AL13" i="2"/>
  <c r="AL14" i="2" s="1"/>
  <c r="AL16" i="2" s="1"/>
  <c r="AO20" i="2"/>
  <c r="AO12" i="2"/>
  <c r="AN13" i="2"/>
  <c r="AN14" i="2" s="1"/>
  <c r="AN16" i="2" s="1"/>
  <c r="AJ13" i="2"/>
  <c r="AJ14" i="2" s="1"/>
  <c r="AJ16" i="2" s="1"/>
  <c r="AI13" i="2"/>
  <c r="AI14" i="2" s="1"/>
  <c r="AI16" i="2" s="1"/>
  <c r="AI20" i="2"/>
  <c r="AK13" i="2"/>
  <c r="AK14" i="2" s="1"/>
  <c r="AK16" i="2" s="1"/>
  <c r="AM13" i="2"/>
  <c r="AM14" i="2" s="1"/>
  <c r="AM16" i="2" s="1"/>
  <c r="AP20" i="2"/>
  <c r="AP12" i="2"/>
  <c r="AL20" i="2"/>
  <c r="AO13" i="2" l="1"/>
  <c r="AO14" i="2" s="1"/>
  <c r="AO16" i="2" s="1"/>
  <c r="AP13" i="2"/>
  <c r="AP14" i="2" s="1"/>
  <c r="V19" i="2"/>
  <c r="W19" i="2"/>
  <c r="X19" i="2"/>
  <c r="Y19" i="2"/>
  <c r="V20" i="2"/>
  <c r="W20" i="2"/>
  <c r="X20" i="2"/>
  <c r="Y20" i="2"/>
  <c r="W18" i="2"/>
  <c r="X18" i="2"/>
  <c r="Y18" i="2"/>
  <c r="Z18" i="2"/>
  <c r="AQ14" i="2" l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AP16" i="2"/>
  <c r="P6" i="2"/>
  <c r="P9" i="2" s="1"/>
  <c r="Z6" i="2"/>
  <c r="Z9" i="2" s="1"/>
  <c r="AA6" i="2"/>
  <c r="AA9" i="2" s="1"/>
  <c r="AB6" i="2"/>
  <c r="AB19" i="2" s="1"/>
  <c r="AC6" i="2"/>
  <c r="AC9" i="2" s="1"/>
  <c r="AD6" i="2"/>
  <c r="AD9" i="2" s="1"/>
  <c r="AA18" i="2"/>
  <c r="AB18" i="2"/>
  <c r="AC18" i="2"/>
  <c r="AD18" i="2"/>
  <c r="AE18" i="2"/>
  <c r="AE6" i="2"/>
  <c r="AE19" i="2" s="1"/>
  <c r="B7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54" i="2"/>
  <c r="E54" i="2"/>
  <c r="F54" i="2"/>
  <c r="F67" i="2" s="1"/>
  <c r="G54" i="2"/>
  <c r="H54" i="2"/>
  <c r="H67" i="2" s="1"/>
  <c r="I54" i="2"/>
  <c r="I67" i="2" s="1"/>
  <c r="J54" i="2"/>
  <c r="K54" i="2"/>
  <c r="L54" i="2"/>
  <c r="M54" i="2"/>
  <c r="M67" i="2" s="1"/>
  <c r="N54" i="2"/>
  <c r="N67" i="2" s="1"/>
  <c r="O54" i="2"/>
  <c r="O67" i="2" s="1"/>
  <c r="P54" i="2"/>
  <c r="P67" i="2" s="1"/>
  <c r="Q61" i="2"/>
  <c r="Q54" i="2"/>
  <c r="Q67" i="2" s="1"/>
  <c r="D44" i="2"/>
  <c r="D45" i="2" s="1"/>
  <c r="E44" i="2"/>
  <c r="E45" i="2" s="1"/>
  <c r="F44" i="2"/>
  <c r="F45" i="2" s="1"/>
  <c r="G44" i="2"/>
  <c r="G45" i="2" s="1"/>
  <c r="H44" i="2"/>
  <c r="H45" i="2" s="1"/>
  <c r="I44" i="2"/>
  <c r="I45" i="2" s="1"/>
  <c r="J44" i="2"/>
  <c r="J45" i="2" s="1"/>
  <c r="K44" i="2"/>
  <c r="K45" i="2" s="1"/>
  <c r="L44" i="2"/>
  <c r="L45" i="2" s="1"/>
  <c r="M44" i="2"/>
  <c r="M45" i="2" s="1"/>
  <c r="N44" i="2"/>
  <c r="N45" i="2" s="1"/>
  <c r="O44" i="2"/>
  <c r="O45" i="2" s="1"/>
  <c r="P44" i="2"/>
  <c r="P45" i="2" s="1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44" i="2"/>
  <c r="Q45" i="2" s="1"/>
  <c r="Q36" i="2"/>
  <c r="H18" i="2"/>
  <c r="I18" i="2"/>
  <c r="J18" i="2"/>
  <c r="K18" i="2"/>
  <c r="L18" i="2"/>
  <c r="M18" i="2"/>
  <c r="N18" i="2"/>
  <c r="O18" i="2"/>
  <c r="P18" i="2"/>
  <c r="Q18" i="2"/>
  <c r="D6" i="2"/>
  <c r="D19" i="2" s="1"/>
  <c r="E6" i="2"/>
  <c r="E9" i="2" s="1"/>
  <c r="F6" i="2"/>
  <c r="F19" i="2" s="1"/>
  <c r="G6" i="2"/>
  <c r="G19" i="2" s="1"/>
  <c r="H6" i="2"/>
  <c r="H9" i="2" s="1"/>
  <c r="I6" i="2"/>
  <c r="I9" i="2" s="1"/>
  <c r="J6" i="2"/>
  <c r="J9" i="2" s="1"/>
  <c r="K6" i="2"/>
  <c r="K9" i="2" s="1"/>
  <c r="K12" i="2" s="1"/>
  <c r="K14" i="2" s="1"/>
  <c r="K16" i="2" s="1"/>
  <c r="L6" i="2"/>
  <c r="L9" i="2" s="1"/>
  <c r="M6" i="2"/>
  <c r="M9" i="2" s="1"/>
  <c r="M12" i="2" s="1"/>
  <c r="M14" i="2" s="1"/>
  <c r="M16" i="2" s="1"/>
  <c r="N6" i="2"/>
  <c r="N19" i="2" s="1"/>
  <c r="O6" i="2"/>
  <c r="O19" i="2" s="1"/>
  <c r="Q6" i="2"/>
  <c r="Q19" i="2" s="1"/>
  <c r="B6" i="2"/>
  <c r="AS19" i="2" l="1"/>
  <c r="AS21" i="2" s="1"/>
  <c r="AS22" i="2" s="1"/>
  <c r="I19" i="2"/>
  <c r="J65" i="2"/>
  <c r="G65" i="2"/>
  <c r="E65" i="2"/>
  <c r="Q9" i="2"/>
  <c r="D65" i="2"/>
  <c r="N65" i="2"/>
  <c r="B9" i="2"/>
  <c r="N9" i="2"/>
  <c r="N12" i="2" s="1"/>
  <c r="N14" i="2" s="1"/>
  <c r="N16" i="2" s="1"/>
  <c r="J19" i="2"/>
  <c r="K65" i="2"/>
  <c r="F65" i="2"/>
  <c r="O65" i="2"/>
  <c r="H12" i="2"/>
  <c r="H14" i="2" s="1"/>
  <c r="H16" i="2" s="1"/>
  <c r="H20" i="2"/>
  <c r="E20" i="2"/>
  <c r="E12" i="2"/>
  <c r="E14" i="2" s="1"/>
  <c r="E16" i="2" s="1"/>
  <c r="I12" i="2"/>
  <c r="I14" i="2" s="1"/>
  <c r="I16" i="2" s="1"/>
  <c r="I20" i="2"/>
  <c r="J12" i="2"/>
  <c r="J14" i="2" s="1"/>
  <c r="J16" i="2" s="1"/>
  <c r="J20" i="2"/>
  <c r="G9" i="2"/>
  <c r="E19" i="2"/>
  <c r="G67" i="2"/>
  <c r="I65" i="2"/>
  <c r="D9" i="2"/>
  <c r="F9" i="2"/>
  <c r="M20" i="2"/>
  <c r="H65" i="2"/>
  <c r="M19" i="2"/>
  <c r="E67" i="2"/>
  <c r="AA19" i="2"/>
  <c r="D67" i="2"/>
  <c r="Z19" i="2"/>
  <c r="K67" i="2"/>
  <c r="Q65" i="2"/>
  <c r="J67" i="2"/>
  <c r="H19" i="2"/>
  <c r="M65" i="2"/>
  <c r="K19" i="2"/>
  <c r="K20" i="2"/>
  <c r="O9" i="2"/>
  <c r="L65" i="2"/>
  <c r="L67" i="2"/>
  <c r="P65" i="2"/>
  <c r="L12" i="2"/>
  <c r="L14" i="2" s="1"/>
  <c r="L16" i="2" s="1"/>
  <c r="L20" i="2"/>
  <c r="L19" i="2"/>
  <c r="P12" i="2"/>
  <c r="P14" i="2" s="1"/>
  <c r="P16" i="2" s="1"/>
  <c r="P20" i="2"/>
  <c r="P19" i="2"/>
  <c r="Z20" i="2"/>
  <c r="Z12" i="2"/>
  <c r="Z14" i="2" s="1"/>
  <c r="Z16" i="2" s="1"/>
  <c r="AA12" i="2"/>
  <c r="AA14" i="2" s="1"/>
  <c r="AA16" i="2" s="1"/>
  <c r="AA20" i="2"/>
  <c r="AB9" i="2"/>
  <c r="AC12" i="2"/>
  <c r="AC14" i="2" s="1"/>
  <c r="AC16" i="2" s="1"/>
  <c r="AC20" i="2"/>
  <c r="AC19" i="2"/>
  <c r="AD12" i="2"/>
  <c r="AD14" i="2" s="1"/>
  <c r="AD16" i="2" s="1"/>
  <c r="AD20" i="2"/>
  <c r="AD19" i="2"/>
  <c r="AE9" i="2"/>
  <c r="AE20" i="2" s="1"/>
  <c r="D5" i="3" l="1"/>
  <c r="E5" i="3"/>
  <c r="F5" i="3"/>
  <c r="Q20" i="2"/>
  <c r="Q12" i="2"/>
  <c r="Q14" i="2" s="1"/>
  <c r="Q16" i="2" s="1"/>
  <c r="N20" i="2"/>
  <c r="D12" i="2"/>
  <c r="D14" i="2" s="1"/>
  <c r="D16" i="2" s="1"/>
  <c r="D20" i="2"/>
  <c r="F20" i="2"/>
  <c r="F12" i="2"/>
  <c r="F14" i="2" s="1"/>
  <c r="F16" i="2" s="1"/>
  <c r="G20" i="2"/>
  <c r="G12" i="2"/>
  <c r="G14" i="2" s="1"/>
  <c r="G16" i="2" s="1"/>
  <c r="O20" i="2"/>
  <c r="O12" i="2"/>
  <c r="O14" i="2" s="1"/>
  <c r="O16" i="2" s="1"/>
  <c r="AB12" i="2"/>
  <c r="AB14" i="2" s="1"/>
  <c r="AB16" i="2" s="1"/>
  <c r="AB20" i="2"/>
  <c r="AE12" i="2"/>
  <c r="AE14" i="2" s="1"/>
  <c r="AE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tc={612CAA16-DC52-934B-8E41-992B8E9B2752}</author>
  </authors>
  <commentList>
    <comment ref="B42" authorId="0" shapeId="0" xr:uid="{612CAA16-DC52-934B-8E41-992B8E9B2752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Utvikler utleieboliger, residential care units og commercial properties i Stor-Stockholm
</t>
      </text>
    </comment>
  </commentList>
</comments>
</file>

<file path=xl/sharedStrings.xml><?xml version="1.0" encoding="utf-8"?>
<sst xmlns="http://schemas.openxmlformats.org/spreadsheetml/2006/main" count="172" uniqueCount="123">
  <si>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</si>
  <si>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</si>
  <si>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</si>
  <si>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</si>
  <si>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</si>
  <si>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</si>
  <si>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</si>
  <si>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</si>
  <si>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</si>
  <si>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</si>
  <si>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</si>
  <si>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</si>
  <si>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</si>
  <si>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</si>
  <si>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</si>
  <si>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</si>
  <si>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</si>
  <si>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</si>
  <si>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</si>
  <si>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</si>
  <si>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</si>
  <si>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</si>
  <si>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</si>
  <si>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</si>
  <si>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</si>
  <si>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</si>
  <si>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</si>
  <si>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</si>
  <si>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</si>
  <si>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</si>
  <si>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</si>
  <si>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</si>
  <si>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</si>
  <si>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</si>
  <si>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</si>
  <si>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</si>
  <si>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</si>
  <si>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</si>
  <si>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SEK million</t>
  </si>
  <si>
    <t>MC SEKm</t>
  </si>
  <si>
    <t>Cash SEKm</t>
  </si>
  <si>
    <t>Debt SEKm</t>
  </si>
  <si>
    <t>EV SEKm</t>
  </si>
  <si>
    <t>Revenue y/y</t>
  </si>
  <si>
    <t>EBIT margin</t>
  </si>
  <si>
    <t>Revenue</t>
  </si>
  <si>
    <t>Production and operating costs</t>
  </si>
  <si>
    <t>Gross profit</t>
  </si>
  <si>
    <t>Selling and adminstrative expenses</t>
  </si>
  <si>
    <t>Gains/losses on sale of property</t>
  </si>
  <si>
    <t>Operating profit</t>
  </si>
  <si>
    <t>Financial expenses</t>
  </si>
  <si>
    <t>Financial income</t>
  </si>
  <si>
    <t>PTP</t>
  </si>
  <si>
    <t>Taxes</t>
  </si>
  <si>
    <t>Net income</t>
  </si>
  <si>
    <t>Share</t>
  </si>
  <si>
    <t>EPS</t>
  </si>
  <si>
    <t>Gross margin</t>
  </si>
  <si>
    <t>Balanse SEKm</t>
  </si>
  <si>
    <t xml:space="preserve">Cash flow SEKm </t>
  </si>
  <si>
    <t>Intangible assets</t>
  </si>
  <si>
    <t>Participations in operations and JV</t>
  </si>
  <si>
    <t>Other non-current assets</t>
  </si>
  <si>
    <t>Project properties</t>
  </si>
  <si>
    <t>Development properties</t>
  </si>
  <si>
    <t>participations in tenant-owned ass</t>
  </si>
  <si>
    <t>Other current receivables</t>
  </si>
  <si>
    <t>Cash</t>
  </si>
  <si>
    <t>Total assets</t>
  </si>
  <si>
    <t>Equity</t>
  </si>
  <si>
    <t>Non-current IB liabilities</t>
  </si>
  <si>
    <t>Other non-current liabilities</t>
  </si>
  <si>
    <t>Non-current provisions</t>
  </si>
  <si>
    <t>Current IB liabilities</t>
  </si>
  <si>
    <t>Other current liabilities</t>
  </si>
  <si>
    <t>Current provisions</t>
  </si>
  <si>
    <t>Total debt</t>
  </si>
  <si>
    <t>Total E/D</t>
  </si>
  <si>
    <t>CFFO before WC and taxes</t>
  </si>
  <si>
    <t>Tax paid</t>
  </si>
  <si>
    <t>Increase/decrease development prop</t>
  </si>
  <si>
    <t>Increase/decrease in residental units</t>
  </si>
  <si>
    <t>Increase/decrease project properties</t>
  </si>
  <si>
    <t>Increase/decrease liabilities/receivables</t>
  </si>
  <si>
    <t xml:space="preserve">CFFO </t>
  </si>
  <si>
    <t>CFFI</t>
  </si>
  <si>
    <t>Loans raised</t>
  </si>
  <si>
    <t>Amortization of liabilities</t>
  </si>
  <si>
    <t>Dividends</t>
  </si>
  <si>
    <t>CFFF</t>
  </si>
  <si>
    <t>FCF</t>
  </si>
  <si>
    <t>FX</t>
  </si>
  <si>
    <t>CIC</t>
  </si>
  <si>
    <t>Housing starts</t>
  </si>
  <si>
    <t>Units sold</t>
  </si>
  <si>
    <t>ROE</t>
  </si>
  <si>
    <t>FY 2015</t>
  </si>
  <si>
    <t>FY 2016</t>
  </si>
  <si>
    <t>FY 2017</t>
  </si>
  <si>
    <t>FY 2018</t>
  </si>
  <si>
    <t>Disocunt</t>
  </si>
  <si>
    <t>TV</t>
  </si>
  <si>
    <t>NPV</t>
  </si>
  <si>
    <t>NPV/share</t>
  </si>
  <si>
    <t>Opp/nedside</t>
  </si>
  <si>
    <t>Units sold (Investor)</t>
  </si>
  <si>
    <t>Housing starts (Investor)</t>
  </si>
  <si>
    <t>y/y</t>
  </si>
  <si>
    <t>P/B</t>
  </si>
  <si>
    <t>Operating profit (EBIT)</t>
  </si>
  <si>
    <t>Stockholm</t>
  </si>
  <si>
    <t>Operating margin %</t>
  </si>
  <si>
    <t>Growth %</t>
  </si>
  <si>
    <t>Operating cashflow</t>
  </si>
  <si>
    <t>Sweden</t>
  </si>
  <si>
    <t>Units sold (Consumer)</t>
  </si>
  <si>
    <t>Housing starts (Consumer)</t>
  </si>
  <si>
    <t>Norway</t>
  </si>
  <si>
    <t>Finland</t>
  </si>
  <si>
    <t>Property dev</t>
  </si>
  <si>
    <t>Units sold (Investors)</t>
  </si>
  <si>
    <t>Housing starts (Investors)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</si>
</sst>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6" fontId="1" fillId="0" borderId="0" xfId="0" applyNumberFormat="1" applyFont="1"/>
    <xf numFmtId="0" fontId="5" fillId="0" borderId="2" xfId="0" applyFont="1" applyBorder="1"/>
    <xf numFmtId="0" fontId="6" fillId="0" borderId="2" xfId="0" applyFont="1" applyBorder="1"/>
    <xf numFmtId="2" fontId="2" fillId="0" borderId="1" xfId="0" applyNumberFormat="1" applyFont="1" applyBorder="1"/>
    <xf numFmtId="166" fontId="1" fillId="0" borderId="1" xfId="0" applyNumberFormat="1" applyFont="1" applyBorder="1"/>
    <xf numFmtId="10" fontId="2" fillId="0" borderId="1" xfId="0" applyNumberFormat="1" applyFont="1" applyBorder="1"/>
    <xf numFmtId="3" fontId="4" fillId="0" borderId="1" xfId="0" applyNumberFormat="1" applyFont="1" applyBorder="1"/>
    <xf numFmtId="0" fontId="2" fillId="0" borderId="3" xfId="0" applyFont="1" applyBorder="1"/>
    <xf numFmtId="9" fontId="2" fillId="0" borderId="0" xfId="0" applyNumberFormat="1" applyFont="1"/>
    <xf numFmtId="165" fontId="6" fillId="0" borderId="2" xfId="0" applyNumberFormat="1" applyFont="1" applyBorder="1"/>
    <xf numFmtId="8" fontId="2" fillId="0" borderId="3" xfId="0" applyNumberFormat="1" applyFont="1" applyBorder="1"/>
    <xf numFmtId="166" fontId="2" fillId="0" borderId="1" xfId="0" applyNumberFormat="1" applyFont="1" applyBorder="1"/>
    <xf numFmtId="10" fontId="4" fillId="0" borderId="0" xfId="0" applyNumberFormat="1" applyFont="1"/>
    <xf numFmtId="166" fontId="4" fillId="0" borderId="0" xfId="0" applyNumberFormat="1" applyFont="1"/>
    <xf numFmtId="0" fontId="1" fillId="0" borderId="5" xfId="0" applyFont="1" applyBorder="1" applyAlignment="1">
      <alignment horizontal="right"/>
    </xf>
    <xf numFmtId="0" fontId="2" fillId="0" borderId="5" xfId="0" applyFont="1" applyBorder="1"/>
    <xf numFmtId="0" fontId="1" fillId="0" borderId="5" xfId="0" applyFont="1" applyBorder="1"/>
    <xf numFmtId="166" fontId="3" fillId="0" borderId="5" xfId="0" applyNumberFormat="1" applyFont="1" applyBorder="1"/>
    <xf numFmtId="10" fontId="3" fillId="0" borderId="5" xfId="0" applyNumberFormat="1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12699</xdr:colOff>
      <xdr:row>0</xdr:row>
      <xdr:rowOff>12700</xdr:rowOff>
    </xdr:from>
    <xdr:to>
      <xdr:col>16</xdr:col>
      <xdr:colOff>791954</xdr:colOff>
      <xdr:row>5</xdr:row>
      <xdr:rowOff>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A9888FB-B769-0C57-3053-4164ABD18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699" y="12700"/>
          <a:ext cx="10685255" cy="1193800"/>
        </a:xfrm>
        <a:prstGeom prst="rect">
          <a:avLst/>
        </a:prstGeom>
      </xdr:spPr>
    </xdr:pic>
    <xdr:clientData/>
  </xdr:twoCellAnchor>
  <xdr:twoCellAnchor editAs="oneCell">
    <xdr:from>
      <xdr:col>3</xdr:col>
      <xdr:colOff>812800</xdr:colOff>
      <xdr:row>4</xdr:row>
      <xdr:rowOff>190500</xdr:rowOff>
    </xdr:from>
    <xdr:to>
      <xdr:col>9</xdr:col>
      <xdr:colOff>67816</xdr:colOff>
      <xdr:row>12</xdr:row>
      <xdr:rowOff>88900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9BB72DD8-B2B9-C031-7E8B-C525969E7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9300" y="1155700"/>
          <a:ext cx="4208016" cy="1828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E9C6CFBE-895F-8144-ADFC-8E68814CA4CD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5-07-21T19:21:26.08" personId="{E9C6CFBE-895F-8144-ADFC-8E68814CA4CD}" id="{612CAA16-DC52-934B-8E41-992B8E9B2752}">
    <text xml:space="preserve">Utvikler utleieboliger, residential care units og commercial properties i Stor-Stockholm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8"/>
  <sheetViews>
    <sheetView showGridLines="0" workbookViewId="0">
      <selection activeCell="K12" sqref="K12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DY68"/>
  <sheetViews>
    <sheetView showGridLines="0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8.66406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1" width="10.83203125" style="2"/>
    <col min="32" max="32" width="10.83203125" style="4"/>
    <col min="33" max="43" width="10.83203125" style="2"/>
    <col min="44" max="44" width="14.1640625" style="2" bestFit="1" customWidth="1"/>
    <col min="45" max="45" width="14" style="2" bestFit="1" customWidth="1"/>
    <col min="46" max="16384" width="10.83203125" style="2"/>
  </cols>
  <sheetData>
    <row r="1" spans="1:129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B1" s="1"/>
    </row>
    <row r="3" spans="1:129" x14ac:dyDescent="0.25">
      <c r="A3" s="1" t="s">
        <v>0</v>
      </c>
      <c r="C3" s="2" t="s">
        <v>38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37</v>
      </c>
      <c r="Q3" s="17" t="s">
        <v>31</v>
      </c>
      <c r="R3" s="7" t="s">
        <v>35</v>
      </c>
      <c r="S3" s="7" t="s">
        <v>36</v>
      </c>
      <c r="T3" s="7"/>
      <c r="V3" s="7" t="s">
        <v>97</v>
      </c>
      <c r="W3" s="7" t="s">
        <v>98</v>
      </c>
      <c r="X3" s="7" t="s">
        <v>99</v>
      </c>
      <c r="Y3" s="7" t="s">
        <v>100</v>
      </c>
      <c r="Z3" s="7" t="s">
        <v>32</v>
      </c>
      <c r="AA3" s="7" t="s">
        <v>33</v>
      </c>
      <c r="AB3" s="7" t="s">
        <v>34</v>
      </c>
      <c r="AC3" s="7" t="s">
        <v>15</v>
      </c>
      <c r="AD3" s="7" t="s">
        <v>16</v>
      </c>
      <c r="AE3" s="7" t="s">
        <v>17</v>
      </c>
      <c r="AF3" s="17" t="s">
        <v>18</v>
      </c>
      <c r="AG3" s="7" t="s">
        <v>19</v>
      </c>
      <c r="AH3" s="7" t="s">
        <v>20</v>
      </c>
      <c r="AI3" s="7" t="s">
        <v>21</v>
      </c>
      <c r="AJ3" s="7" t="s">
        <v>22</v>
      </c>
      <c r="AK3" s="7" t="s">
        <v>23</v>
      </c>
      <c r="AL3" s="7" t="s">
        <v>24</v>
      </c>
      <c r="AM3" s="7" t="s">
        <v>25</v>
      </c>
      <c r="AN3" s="7" t="s">
        <v>26</v>
      </c>
      <c r="AO3" s="7" t="s">
        <v>27</v>
      </c>
      <c r="AP3" s="7" t="s">
        <v>28</v>
      </c>
    </row>
    <row r="4" spans="1:129" x14ac:dyDescent="0.25">
      <c r="A4" s="2" t="s">
        <v>1</v>
      </c>
      <c r="B4" s="4">
        <v>141.80000000000001</v>
      </c>
      <c r="C4" s="1" t="s">
        <v>45</v>
      </c>
      <c r="D4" s="12">
        <v>3854</v>
      </c>
      <c r="E4" s="12">
        <v>3790</v>
      </c>
      <c r="F4" s="12">
        <v>3790</v>
      </c>
      <c r="G4" s="12">
        <v>5152</v>
      </c>
      <c r="H4" s="12">
        <v>3962</v>
      </c>
      <c r="I4" s="12">
        <v>3636</v>
      </c>
      <c r="J4" s="12">
        <v>2846</v>
      </c>
      <c r="K4" s="12">
        <v>3407</v>
      </c>
      <c r="L4" s="12">
        <v>3034</v>
      </c>
      <c r="M4" s="12">
        <v>3583</v>
      </c>
      <c r="N4" s="12">
        <v>2515</v>
      </c>
      <c r="O4" s="12">
        <v>3375</v>
      </c>
      <c r="P4" s="12">
        <v>2539</v>
      </c>
      <c r="Q4" s="13">
        <v>2540</v>
      </c>
      <c r="R4" s="14"/>
      <c r="S4" s="14"/>
      <c r="T4" s="14"/>
      <c r="V4" s="12">
        <v>13939</v>
      </c>
      <c r="W4" s="12">
        <v>15291</v>
      </c>
      <c r="X4" s="12">
        <v>17008</v>
      </c>
      <c r="Y4" s="12">
        <v>16161</v>
      </c>
      <c r="Z4" s="12">
        <v>15692</v>
      </c>
      <c r="AA4" s="12">
        <v>15388</v>
      </c>
      <c r="AB4" s="12">
        <v>14608</v>
      </c>
      <c r="AC4" s="12">
        <v>16385</v>
      </c>
      <c r="AD4" s="12">
        <v>13851</v>
      </c>
      <c r="AE4" s="12">
        <v>12507</v>
      </c>
      <c r="AF4" s="13">
        <f>AE4*0.84</f>
        <v>10505.88</v>
      </c>
      <c r="AG4" s="12">
        <f>AF4*1.3</f>
        <v>13657.644</v>
      </c>
      <c r="AH4" s="12">
        <f>AG4*1.1</f>
        <v>15023.408400000002</v>
      </c>
      <c r="AI4" s="12">
        <f>AH4*1.05</f>
        <v>15774.578820000002</v>
      </c>
      <c r="AJ4" s="12">
        <f t="shared" ref="AJ4:AP4" si="0">AI4*1.05</f>
        <v>16563.307761000004</v>
      </c>
      <c r="AK4" s="12">
        <f t="shared" si="0"/>
        <v>17391.473149050005</v>
      </c>
      <c r="AL4" s="12">
        <f t="shared" si="0"/>
        <v>18261.046806502505</v>
      </c>
      <c r="AM4" s="12">
        <f t="shared" si="0"/>
        <v>19174.09914682763</v>
      </c>
      <c r="AN4" s="12">
        <f t="shared" si="0"/>
        <v>20132.804104169012</v>
      </c>
      <c r="AO4" s="12">
        <f t="shared" si="0"/>
        <v>21139.444309377464</v>
      </c>
      <c r="AP4" s="12">
        <f t="shared" si="0"/>
        <v>22196.41652484634</v>
      </c>
    </row>
    <row r="5" spans="1:129" x14ac:dyDescent="0.25">
      <c r="A5" s="2" t="s">
        <v>2</v>
      </c>
      <c r="B5" s="5">
        <v>64.504840000000002</v>
      </c>
      <c r="C5" s="2" t="s">
        <v>46</v>
      </c>
      <c r="D5" s="14">
        <v>-3140</v>
      </c>
      <c r="E5" s="14">
        <v>-3035</v>
      </c>
      <c r="F5" s="14">
        <v>-3035</v>
      </c>
      <c r="G5" s="14">
        <v>-4099</v>
      </c>
      <c r="H5" s="14">
        <v>-3290</v>
      </c>
      <c r="I5" s="14">
        <v>-3073</v>
      </c>
      <c r="J5" s="14">
        <v>-2489</v>
      </c>
      <c r="K5" s="14">
        <v>-3025</v>
      </c>
      <c r="L5" s="14">
        <v>-2653</v>
      </c>
      <c r="M5" s="14">
        <v>-3196</v>
      </c>
      <c r="N5" s="14">
        <v>-2221</v>
      </c>
      <c r="O5" s="14">
        <v>-2971</v>
      </c>
      <c r="P5" s="14">
        <v>-2179</v>
      </c>
      <c r="Q5" s="15">
        <v>-2194</v>
      </c>
      <c r="R5" s="14"/>
      <c r="S5" s="14"/>
      <c r="T5" s="14"/>
      <c r="V5" s="14">
        <v>-11630</v>
      </c>
      <c r="W5" s="14">
        <v>-12440</v>
      </c>
      <c r="X5" s="14">
        <v>-13648</v>
      </c>
      <c r="Y5" s="14">
        <v>-13247</v>
      </c>
      <c r="Z5" s="14">
        <v>-12994</v>
      </c>
      <c r="AA5" s="14">
        <v>-12607</v>
      </c>
      <c r="AB5" s="14">
        <v>-11814</v>
      </c>
      <c r="AC5" s="14">
        <v>-13216</v>
      </c>
      <c r="AD5" s="14">
        <v>-11877</v>
      </c>
      <c r="AE5" s="14">
        <v>-11040</v>
      </c>
      <c r="AF5" s="15">
        <f>AF4*-0.865</f>
        <v>-9087.5861999999997</v>
      </c>
      <c r="AG5" s="14">
        <f>AG4*-0.85</f>
        <v>-11608.9974</v>
      </c>
      <c r="AH5" s="14">
        <f>AH4*-0.84</f>
        <v>-12619.663056000001</v>
      </c>
      <c r="AI5" s="14">
        <f>AI4*-0.83</f>
        <v>-13092.900420600001</v>
      </c>
      <c r="AJ5" s="14">
        <f t="shared" ref="AJ5:AP5" si="1">AJ4*-0.83</f>
        <v>-13747.545441630002</v>
      </c>
      <c r="AK5" s="14">
        <f t="shared" si="1"/>
        <v>-14434.922713711503</v>
      </c>
      <c r="AL5" s="14">
        <f t="shared" si="1"/>
        <v>-15156.668849397078</v>
      </c>
      <c r="AM5" s="14">
        <f t="shared" si="1"/>
        <v>-15914.502291866931</v>
      </c>
      <c r="AN5" s="14">
        <f t="shared" si="1"/>
        <v>-16710.227406460279</v>
      </c>
      <c r="AO5" s="14">
        <f t="shared" si="1"/>
        <v>-17545.738776783295</v>
      </c>
      <c r="AP5" s="14">
        <f t="shared" si="1"/>
        <v>-18423.025715622462</v>
      </c>
    </row>
    <row r="6" spans="1:129" x14ac:dyDescent="0.25">
      <c r="A6" s="2" t="s">
        <v>39</v>
      </c>
      <c r="B6" s="5">
        <f>B4*B5</f>
        <v>9146.7863120000002</v>
      </c>
      <c r="C6" s="2" t="s">
        <v>47</v>
      </c>
      <c r="D6" s="14">
        <f t="shared" ref="D6:O6" si="2">SUM(D4:D5)</f>
        <v>714</v>
      </c>
      <c r="E6" s="14">
        <f t="shared" si="2"/>
        <v>755</v>
      </c>
      <c r="F6" s="14">
        <f t="shared" si="2"/>
        <v>755</v>
      </c>
      <c r="G6" s="14">
        <f t="shared" si="2"/>
        <v>1053</v>
      </c>
      <c r="H6" s="14">
        <f t="shared" si="2"/>
        <v>672</v>
      </c>
      <c r="I6" s="14">
        <f t="shared" si="2"/>
        <v>563</v>
      </c>
      <c r="J6" s="14">
        <f t="shared" si="2"/>
        <v>357</v>
      </c>
      <c r="K6" s="14">
        <f t="shared" si="2"/>
        <v>382</v>
      </c>
      <c r="L6" s="14">
        <f t="shared" si="2"/>
        <v>381</v>
      </c>
      <c r="M6" s="14">
        <f t="shared" si="2"/>
        <v>387</v>
      </c>
      <c r="N6" s="14">
        <f t="shared" si="2"/>
        <v>294</v>
      </c>
      <c r="O6" s="14">
        <f t="shared" si="2"/>
        <v>404</v>
      </c>
      <c r="P6" s="14">
        <f>SUM(P4:P5)</f>
        <v>360</v>
      </c>
      <c r="Q6" s="15">
        <f>SUM(Q4:Q5)</f>
        <v>346</v>
      </c>
      <c r="R6" s="14"/>
      <c r="S6" s="14"/>
      <c r="T6" s="14"/>
      <c r="V6" s="14">
        <f t="shared" ref="V6:AE6" si="3">SUM(V4:V5)</f>
        <v>2309</v>
      </c>
      <c r="W6" s="14">
        <f t="shared" si="3"/>
        <v>2851</v>
      </c>
      <c r="X6" s="14">
        <f t="shared" si="3"/>
        <v>3360</v>
      </c>
      <c r="Y6" s="14">
        <f t="shared" si="3"/>
        <v>2914</v>
      </c>
      <c r="Z6" s="14">
        <f t="shared" si="3"/>
        <v>2698</v>
      </c>
      <c r="AA6" s="14">
        <f t="shared" si="3"/>
        <v>2781</v>
      </c>
      <c r="AB6" s="14">
        <f t="shared" si="3"/>
        <v>2794</v>
      </c>
      <c r="AC6" s="14">
        <f t="shared" si="3"/>
        <v>3169</v>
      </c>
      <c r="AD6" s="14">
        <f t="shared" si="3"/>
        <v>1974</v>
      </c>
      <c r="AE6" s="14">
        <f t="shared" si="3"/>
        <v>1467</v>
      </c>
      <c r="AF6" s="15">
        <f t="shared" ref="AF6" si="4">SUM(AF4:AF5)</f>
        <v>1418.2937999999995</v>
      </c>
      <c r="AG6" s="14">
        <f t="shared" ref="AG6" si="5">SUM(AG4:AG5)</f>
        <v>2048.6466</v>
      </c>
      <c r="AH6" s="14">
        <f t="shared" ref="AH6" si="6">SUM(AH4:AH5)</f>
        <v>2403.7453440000008</v>
      </c>
      <c r="AI6" s="14">
        <f t="shared" ref="AI6" si="7">SUM(AI4:AI5)</f>
        <v>2681.6783994000016</v>
      </c>
      <c r="AJ6" s="14">
        <f t="shared" ref="AJ6" si="8">SUM(AJ4:AJ5)</f>
        <v>2815.7623193700019</v>
      </c>
      <c r="AK6" s="14">
        <f t="shared" ref="AK6" si="9">SUM(AK4:AK5)</f>
        <v>2956.5504353385022</v>
      </c>
      <c r="AL6" s="14">
        <f t="shared" ref="AL6" si="10">SUM(AL4:AL5)</f>
        <v>3104.3779571054274</v>
      </c>
      <c r="AM6" s="14">
        <f t="shared" ref="AM6" si="11">SUM(AM4:AM5)</f>
        <v>3259.5968549606987</v>
      </c>
      <c r="AN6" s="14">
        <f t="shared" ref="AN6" si="12">SUM(AN4:AN5)</f>
        <v>3422.5766977087333</v>
      </c>
      <c r="AO6" s="14">
        <f t="shared" ref="AO6" si="13">SUM(AO4:AO5)</f>
        <v>3593.7055325941692</v>
      </c>
      <c r="AP6" s="14">
        <f t="shared" ref="AP6" si="14">SUM(AP4:AP5)</f>
        <v>3773.390809223878</v>
      </c>
    </row>
    <row r="7" spans="1:129" x14ac:dyDescent="0.25">
      <c r="A7" s="2" t="s">
        <v>40</v>
      </c>
      <c r="B7" s="5">
        <f>Q35</f>
        <v>157</v>
      </c>
      <c r="C7" s="2" t="s">
        <v>48</v>
      </c>
      <c r="D7" s="14">
        <v>-255</v>
      </c>
      <c r="E7" s="14">
        <v>-317</v>
      </c>
      <c r="F7" s="14">
        <v>-317</v>
      </c>
      <c r="G7" s="14">
        <v>-284</v>
      </c>
      <c r="H7" s="14">
        <v>-252</v>
      </c>
      <c r="I7" s="14">
        <v>-305</v>
      </c>
      <c r="J7" s="14">
        <v>-203</v>
      </c>
      <c r="K7" s="14">
        <v>-227</v>
      </c>
      <c r="L7" s="14">
        <v>-222</v>
      </c>
      <c r="M7" s="14">
        <v>-227</v>
      </c>
      <c r="N7" s="14">
        <v>-215</v>
      </c>
      <c r="O7" s="14">
        <v>-264</v>
      </c>
      <c r="P7" s="14">
        <v>-227</v>
      </c>
      <c r="Q7" s="15">
        <v>-236</v>
      </c>
      <c r="R7" s="14"/>
      <c r="S7" s="14"/>
      <c r="T7" s="14"/>
      <c r="V7" s="14">
        <v>-866</v>
      </c>
      <c r="W7" s="14">
        <v>-935</v>
      </c>
      <c r="X7" s="14">
        <v>-1005</v>
      </c>
      <c r="Y7" s="14">
        <v>-1041</v>
      </c>
      <c r="Z7" s="14">
        <v>-966</v>
      </c>
      <c r="AA7" s="14">
        <v>-944</v>
      </c>
      <c r="AB7" s="14">
        <v>-1015</v>
      </c>
      <c r="AC7" s="14">
        <v>-1094</v>
      </c>
      <c r="AD7" s="14">
        <v>-985</v>
      </c>
      <c r="AE7" s="14">
        <v>-927</v>
      </c>
      <c r="AF7" s="15">
        <f>AE7*1.025</f>
        <v>-950.17499999999995</v>
      </c>
      <c r="AG7" s="14">
        <f>AF7*1.25</f>
        <v>-1187.71875</v>
      </c>
      <c r="AH7" s="14">
        <f>AG7*1</f>
        <v>-1187.71875</v>
      </c>
      <c r="AI7" s="14">
        <f>AH7*1.08</f>
        <v>-1282.7362500000002</v>
      </c>
      <c r="AJ7" s="14">
        <f t="shared" ref="AJ7:AP7" si="15">AI7*1.04</f>
        <v>-1334.0457000000001</v>
      </c>
      <c r="AK7" s="14">
        <f t="shared" si="15"/>
        <v>-1387.4075280000002</v>
      </c>
      <c r="AL7" s="14">
        <f t="shared" si="15"/>
        <v>-1442.9038291200002</v>
      </c>
      <c r="AM7" s="14">
        <f t="shared" si="15"/>
        <v>-1500.6199822848002</v>
      </c>
      <c r="AN7" s="14">
        <f t="shared" si="15"/>
        <v>-1560.6447815761924</v>
      </c>
      <c r="AO7" s="14">
        <f t="shared" si="15"/>
        <v>-1623.0705728392402</v>
      </c>
      <c r="AP7" s="14">
        <f t="shared" si="15"/>
        <v>-1687.9933957528099</v>
      </c>
    </row>
    <row r="8" spans="1:129" x14ac:dyDescent="0.25">
      <c r="A8" s="2" t="s">
        <v>41</v>
      </c>
      <c r="B8" s="5">
        <f>Q38+Q41</f>
        <v>2015</v>
      </c>
      <c r="C8" s="2" t="s">
        <v>49</v>
      </c>
      <c r="D8" s="14">
        <v>7</v>
      </c>
      <c r="E8" s="14">
        <v>-6</v>
      </c>
      <c r="F8" s="14">
        <v>-6</v>
      </c>
      <c r="G8" s="14">
        <v>-3</v>
      </c>
      <c r="H8" s="14">
        <v>-4</v>
      </c>
      <c r="I8" s="14">
        <v>1</v>
      </c>
      <c r="J8" s="14">
        <v>-8</v>
      </c>
      <c r="K8" s="14">
        <v>-245</v>
      </c>
      <c r="L8" s="14">
        <v>1</v>
      </c>
      <c r="M8" s="14">
        <v>9</v>
      </c>
      <c r="N8" s="14">
        <v>15</v>
      </c>
      <c r="O8" s="14">
        <v>-34</v>
      </c>
      <c r="P8" s="14">
        <v>-3</v>
      </c>
      <c r="Q8" s="15">
        <v>6</v>
      </c>
      <c r="R8" s="14"/>
      <c r="S8" s="14"/>
      <c r="T8" s="14"/>
      <c r="V8" s="14">
        <v>56</v>
      </c>
      <c r="W8" s="14">
        <v>15</v>
      </c>
      <c r="X8" s="14">
        <v>14</v>
      </c>
      <c r="Y8" s="14">
        <v>13</v>
      </c>
      <c r="Z8" s="14">
        <v>276</v>
      </c>
      <c r="AA8" s="14">
        <v>191</v>
      </c>
      <c r="AB8" s="14">
        <v>436</v>
      </c>
      <c r="AC8" s="14">
        <v>-11</v>
      </c>
      <c r="AD8" s="14">
        <v>-256</v>
      </c>
      <c r="AE8" s="14">
        <v>-8</v>
      </c>
      <c r="AF8" s="15">
        <f>AE8*1.025</f>
        <v>-8.1999999999999993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</row>
    <row r="9" spans="1:129" x14ac:dyDescent="0.25">
      <c r="A9" s="3" t="s">
        <v>42</v>
      </c>
      <c r="B9" s="6">
        <f>B6-B7+B8</f>
        <v>11004.786312</v>
      </c>
      <c r="C9" s="1" t="s">
        <v>110</v>
      </c>
      <c r="D9" s="12">
        <f t="shared" ref="D9:O9" si="16">SUM(D6:D8)</f>
        <v>466</v>
      </c>
      <c r="E9" s="12">
        <f t="shared" si="16"/>
        <v>432</v>
      </c>
      <c r="F9" s="12">
        <f t="shared" si="16"/>
        <v>432</v>
      </c>
      <c r="G9" s="12">
        <f t="shared" si="16"/>
        <v>766</v>
      </c>
      <c r="H9" s="12">
        <f t="shared" si="16"/>
        <v>416</v>
      </c>
      <c r="I9" s="12">
        <f t="shared" si="16"/>
        <v>259</v>
      </c>
      <c r="J9" s="12">
        <f t="shared" si="16"/>
        <v>146</v>
      </c>
      <c r="K9" s="12">
        <f t="shared" si="16"/>
        <v>-90</v>
      </c>
      <c r="L9" s="12">
        <f t="shared" si="16"/>
        <v>160</v>
      </c>
      <c r="M9" s="12">
        <f t="shared" si="16"/>
        <v>169</v>
      </c>
      <c r="N9" s="12">
        <f t="shared" si="16"/>
        <v>94</v>
      </c>
      <c r="O9" s="12">
        <f t="shared" si="16"/>
        <v>106</v>
      </c>
      <c r="P9" s="12">
        <f>SUM(P6:P8)</f>
        <v>130</v>
      </c>
      <c r="Q9" s="13">
        <f>SUM(Q6:Q8)</f>
        <v>116</v>
      </c>
      <c r="R9" s="14"/>
      <c r="S9" s="14"/>
      <c r="T9" s="14"/>
      <c r="V9" s="12">
        <f t="shared" ref="V9:AE9" si="17">SUM(V6:V8)</f>
        <v>1499</v>
      </c>
      <c r="W9" s="12">
        <f t="shared" si="17"/>
        <v>1931</v>
      </c>
      <c r="X9" s="12">
        <f t="shared" si="17"/>
        <v>2369</v>
      </c>
      <c r="Y9" s="12">
        <f t="shared" si="17"/>
        <v>1886</v>
      </c>
      <c r="Z9" s="12">
        <f t="shared" si="17"/>
        <v>2008</v>
      </c>
      <c r="AA9" s="12">
        <f t="shared" si="17"/>
        <v>2028</v>
      </c>
      <c r="AB9" s="12">
        <f t="shared" si="17"/>
        <v>2215</v>
      </c>
      <c r="AC9" s="12">
        <f t="shared" si="17"/>
        <v>2064</v>
      </c>
      <c r="AD9" s="12">
        <f t="shared" si="17"/>
        <v>733</v>
      </c>
      <c r="AE9" s="12">
        <f t="shared" si="17"/>
        <v>532</v>
      </c>
      <c r="AF9" s="13">
        <f t="shared" ref="AF9" si="18">SUM(AF6:AF8)</f>
        <v>459.91879999999952</v>
      </c>
      <c r="AG9" s="12">
        <f t="shared" ref="AG9" si="19">SUM(AG6:AG8)</f>
        <v>860.92785000000003</v>
      </c>
      <c r="AH9" s="12">
        <f t="shared" ref="AH9" si="20">SUM(AH6:AH8)</f>
        <v>1216.0265940000008</v>
      </c>
      <c r="AI9" s="12">
        <f t="shared" ref="AI9" si="21">SUM(AI6:AI8)</f>
        <v>1398.9421494000014</v>
      </c>
      <c r="AJ9" s="12">
        <f t="shared" ref="AJ9" si="22">SUM(AJ6:AJ8)</f>
        <v>1481.7166193700018</v>
      </c>
      <c r="AK9" s="12">
        <f t="shared" ref="AK9" si="23">SUM(AK6:AK8)</f>
        <v>1569.142907338502</v>
      </c>
      <c r="AL9" s="12">
        <f t="shared" ref="AL9" si="24">SUM(AL6:AL8)</f>
        <v>1661.4741279854272</v>
      </c>
      <c r="AM9" s="12">
        <f t="shared" ref="AM9" si="25">SUM(AM6:AM8)</f>
        <v>1758.9768726758984</v>
      </c>
      <c r="AN9" s="12">
        <f t="shared" ref="AN9" si="26">SUM(AN6:AN8)</f>
        <v>1861.9319161325409</v>
      </c>
      <c r="AO9" s="12">
        <f t="shared" ref="AO9" si="27">SUM(AO6:AO8)</f>
        <v>1970.634959754929</v>
      </c>
      <c r="AP9" s="12">
        <f t="shared" ref="AP9" si="28">SUM(AP6:AP8)</f>
        <v>2085.3974134710679</v>
      </c>
    </row>
    <row r="10" spans="1:129" x14ac:dyDescent="0.25">
      <c r="C10" s="2" t="s">
        <v>52</v>
      </c>
      <c r="D10" s="14">
        <v>-16</v>
      </c>
      <c r="E10" s="14">
        <v>-14</v>
      </c>
      <c r="F10" s="14">
        <v>-14</v>
      </c>
      <c r="G10" s="14">
        <v>-21</v>
      </c>
      <c r="H10" s="14">
        <v>-23</v>
      </c>
      <c r="I10" s="14">
        <v>-27</v>
      </c>
      <c r="J10" s="14">
        <v>-27</v>
      </c>
      <c r="K10" s="14">
        <v>-23</v>
      </c>
      <c r="L10" s="14">
        <v>5</v>
      </c>
      <c r="M10" s="14">
        <v>2</v>
      </c>
      <c r="N10" s="14">
        <v>-24</v>
      </c>
      <c r="O10" s="14">
        <v>-26</v>
      </c>
      <c r="P10" s="14">
        <v>6</v>
      </c>
      <c r="Q10" s="15">
        <v>2</v>
      </c>
      <c r="R10" s="14"/>
      <c r="S10" s="14"/>
      <c r="T10" s="14"/>
      <c r="V10" s="14">
        <v>11</v>
      </c>
      <c r="W10" s="14">
        <v>17</v>
      </c>
      <c r="X10" s="14">
        <v>279</v>
      </c>
      <c r="Y10" s="14">
        <v>10</v>
      </c>
      <c r="Z10" s="14">
        <v>6</v>
      </c>
      <c r="AA10" s="14">
        <v>6</v>
      </c>
      <c r="AB10" s="14">
        <v>4</v>
      </c>
      <c r="AC10" s="14">
        <v>19</v>
      </c>
      <c r="AD10" s="14">
        <v>33</v>
      </c>
      <c r="AE10" s="14">
        <v>24</v>
      </c>
      <c r="AF10" s="15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</row>
    <row r="11" spans="1:129" x14ac:dyDescent="0.25">
      <c r="C11" s="2" t="s">
        <v>51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-37</v>
      </c>
      <c r="M11" s="14">
        <v>-48</v>
      </c>
      <c r="N11" s="14">
        <v>0</v>
      </c>
      <c r="O11" s="14">
        <v>0</v>
      </c>
      <c r="P11" s="14">
        <v>-47</v>
      </c>
      <c r="Q11" s="15">
        <v>-49</v>
      </c>
      <c r="R11" s="14"/>
      <c r="S11" s="14"/>
      <c r="T11" s="14"/>
      <c r="V11" s="14">
        <v>-83</v>
      </c>
      <c r="W11" s="14">
        <v>-77</v>
      </c>
      <c r="X11" s="14">
        <v>-69</v>
      </c>
      <c r="Y11" s="14">
        <v>-79</v>
      </c>
      <c r="Z11" s="14">
        <v>-86</v>
      </c>
      <c r="AA11" s="14">
        <v>-79</v>
      </c>
      <c r="AB11" s="14">
        <v>-62</v>
      </c>
      <c r="AC11" s="14">
        <v>-89</v>
      </c>
      <c r="AD11" s="14">
        <v>-133</v>
      </c>
      <c r="AE11" s="14">
        <v>-151</v>
      </c>
      <c r="AF11" s="15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</row>
    <row r="12" spans="1:129" x14ac:dyDescent="0.25">
      <c r="C12" s="2" t="s">
        <v>53</v>
      </c>
      <c r="D12" s="14">
        <f t="shared" ref="D12:O12" si="29">SUM(D9:D11)</f>
        <v>450</v>
      </c>
      <c r="E12" s="14">
        <f t="shared" si="29"/>
        <v>418</v>
      </c>
      <c r="F12" s="14">
        <f t="shared" si="29"/>
        <v>418</v>
      </c>
      <c r="G12" s="14">
        <f t="shared" si="29"/>
        <v>745</v>
      </c>
      <c r="H12" s="14">
        <f t="shared" si="29"/>
        <v>393</v>
      </c>
      <c r="I12" s="14">
        <f t="shared" si="29"/>
        <v>232</v>
      </c>
      <c r="J12" s="14">
        <f t="shared" si="29"/>
        <v>119</v>
      </c>
      <c r="K12" s="14">
        <f t="shared" si="29"/>
        <v>-113</v>
      </c>
      <c r="L12" s="14">
        <f t="shared" si="29"/>
        <v>128</v>
      </c>
      <c r="M12" s="14">
        <f t="shared" si="29"/>
        <v>123</v>
      </c>
      <c r="N12" s="14">
        <f t="shared" si="29"/>
        <v>70</v>
      </c>
      <c r="O12" s="14">
        <f t="shared" si="29"/>
        <v>80</v>
      </c>
      <c r="P12" s="14">
        <f>SUM(P9:P11)</f>
        <v>89</v>
      </c>
      <c r="Q12" s="15">
        <f>SUM(Q9:Q11)</f>
        <v>69</v>
      </c>
      <c r="R12" s="14"/>
      <c r="S12" s="14"/>
      <c r="T12" s="14"/>
      <c r="V12" s="14">
        <f t="shared" ref="V12:AE12" si="30">SUM(V9:V11)</f>
        <v>1427</v>
      </c>
      <c r="W12" s="14">
        <f t="shared" si="30"/>
        <v>1871</v>
      </c>
      <c r="X12" s="14">
        <f t="shared" si="30"/>
        <v>2579</v>
      </c>
      <c r="Y12" s="14">
        <f t="shared" si="30"/>
        <v>1817</v>
      </c>
      <c r="Z12" s="14">
        <f t="shared" si="30"/>
        <v>1928</v>
      </c>
      <c r="AA12" s="14">
        <f t="shared" si="30"/>
        <v>1955</v>
      </c>
      <c r="AB12" s="14">
        <f t="shared" si="30"/>
        <v>2157</v>
      </c>
      <c r="AC12" s="14">
        <f t="shared" si="30"/>
        <v>1994</v>
      </c>
      <c r="AD12" s="14">
        <f t="shared" si="30"/>
        <v>633</v>
      </c>
      <c r="AE12" s="14">
        <f t="shared" si="30"/>
        <v>405</v>
      </c>
      <c r="AF12" s="15">
        <f t="shared" ref="AF12" si="31">SUM(AF9:AF11)</f>
        <v>459.91879999999952</v>
      </c>
      <c r="AG12" s="14">
        <f t="shared" ref="AG12" si="32">SUM(AG9:AG11)</f>
        <v>860.92785000000003</v>
      </c>
      <c r="AH12" s="14">
        <f t="shared" ref="AH12" si="33">SUM(AH9:AH11)</f>
        <v>1216.0265940000008</v>
      </c>
      <c r="AI12" s="14">
        <f t="shared" ref="AI12" si="34">SUM(AI9:AI11)</f>
        <v>1398.9421494000014</v>
      </c>
      <c r="AJ12" s="14">
        <f t="shared" ref="AJ12" si="35">SUM(AJ9:AJ11)</f>
        <v>1481.7166193700018</v>
      </c>
      <c r="AK12" s="14">
        <f t="shared" ref="AK12" si="36">SUM(AK9:AK11)</f>
        <v>1569.142907338502</v>
      </c>
      <c r="AL12" s="14">
        <f t="shared" ref="AL12" si="37">SUM(AL9:AL11)</f>
        <v>1661.4741279854272</v>
      </c>
      <c r="AM12" s="14">
        <f t="shared" ref="AM12" si="38">SUM(AM9:AM11)</f>
        <v>1758.9768726758984</v>
      </c>
      <c r="AN12" s="14">
        <f t="shared" ref="AN12" si="39">SUM(AN9:AN11)</f>
        <v>1861.9319161325409</v>
      </c>
      <c r="AO12" s="14">
        <f t="shared" ref="AO12" si="40">SUM(AO9:AO11)</f>
        <v>1970.634959754929</v>
      </c>
      <c r="AP12" s="14">
        <f t="shared" ref="AP12" si="41">SUM(AP9:AP11)</f>
        <v>2085.3974134710679</v>
      </c>
    </row>
    <row r="13" spans="1:129" x14ac:dyDescent="0.25">
      <c r="C13" s="2" t="s">
        <v>54</v>
      </c>
      <c r="D13" s="14">
        <v>-94</v>
      </c>
      <c r="E13" s="14">
        <v>-87</v>
      </c>
      <c r="F13" s="14">
        <v>-87</v>
      </c>
      <c r="G13" s="14">
        <v>-152</v>
      </c>
      <c r="H13" s="14">
        <v>-83</v>
      </c>
      <c r="I13" s="14">
        <v>-49</v>
      </c>
      <c r="J13" s="14">
        <v>-43</v>
      </c>
      <c r="K13" s="14">
        <v>-23</v>
      </c>
      <c r="L13" s="14">
        <v>-49</v>
      </c>
      <c r="M13" s="14">
        <v>-48</v>
      </c>
      <c r="N13" s="14">
        <v>-35</v>
      </c>
      <c r="O13" s="14">
        <v>-26</v>
      </c>
      <c r="P13" s="14">
        <v>-38</v>
      </c>
      <c r="Q13" s="15">
        <v>-32</v>
      </c>
      <c r="R13" s="14"/>
      <c r="S13" s="14"/>
      <c r="T13" s="14"/>
      <c r="V13" s="14">
        <v>-342</v>
      </c>
      <c r="W13" s="14">
        <v>-393</v>
      </c>
      <c r="X13" s="14">
        <v>-385</v>
      </c>
      <c r="Y13" s="14">
        <v>-379</v>
      </c>
      <c r="Z13" s="14">
        <v>-358</v>
      </c>
      <c r="AA13" s="14">
        <v>-380</v>
      </c>
      <c r="AB13" s="14">
        <v>-360</v>
      </c>
      <c r="AC13" s="14">
        <v>-419</v>
      </c>
      <c r="AD13" s="14">
        <v>-199</v>
      </c>
      <c r="AE13" s="14">
        <v>-157</v>
      </c>
      <c r="AF13" s="15">
        <f>AF12*-0.2</f>
        <v>-91.983759999999904</v>
      </c>
      <c r="AG13" s="14">
        <f t="shared" ref="AG13:AP13" si="42">AG12*-0.2</f>
        <v>-172.18557000000001</v>
      </c>
      <c r="AH13" s="14">
        <f t="shared" si="42"/>
        <v>-243.20531880000019</v>
      </c>
      <c r="AI13" s="14">
        <f t="shared" si="42"/>
        <v>-279.78842988000031</v>
      </c>
      <c r="AJ13" s="14">
        <f t="shared" si="42"/>
        <v>-296.34332387400036</v>
      </c>
      <c r="AK13" s="14">
        <f t="shared" si="42"/>
        <v>-313.82858146770042</v>
      </c>
      <c r="AL13" s="14">
        <f t="shared" si="42"/>
        <v>-332.29482559708549</v>
      </c>
      <c r="AM13" s="14">
        <f t="shared" si="42"/>
        <v>-351.79537453517969</v>
      </c>
      <c r="AN13" s="14">
        <f t="shared" si="42"/>
        <v>-372.3863832265082</v>
      </c>
      <c r="AO13" s="14">
        <f t="shared" si="42"/>
        <v>-394.12699195098583</v>
      </c>
      <c r="AP13" s="14">
        <f t="shared" si="42"/>
        <v>-417.0794826942136</v>
      </c>
    </row>
    <row r="14" spans="1:129" x14ac:dyDescent="0.25">
      <c r="C14" s="1" t="s">
        <v>55</v>
      </c>
      <c r="D14" s="12">
        <f t="shared" ref="D14:O14" si="43">SUM(D12:D13)</f>
        <v>356</v>
      </c>
      <c r="E14" s="12">
        <f t="shared" si="43"/>
        <v>331</v>
      </c>
      <c r="F14" s="12">
        <f t="shared" si="43"/>
        <v>331</v>
      </c>
      <c r="G14" s="12">
        <f t="shared" si="43"/>
        <v>593</v>
      </c>
      <c r="H14" s="12">
        <f t="shared" si="43"/>
        <v>310</v>
      </c>
      <c r="I14" s="12">
        <f t="shared" si="43"/>
        <v>183</v>
      </c>
      <c r="J14" s="12">
        <f t="shared" si="43"/>
        <v>76</v>
      </c>
      <c r="K14" s="12">
        <f t="shared" si="43"/>
        <v>-136</v>
      </c>
      <c r="L14" s="12">
        <f t="shared" si="43"/>
        <v>79</v>
      </c>
      <c r="M14" s="12">
        <f t="shared" si="43"/>
        <v>75</v>
      </c>
      <c r="N14" s="12">
        <f t="shared" si="43"/>
        <v>35</v>
      </c>
      <c r="O14" s="12">
        <f t="shared" si="43"/>
        <v>54</v>
      </c>
      <c r="P14" s="12">
        <f>SUM(P12:P13)</f>
        <v>51</v>
      </c>
      <c r="Q14" s="13">
        <f>SUM(Q12:Q13)</f>
        <v>37</v>
      </c>
      <c r="R14" s="14"/>
      <c r="S14" s="14"/>
      <c r="T14" s="14"/>
      <c r="V14" s="12">
        <f t="shared" ref="V14:AE14" si="44">SUM(V12:V13)</f>
        <v>1085</v>
      </c>
      <c r="W14" s="12">
        <f t="shared" si="44"/>
        <v>1478</v>
      </c>
      <c r="X14" s="12">
        <f t="shared" si="44"/>
        <v>2194</v>
      </c>
      <c r="Y14" s="12">
        <f t="shared" si="44"/>
        <v>1438</v>
      </c>
      <c r="Z14" s="12">
        <f t="shared" si="44"/>
        <v>1570</v>
      </c>
      <c r="AA14" s="12">
        <f t="shared" si="44"/>
        <v>1575</v>
      </c>
      <c r="AB14" s="12">
        <f t="shared" si="44"/>
        <v>1797</v>
      </c>
      <c r="AC14" s="12">
        <f t="shared" si="44"/>
        <v>1575</v>
      </c>
      <c r="AD14" s="12">
        <f t="shared" si="44"/>
        <v>434</v>
      </c>
      <c r="AE14" s="12">
        <f t="shared" si="44"/>
        <v>248</v>
      </c>
      <c r="AF14" s="13">
        <f t="shared" ref="AF14" si="45">SUM(AF12:AF13)</f>
        <v>367.93503999999962</v>
      </c>
      <c r="AG14" s="12">
        <f t="shared" ref="AG14" si="46">SUM(AG12:AG13)</f>
        <v>688.74228000000005</v>
      </c>
      <c r="AH14" s="12">
        <f t="shared" ref="AH14" si="47">SUM(AH12:AH13)</f>
        <v>972.82127520000063</v>
      </c>
      <c r="AI14" s="12">
        <f t="shared" ref="AI14" si="48">SUM(AI12:AI13)</f>
        <v>1119.1537195200012</v>
      </c>
      <c r="AJ14" s="12">
        <f t="shared" ref="AJ14" si="49">SUM(AJ12:AJ13)</f>
        <v>1185.3732954960014</v>
      </c>
      <c r="AK14" s="12">
        <f t="shared" ref="AK14" si="50">SUM(AK12:AK13)</f>
        <v>1255.3143258708017</v>
      </c>
      <c r="AL14" s="12">
        <f t="shared" ref="AL14" si="51">SUM(AL12:AL13)</f>
        <v>1329.1793023883417</v>
      </c>
      <c r="AM14" s="12">
        <f t="shared" ref="AM14" si="52">SUM(AM12:AM13)</f>
        <v>1407.1814981407188</v>
      </c>
      <c r="AN14" s="12">
        <f t="shared" ref="AN14" si="53">SUM(AN12:AN13)</f>
        <v>1489.5455329060328</v>
      </c>
      <c r="AO14" s="12">
        <f t="shared" ref="AO14" si="54">SUM(AO12:AO13)</f>
        <v>1576.5079678039433</v>
      </c>
      <c r="AP14" s="12">
        <f t="shared" ref="AP14" si="55">SUM(AP12:AP13)</f>
        <v>1668.3179307768544</v>
      </c>
      <c r="AQ14" s="12">
        <f>AP14*(1+$AS$18)</f>
        <v>1651.6347514690858</v>
      </c>
      <c r="AR14" s="12">
        <f t="shared" ref="AR14:DC14" si="56">AQ14*(1+$AS$18)</f>
        <v>1635.118403954395</v>
      </c>
      <c r="AS14" s="12">
        <f t="shared" si="56"/>
        <v>1618.767219914851</v>
      </c>
      <c r="AT14" s="12">
        <f t="shared" si="56"/>
        <v>1602.5795477157026</v>
      </c>
      <c r="AU14" s="12">
        <f t="shared" si="56"/>
        <v>1586.5537522385455</v>
      </c>
      <c r="AV14" s="12">
        <f t="shared" si="56"/>
        <v>1570.68821471616</v>
      </c>
      <c r="AW14" s="12">
        <f t="shared" si="56"/>
        <v>1554.9813325689984</v>
      </c>
      <c r="AX14" s="12">
        <f t="shared" si="56"/>
        <v>1539.4315192433085</v>
      </c>
      <c r="AY14" s="12">
        <f t="shared" si="56"/>
        <v>1524.0372040508753</v>
      </c>
      <c r="AZ14" s="12">
        <f t="shared" si="56"/>
        <v>1508.7968320103664</v>
      </c>
      <c r="BA14" s="12">
        <f t="shared" si="56"/>
        <v>1493.7088636902627</v>
      </c>
      <c r="BB14" s="12">
        <f t="shared" si="56"/>
        <v>1478.77177505336</v>
      </c>
      <c r="BC14" s="12">
        <f t="shared" si="56"/>
        <v>1463.9840573028264</v>
      </c>
      <c r="BD14" s="12">
        <f t="shared" si="56"/>
        <v>1449.3442167297981</v>
      </c>
      <c r="BE14" s="12">
        <f t="shared" si="56"/>
        <v>1434.8507745625</v>
      </c>
      <c r="BF14" s="12">
        <f t="shared" si="56"/>
        <v>1420.5022668168749</v>
      </c>
      <c r="BG14" s="12">
        <f t="shared" si="56"/>
        <v>1406.2972441487061</v>
      </c>
      <c r="BH14" s="12">
        <f t="shared" si="56"/>
        <v>1392.234271707219</v>
      </c>
      <c r="BI14" s="12">
        <f t="shared" si="56"/>
        <v>1378.3119289901467</v>
      </c>
      <c r="BJ14" s="12">
        <f t="shared" si="56"/>
        <v>1364.5288097002453</v>
      </c>
      <c r="BK14" s="12">
        <f t="shared" si="56"/>
        <v>1350.8835216032428</v>
      </c>
      <c r="BL14" s="12">
        <f t="shared" si="56"/>
        <v>1337.3746863872104</v>
      </c>
      <c r="BM14" s="12">
        <f t="shared" si="56"/>
        <v>1324.0009395233383</v>
      </c>
      <c r="BN14" s="12">
        <f t="shared" si="56"/>
        <v>1310.760930128105</v>
      </c>
      <c r="BO14" s="12">
        <f t="shared" si="56"/>
        <v>1297.6533208268238</v>
      </c>
      <c r="BP14" s="12">
        <f t="shared" si="56"/>
        <v>1284.6767876185556</v>
      </c>
      <c r="BQ14" s="12">
        <f t="shared" si="56"/>
        <v>1271.83001974237</v>
      </c>
      <c r="BR14" s="12">
        <f t="shared" si="56"/>
        <v>1259.1117195449463</v>
      </c>
      <c r="BS14" s="12">
        <f t="shared" si="56"/>
        <v>1246.5206023494968</v>
      </c>
      <c r="BT14" s="12">
        <f t="shared" si="56"/>
        <v>1234.0553963260018</v>
      </c>
      <c r="BU14" s="12">
        <f t="shared" si="56"/>
        <v>1221.7148423627418</v>
      </c>
      <c r="BV14" s="12">
        <f t="shared" si="56"/>
        <v>1209.4976939391145</v>
      </c>
      <c r="BW14" s="12">
        <f t="shared" si="56"/>
        <v>1197.4027169997232</v>
      </c>
      <c r="BX14" s="12">
        <f t="shared" si="56"/>
        <v>1185.428689829726</v>
      </c>
      <c r="BY14" s="12">
        <f t="shared" si="56"/>
        <v>1173.5744029314287</v>
      </c>
      <c r="BZ14" s="12">
        <f t="shared" si="56"/>
        <v>1161.8386589021145</v>
      </c>
      <c r="CA14" s="12">
        <f t="shared" si="56"/>
        <v>1150.2202723130933</v>
      </c>
      <c r="CB14" s="12">
        <f t="shared" si="56"/>
        <v>1138.7180695899624</v>
      </c>
      <c r="CC14" s="12">
        <f t="shared" si="56"/>
        <v>1127.3308888940628</v>
      </c>
      <c r="CD14" s="12">
        <f t="shared" si="56"/>
        <v>1116.0575800051222</v>
      </c>
      <c r="CE14" s="12">
        <f t="shared" si="56"/>
        <v>1104.897004205071</v>
      </c>
      <c r="CF14" s="12">
        <f t="shared" si="56"/>
        <v>1093.8480341630202</v>
      </c>
      <c r="CG14" s="12">
        <f t="shared" si="56"/>
        <v>1082.9095538213901</v>
      </c>
      <c r="CH14" s="12">
        <f t="shared" si="56"/>
        <v>1072.0804582831761</v>
      </c>
      <c r="CI14" s="12">
        <f t="shared" si="56"/>
        <v>1061.3596537003443</v>
      </c>
      <c r="CJ14" s="12">
        <f t="shared" si="56"/>
        <v>1050.7460571633408</v>
      </c>
      <c r="CK14" s="12">
        <f t="shared" si="56"/>
        <v>1040.2385965917074</v>
      </c>
      <c r="CL14" s="12">
        <f t="shared" si="56"/>
        <v>1029.8362106257903</v>
      </c>
      <c r="CM14" s="12">
        <f t="shared" si="56"/>
        <v>1019.5378485195323</v>
      </c>
      <c r="CN14" s="12">
        <f t="shared" si="56"/>
        <v>1009.342470034337</v>
      </c>
      <c r="CO14" s="12">
        <f t="shared" si="56"/>
        <v>999.24904533399365</v>
      </c>
      <c r="CP14" s="12">
        <f t="shared" si="56"/>
        <v>989.25655488065365</v>
      </c>
      <c r="CQ14" s="12">
        <f t="shared" si="56"/>
        <v>979.36398933184705</v>
      </c>
      <c r="CR14" s="12">
        <f t="shared" si="56"/>
        <v>969.57034943852852</v>
      </c>
      <c r="CS14" s="12">
        <f t="shared" si="56"/>
        <v>959.87464594414325</v>
      </c>
      <c r="CT14" s="12">
        <f t="shared" si="56"/>
        <v>950.27589948470177</v>
      </c>
      <c r="CU14" s="12">
        <f t="shared" si="56"/>
        <v>940.77314048985477</v>
      </c>
      <c r="CV14" s="12">
        <f t="shared" si="56"/>
        <v>931.36540908495624</v>
      </c>
      <c r="CW14" s="12">
        <f t="shared" si="56"/>
        <v>922.05175499410666</v>
      </c>
      <c r="CX14" s="12">
        <f t="shared" si="56"/>
        <v>912.83123744416559</v>
      </c>
      <c r="CY14" s="12">
        <f t="shared" si="56"/>
        <v>903.70292506972396</v>
      </c>
      <c r="CZ14" s="12">
        <f t="shared" si="56"/>
        <v>894.66589581902667</v>
      </c>
      <c r="DA14" s="12">
        <f t="shared" si="56"/>
        <v>885.71923686083642</v>
      </c>
      <c r="DB14" s="12">
        <f t="shared" si="56"/>
        <v>876.86204449222805</v>
      </c>
      <c r="DC14" s="12">
        <f t="shared" si="56"/>
        <v>868.0934240473058</v>
      </c>
      <c r="DD14" s="12">
        <f t="shared" ref="DD14:DY14" si="57">DC14*(1+$AS$18)</f>
        <v>859.4124898068327</v>
      </c>
      <c r="DE14" s="12">
        <f t="shared" si="57"/>
        <v>850.81836490876435</v>
      </c>
      <c r="DF14" s="12">
        <f t="shared" si="57"/>
        <v>842.31018125967671</v>
      </c>
      <c r="DG14" s="12">
        <f t="shared" si="57"/>
        <v>833.88707944707994</v>
      </c>
      <c r="DH14" s="12">
        <f t="shared" si="57"/>
        <v>825.54820865260911</v>
      </c>
      <c r="DI14" s="12">
        <f t="shared" si="57"/>
        <v>817.29272656608305</v>
      </c>
      <c r="DJ14" s="12">
        <f t="shared" si="57"/>
        <v>809.11979930042219</v>
      </c>
      <c r="DK14" s="12">
        <f t="shared" si="57"/>
        <v>801.02860130741794</v>
      </c>
      <c r="DL14" s="12">
        <f t="shared" si="57"/>
        <v>793.01831529434378</v>
      </c>
      <c r="DM14" s="12">
        <f t="shared" si="57"/>
        <v>785.08813214140037</v>
      </c>
      <c r="DN14" s="12">
        <f t="shared" si="57"/>
        <v>777.23725081998634</v>
      </c>
      <c r="DO14" s="12">
        <f t="shared" si="57"/>
        <v>769.46487831178649</v>
      </c>
      <c r="DP14" s="12">
        <f t="shared" si="57"/>
        <v>761.77022952866866</v>
      </c>
      <c r="DQ14" s="12">
        <f t="shared" si="57"/>
        <v>754.15252723338199</v>
      </c>
      <c r="DR14" s="12">
        <f t="shared" si="57"/>
        <v>746.61100196104815</v>
      </c>
      <c r="DS14" s="12">
        <f t="shared" si="57"/>
        <v>739.14489194143766</v>
      </c>
      <c r="DT14" s="12">
        <f t="shared" si="57"/>
        <v>731.75344302202325</v>
      </c>
      <c r="DU14" s="12">
        <f t="shared" si="57"/>
        <v>724.43590859180301</v>
      </c>
      <c r="DV14" s="12">
        <f t="shared" si="57"/>
        <v>717.19154950588495</v>
      </c>
      <c r="DW14" s="12">
        <f t="shared" si="57"/>
        <v>710.01963401082605</v>
      </c>
      <c r="DX14" s="12">
        <f t="shared" si="57"/>
        <v>702.9194376707178</v>
      </c>
      <c r="DY14" s="12">
        <f t="shared" si="57"/>
        <v>695.89024329401059</v>
      </c>
    </row>
    <row r="15" spans="1:129" x14ac:dyDescent="0.25">
      <c r="C15" s="2" t="s">
        <v>56</v>
      </c>
      <c r="D15" s="9">
        <v>67.384072000000003</v>
      </c>
      <c r="E15" s="9">
        <v>67.384072000000003</v>
      </c>
      <c r="F15" s="9">
        <v>67.384072000000003</v>
      </c>
      <c r="G15" s="9">
        <v>67.384072000000003</v>
      </c>
      <c r="H15" s="21">
        <v>64.504840000000002</v>
      </c>
      <c r="I15" s="21">
        <v>64.504840000000002</v>
      </c>
      <c r="J15" s="21">
        <v>64.504840000000002</v>
      </c>
      <c r="K15" s="21">
        <v>64.504840000000002</v>
      </c>
      <c r="L15" s="21">
        <v>64.504840000000002</v>
      </c>
      <c r="M15" s="21">
        <v>64.504840000000002</v>
      </c>
      <c r="N15" s="21">
        <v>64.504840000000002</v>
      </c>
      <c r="O15" s="21">
        <v>64.504840000000002</v>
      </c>
      <c r="P15" s="21">
        <v>64.504840000000002</v>
      </c>
      <c r="Q15" s="5">
        <v>64.504840000000002</v>
      </c>
      <c r="V15" s="9">
        <v>70.844023000000007</v>
      </c>
      <c r="W15" s="9">
        <v>70.844023000000007</v>
      </c>
      <c r="X15" s="9">
        <v>70.844023000000007</v>
      </c>
      <c r="Y15" s="9">
        <v>69.865418000000005</v>
      </c>
      <c r="Z15" s="9">
        <v>69.985557</v>
      </c>
      <c r="AA15" s="9">
        <v>70.061420999999996</v>
      </c>
      <c r="AB15" s="9">
        <v>69.560505000000006</v>
      </c>
      <c r="AC15" s="9">
        <v>67.384072000000003</v>
      </c>
      <c r="AD15" s="21">
        <v>64.504840000000002</v>
      </c>
      <c r="AE15" s="21">
        <v>64.504840000000002</v>
      </c>
      <c r="AF15" s="5">
        <v>64.504840000000002</v>
      </c>
      <c r="AG15" s="21">
        <v>64.504840000000002</v>
      </c>
      <c r="AH15" s="21">
        <v>64.504840000000002</v>
      </c>
      <c r="AI15" s="21">
        <v>64.504840000000002</v>
      </c>
      <c r="AJ15" s="21">
        <v>64.504840000000002</v>
      </c>
      <c r="AK15" s="21">
        <v>64.504840000000002</v>
      </c>
      <c r="AL15" s="21">
        <v>64.504840000000002</v>
      </c>
      <c r="AM15" s="21">
        <v>64.504840000000002</v>
      </c>
      <c r="AN15" s="21">
        <v>64.504840000000002</v>
      </c>
      <c r="AO15" s="21">
        <v>64.504840000000002</v>
      </c>
      <c r="AP15" s="21">
        <v>64.504840000000002</v>
      </c>
    </row>
    <row r="16" spans="1:129" x14ac:dyDescent="0.25">
      <c r="C16" s="2" t="s">
        <v>57</v>
      </c>
      <c r="D16" s="19">
        <f t="shared" ref="D16:P16" si="58">D14/D15</f>
        <v>5.2831476257475209</v>
      </c>
      <c r="E16" s="19">
        <f t="shared" si="58"/>
        <v>4.9121400677596325</v>
      </c>
      <c r="F16" s="19">
        <f t="shared" si="58"/>
        <v>4.9121400677596325</v>
      </c>
      <c r="G16" s="19">
        <f t="shared" si="58"/>
        <v>8.8002992754726961</v>
      </c>
      <c r="H16" s="19">
        <f t="shared" si="58"/>
        <v>4.8058409260452395</v>
      </c>
      <c r="I16" s="19">
        <f t="shared" si="58"/>
        <v>2.8369964176331575</v>
      </c>
      <c r="J16" s="19">
        <f t="shared" si="58"/>
        <v>1.1782061625143168</v>
      </c>
      <c r="K16" s="19">
        <f t="shared" si="58"/>
        <v>-2.1083689223940403</v>
      </c>
      <c r="L16" s="19">
        <f t="shared" si="58"/>
        <v>1.224714300508303</v>
      </c>
      <c r="M16" s="19">
        <f t="shared" si="58"/>
        <v>1.1627034498496547</v>
      </c>
      <c r="N16" s="19">
        <f t="shared" si="58"/>
        <v>0.54259494326317215</v>
      </c>
      <c r="O16" s="19">
        <f t="shared" si="58"/>
        <v>0.83714648389175139</v>
      </c>
      <c r="P16" s="19">
        <f t="shared" si="58"/>
        <v>0.79063834589776516</v>
      </c>
      <c r="Q16" s="25">
        <f>Q14/Q15</f>
        <v>0.5736003685924963</v>
      </c>
      <c r="V16" s="19">
        <f t="shared" ref="V16:Y16" si="59">V14/V15</f>
        <v>15.315335776456397</v>
      </c>
      <c r="W16" s="19">
        <f t="shared" si="59"/>
        <v>20.862733896407885</v>
      </c>
      <c r="X16" s="19">
        <f>X14/X15</f>
        <v>30.969443957184641</v>
      </c>
      <c r="Y16" s="19">
        <f t="shared" si="59"/>
        <v>20.582428920700078</v>
      </c>
      <c r="Z16" s="19">
        <f t="shared" ref="Z16:AC16" si="60">Z14/Z15</f>
        <v>22.433200038687982</v>
      </c>
      <c r="AA16" s="19">
        <f t="shared" si="60"/>
        <v>22.48027484341204</v>
      </c>
      <c r="AB16" s="19">
        <f t="shared" si="60"/>
        <v>25.83362498590256</v>
      </c>
      <c r="AC16" s="19">
        <f t="shared" si="60"/>
        <v>23.373476153236926</v>
      </c>
      <c r="AD16" s="19">
        <f>AD14/AD15</f>
        <v>6.7281772964633353</v>
      </c>
      <c r="AE16" s="19">
        <f>AE14/AE15</f>
        <v>3.8446727408361916</v>
      </c>
      <c r="AF16" s="25">
        <f t="shared" ref="AF16:AP16" si="61">AF14/AF15</f>
        <v>5.7039912043809364</v>
      </c>
      <c r="AG16" s="19">
        <f t="shared" si="61"/>
        <v>10.677373666844225</v>
      </c>
      <c r="AH16" s="19">
        <f t="shared" si="61"/>
        <v>15.081368703495746</v>
      </c>
      <c r="AI16" s="19">
        <f t="shared" si="61"/>
        <v>17.349918541306376</v>
      </c>
      <c r="AJ16" s="19">
        <f t="shared" si="61"/>
        <v>18.376501600438068</v>
      </c>
      <c r="AK16" s="19">
        <f t="shared" si="61"/>
        <v>19.460777297808995</v>
      </c>
      <c r="AL16" s="19">
        <f t="shared" si="61"/>
        <v>20.605884804742431</v>
      </c>
      <c r="AM16" s="19">
        <f t="shared" si="61"/>
        <v>21.815130432704255</v>
      </c>
      <c r="AN16" s="19">
        <f t="shared" si="61"/>
        <v>23.091996397573155</v>
      </c>
      <c r="AO16" s="19">
        <f t="shared" si="61"/>
        <v>24.440150038414842</v>
      </c>
      <c r="AP16" s="19">
        <f t="shared" si="61"/>
        <v>25.863453514137145</v>
      </c>
    </row>
    <row r="17" spans="3:45" x14ac:dyDescent="0.25">
      <c r="E17" s="9"/>
      <c r="F17" s="9"/>
      <c r="G17" s="9"/>
      <c r="H17" s="9"/>
      <c r="I17" s="9"/>
      <c r="J17" s="9"/>
      <c r="K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R17" s="2" t="s">
        <v>101</v>
      </c>
      <c r="AS17" s="20">
        <v>0.08</v>
      </c>
    </row>
    <row r="18" spans="3:45" x14ac:dyDescent="0.25">
      <c r="C18" s="1" t="s">
        <v>43</v>
      </c>
      <c r="D18" s="19"/>
      <c r="E18" s="19"/>
      <c r="F18" s="19"/>
      <c r="G18" s="19"/>
      <c r="H18" s="22">
        <f t="shared" ref="H18:P18" si="62">(H4-D4)/D4</f>
        <v>2.8022833419823558E-2</v>
      </c>
      <c r="I18" s="22">
        <f t="shared" si="62"/>
        <v>-4.0633245382585753E-2</v>
      </c>
      <c r="J18" s="22">
        <f t="shared" si="62"/>
        <v>-0.24907651715039578</v>
      </c>
      <c r="K18" s="22">
        <f t="shared" si="62"/>
        <v>-0.33870341614906835</v>
      </c>
      <c r="L18" s="22">
        <f t="shared" si="62"/>
        <v>-0.23422513881877841</v>
      </c>
      <c r="M18" s="22">
        <f t="shared" si="62"/>
        <v>-1.4576457645764576E-2</v>
      </c>
      <c r="N18" s="22">
        <f t="shared" si="62"/>
        <v>-0.1163035839775123</v>
      </c>
      <c r="O18" s="22">
        <f t="shared" si="62"/>
        <v>-9.392427355444672E-3</v>
      </c>
      <c r="P18" s="22">
        <f t="shared" si="62"/>
        <v>-0.16315095583388267</v>
      </c>
      <c r="Q18" s="26">
        <f>(Q4-M4)/M4</f>
        <v>-0.29109684621825288</v>
      </c>
      <c r="W18" s="22">
        <f t="shared" ref="W18" si="63">(W4-V4)/V4</f>
        <v>9.6994045483894106E-2</v>
      </c>
      <c r="X18" s="22">
        <f t="shared" ref="X18" si="64">(X4-W4)/W4</f>
        <v>0.11228827414819174</v>
      </c>
      <c r="Y18" s="22">
        <f t="shared" ref="Y18" si="65">(Y4-X4)/X4</f>
        <v>-4.9800094073377231E-2</v>
      </c>
      <c r="Z18" s="22">
        <f t="shared" ref="Z18" si="66">(Z4-Y4)/Y4</f>
        <v>-2.9020481405853598E-2</v>
      </c>
      <c r="AA18" s="22">
        <f t="shared" ref="AA18:AD18" si="67">(AA4-Z4)/Z4</f>
        <v>-1.937292888095845E-2</v>
      </c>
      <c r="AB18" s="22">
        <f t="shared" si="67"/>
        <v>-5.0688848453340263E-2</v>
      </c>
      <c r="AC18" s="22">
        <f t="shared" si="67"/>
        <v>0.12164567360350492</v>
      </c>
      <c r="AD18" s="22">
        <f t="shared" si="67"/>
        <v>-0.15465364662801342</v>
      </c>
      <c r="AE18" s="22">
        <f>(AE4-AD4)/AD4</f>
        <v>-9.7032705219839727E-2</v>
      </c>
      <c r="AF18" s="26">
        <f t="shared" ref="AF18:AP18" si="68">(AF4-AE4)/AE4</f>
        <v>-0.16000000000000006</v>
      </c>
      <c r="AG18" s="22">
        <f t="shared" si="68"/>
        <v>0.3000000000000001</v>
      </c>
      <c r="AH18" s="22">
        <f t="shared" si="68"/>
        <v>0.10000000000000013</v>
      </c>
      <c r="AI18" s="22">
        <f t="shared" si="68"/>
        <v>5.0000000000000017E-2</v>
      </c>
      <c r="AJ18" s="22">
        <f t="shared" si="68"/>
        <v>5.0000000000000072E-2</v>
      </c>
      <c r="AK18" s="22">
        <f t="shared" si="68"/>
        <v>5.0000000000000086E-2</v>
      </c>
      <c r="AL18" s="22">
        <f t="shared" si="68"/>
        <v>4.9999999999999982E-2</v>
      </c>
      <c r="AM18" s="22">
        <f t="shared" si="68"/>
        <v>4.9999999999999961E-2</v>
      </c>
      <c r="AN18" s="22">
        <f t="shared" si="68"/>
        <v>5.0000000000000044E-2</v>
      </c>
      <c r="AO18" s="22">
        <f t="shared" si="68"/>
        <v>5.0000000000000079E-2</v>
      </c>
      <c r="AP18" s="22">
        <f t="shared" si="68"/>
        <v>5.0000000000000093E-2</v>
      </c>
      <c r="AR18" s="2" t="s">
        <v>102</v>
      </c>
      <c r="AS18" s="30">
        <v>-0.01</v>
      </c>
    </row>
    <row r="19" spans="3:45" x14ac:dyDescent="0.25">
      <c r="C19" s="2" t="s">
        <v>58</v>
      </c>
      <c r="D19" s="20">
        <f t="shared" ref="D19:P19" si="69">D6/D4</f>
        <v>0.1852620653866113</v>
      </c>
      <c r="E19" s="20">
        <f t="shared" si="69"/>
        <v>0.19920844327176782</v>
      </c>
      <c r="F19" s="20">
        <f t="shared" si="69"/>
        <v>0.19920844327176782</v>
      </c>
      <c r="G19" s="20">
        <f t="shared" si="69"/>
        <v>0.20438664596273293</v>
      </c>
      <c r="H19" s="20">
        <f t="shared" si="69"/>
        <v>0.16961130742049471</v>
      </c>
      <c r="I19" s="20">
        <f t="shared" si="69"/>
        <v>0.15484048404840484</v>
      </c>
      <c r="J19" s="20">
        <f t="shared" si="69"/>
        <v>0.12543921293042867</v>
      </c>
      <c r="K19" s="20">
        <f t="shared" si="69"/>
        <v>0.11212210155562079</v>
      </c>
      <c r="L19" s="20">
        <f t="shared" si="69"/>
        <v>0.12557679630850363</v>
      </c>
      <c r="M19" s="20">
        <f t="shared" si="69"/>
        <v>0.10801004744627407</v>
      </c>
      <c r="N19" s="20">
        <f t="shared" si="69"/>
        <v>0.1168986083499006</v>
      </c>
      <c r="O19" s="20">
        <f t="shared" si="69"/>
        <v>0.1197037037037037</v>
      </c>
      <c r="P19" s="20">
        <f t="shared" si="69"/>
        <v>0.14178810555336746</v>
      </c>
      <c r="Q19" s="27">
        <f>Q6/Q4</f>
        <v>0.13622047244094487</v>
      </c>
      <c r="V19" s="20">
        <f t="shared" ref="V19:Y19" si="70">V6/V4</f>
        <v>0.16565033359638426</v>
      </c>
      <c r="W19" s="20">
        <f t="shared" si="70"/>
        <v>0.18644954548427178</v>
      </c>
      <c r="X19" s="20">
        <f t="shared" si="70"/>
        <v>0.1975540921919097</v>
      </c>
      <c r="Y19" s="20">
        <f t="shared" si="70"/>
        <v>0.18031062434255307</v>
      </c>
      <c r="Z19" s="20">
        <f t="shared" ref="Z19:AD19" si="71">Z6/Z4</f>
        <v>0.17193474381850624</v>
      </c>
      <c r="AA19" s="20">
        <f t="shared" si="71"/>
        <v>0.18072524044710164</v>
      </c>
      <c r="AB19" s="20">
        <f t="shared" si="71"/>
        <v>0.19126506024096385</v>
      </c>
      <c r="AC19" s="20">
        <f t="shared" si="71"/>
        <v>0.19340860543179739</v>
      </c>
      <c r="AD19" s="20">
        <f t="shared" si="71"/>
        <v>0.14251678579163959</v>
      </c>
      <c r="AE19" s="20">
        <f>AE6/AE4</f>
        <v>0.11729431518349724</v>
      </c>
      <c r="AF19" s="27">
        <f t="shared" ref="AF19:AP19" si="72">AF6/AF4</f>
        <v>0.13499999999999995</v>
      </c>
      <c r="AG19" s="20">
        <f t="shared" si="72"/>
        <v>0.15</v>
      </c>
      <c r="AH19" s="20">
        <f t="shared" si="72"/>
        <v>0.16000000000000003</v>
      </c>
      <c r="AI19" s="20">
        <f t="shared" si="72"/>
        <v>0.17000000000000007</v>
      </c>
      <c r="AJ19" s="20">
        <f t="shared" si="72"/>
        <v>0.17000000000000007</v>
      </c>
      <c r="AK19" s="20">
        <f t="shared" si="72"/>
        <v>0.17000000000000007</v>
      </c>
      <c r="AL19" s="20">
        <f t="shared" si="72"/>
        <v>0.1700000000000001</v>
      </c>
      <c r="AM19" s="20">
        <f t="shared" si="72"/>
        <v>0.1700000000000001</v>
      </c>
      <c r="AN19" s="20">
        <f t="shared" si="72"/>
        <v>0.17000000000000007</v>
      </c>
      <c r="AO19" s="20">
        <f t="shared" si="72"/>
        <v>0.17</v>
      </c>
      <c r="AP19" s="20">
        <f t="shared" si="72"/>
        <v>0.17</v>
      </c>
      <c r="AR19" s="29" t="s">
        <v>103</v>
      </c>
      <c r="AS19" s="32">
        <f>NPV(AS17,AG14:DY14)</f>
        <v>16606.564015652657</v>
      </c>
    </row>
    <row r="20" spans="3:45" x14ac:dyDescent="0.25">
      <c r="C20" s="2" t="s">
        <v>44</v>
      </c>
      <c r="D20" s="20">
        <f t="shared" ref="D20:P20" si="73">D9/D4</f>
        <v>0.1209133367929424</v>
      </c>
      <c r="E20" s="20">
        <f t="shared" si="73"/>
        <v>0.11398416886543536</v>
      </c>
      <c r="F20" s="20">
        <f t="shared" si="73"/>
        <v>0.11398416886543536</v>
      </c>
      <c r="G20" s="20">
        <f t="shared" si="73"/>
        <v>0.14868012422360249</v>
      </c>
      <c r="H20" s="20">
        <f t="shared" si="73"/>
        <v>0.104997476022211</v>
      </c>
      <c r="I20" s="20">
        <f t="shared" si="73"/>
        <v>7.1232123212321238E-2</v>
      </c>
      <c r="J20" s="20">
        <f t="shared" si="73"/>
        <v>5.1300070274068868E-2</v>
      </c>
      <c r="K20" s="20">
        <f t="shared" si="73"/>
        <v>-2.6416201937188143E-2</v>
      </c>
      <c r="L20" s="20">
        <f t="shared" si="73"/>
        <v>5.2735662491760052E-2</v>
      </c>
      <c r="M20" s="20">
        <f t="shared" si="73"/>
        <v>4.7167178342171365E-2</v>
      </c>
      <c r="N20" s="20">
        <f t="shared" si="73"/>
        <v>3.7375745526838963E-2</v>
      </c>
      <c r="O20" s="20">
        <f t="shared" si="73"/>
        <v>3.1407407407407405E-2</v>
      </c>
      <c r="P20" s="20">
        <f t="shared" si="73"/>
        <v>5.1201260338716033E-2</v>
      </c>
      <c r="Q20" s="27">
        <f>Q9/Q4</f>
        <v>4.5669291338582677E-2</v>
      </c>
      <c r="V20" s="20">
        <f t="shared" ref="V20:Y20" si="74">V9/V4</f>
        <v>0.10753999569553052</v>
      </c>
      <c r="W20" s="20">
        <f t="shared" si="74"/>
        <v>0.12628343470015041</v>
      </c>
      <c r="X20" s="20">
        <f t="shared" si="74"/>
        <v>0.13928739416745062</v>
      </c>
      <c r="Y20" s="20">
        <f t="shared" si="74"/>
        <v>0.11670069921415754</v>
      </c>
      <c r="Z20" s="20">
        <f t="shared" ref="Z20:AD20" si="75">Z9/Z4</f>
        <v>0.12796329339790977</v>
      </c>
      <c r="AA20" s="20">
        <f t="shared" si="75"/>
        <v>0.13179100597868468</v>
      </c>
      <c r="AB20" s="20">
        <f t="shared" si="75"/>
        <v>0.15162924424972618</v>
      </c>
      <c r="AC20" s="20">
        <f t="shared" si="75"/>
        <v>0.1259688739700946</v>
      </c>
      <c r="AD20" s="20">
        <f t="shared" si="75"/>
        <v>5.2920366760522704E-2</v>
      </c>
      <c r="AE20" s="20">
        <f>AE9/AE4</f>
        <v>4.2536179739345967E-2</v>
      </c>
      <c r="AF20" s="27">
        <f t="shared" ref="AF20:AP20" si="76">AF9/AF4</f>
        <v>4.3777275202077269E-2</v>
      </c>
      <c r="AG20" s="20">
        <f t="shared" si="76"/>
        <v>6.303633701390958E-2</v>
      </c>
      <c r="AH20" s="20">
        <f t="shared" si="76"/>
        <v>8.0942124558099654E-2</v>
      </c>
      <c r="AI20" s="20">
        <f t="shared" si="76"/>
        <v>8.8683328116902535E-2</v>
      </c>
      <c r="AJ20" s="20">
        <f t="shared" si="76"/>
        <v>8.9457772611027289E-2</v>
      </c>
      <c r="AK20" s="20">
        <f t="shared" si="76"/>
        <v>9.0224841443303214E-2</v>
      </c>
      <c r="AL20" s="20">
        <f t="shared" si="76"/>
        <v>9.0984604858128912E-2</v>
      </c>
      <c r="AM20" s="20">
        <f t="shared" si="76"/>
        <v>9.1737132430908627E-2</v>
      </c>
      <c r="AN20" s="20">
        <f t="shared" si="76"/>
        <v>9.2482493074423758E-2</v>
      </c>
      <c r="AO20" s="20">
        <f t="shared" si="76"/>
        <v>9.3220755045143489E-2</v>
      </c>
      <c r="AP20" s="20">
        <f t="shared" si="76"/>
        <v>9.3951985949475444E-2</v>
      </c>
      <c r="AR20" s="2" t="s">
        <v>2</v>
      </c>
      <c r="AS20" s="9">
        <v>64.504840000000002</v>
      </c>
    </row>
    <row r="21" spans="3:45" x14ac:dyDescent="0.25">
      <c r="C21" s="2" t="s">
        <v>96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7"/>
      <c r="V21" s="20">
        <v>0.23699999999999999</v>
      </c>
      <c r="W21" s="20">
        <v>0.312</v>
      </c>
      <c r="X21" s="20">
        <v>0.38700000000000001</v>
      </c>
      <c r="Y21" s="20">
        <v>0.222</v>
      </c>
      <c r="Z21" s="20">
        <v>0.222</v>
      </c>
      <c r="AA21" s="20">
        <v>0.20799999999999999</v>
      </c>
      <c r="AB21" s="20">
        <v>0.219</v>
      </c>
      <c r="AC21" s="20">
        <v>0.17899999999999999</v>
      </c>
      <c r="AD21" s="20">
        <v>0.05</v>
      </c>
      <c r="AE21" s="20">
        <v>2.9000000000000001E-2</v>
      </c>
      <c r="AR21" s="2" t="s">
        <v>104</v>
      </c>
      <c r="AS21" s="9">
        <f>AS19/AS20</f>
        <v>257.4467902819797</v>
      </c>
    </row>
    <row r="22" spans="3:45" x14ac:dyDescent="0.25">
      <c r="C22" s="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Z22" s="18"/>
      <c r="AA22" s="18"/>
      <c r="AB22" s="18"/>
      <c r="AC22" s="18"/>
      <c r="AD22" s="18"/>
      <c r="AE22" s="18"/>
      <c r="AR22" s="1" t="s">
        <v>105</v>
      </c>
      <c r="AS22" s="18">
        <f>(AS21-B4)/B4</f>
        <v>0.81556269592369313</v>
      </c>
    </row>
    <row r="23" spans="3:45" x14ac:dyDescent="0.25">
      <c r="C23" s="2" t="s">
        <v>94</v>
      </c>
      <c r="D23" s="2">
        <v>808</v>
      </c>
      <c r="E23" s="2">
        <v>719</v>
      </c>
      <c r="F23" s="2">
        <v>688</v>
      </c>
      <c r="G23" s="2">
        <v>898</v>
      </c>
      <c r="H23" s="2">
        <v>214</v>
      </c>
      <c r="I23" s="2">
        <v>454</v>
      </c>
      <c r="J23" s="2">
        <v>201</v>
      </c>
      <c r="K23" s="2">
        <v>740</v>
      </c>
      <c r="L23" s="2">
        <v>145</v>
      </c>
      <c r="M23" s="2">
        <v>722</v>
      </c>
      <c r="N23" s="2">
        <v>637</v>
      </c>
      <c r="O23" s="2">
        <v>733</v>
      </c>
      <c r="P23" s="2">
        <v>577</v>
      </c>
      <c r="Q23" s="4">
        <v>647</v>
      </c>
      <c r="V23" s="14">
        <v>3731</v>
      </c>
      <c r="W23" s="14">
        <v>4187</v>
      </c>
      <c r="X23" s="14">
        <v>3873</v>
      </c>
      <c r="Y23" s="14">
        <v>3135</v>
      </c>
      <c r="Z23" s="14">
        <v>3269</v>
      </c>
      <c r="AA23" s="14">
        <v>3199</v>
      </c>
      <c r="AB23" s="14">
        <v>3972</v>
      </c>
      <c r="AC23" s="14">
        <v>3113</v>
      </c>
      <c r="AD23" s="14">
        <v>1609</v>
      </c>
      <c r="AE23" s="14">
        <v>2237</v>
      </c>
    </row>
    <row r="24" spans="3:45" x14ac:dyDescent="0.25">
      <c r="C24" s="2" t="s">
        <v>108</v>
      </c>
      <c r="D24" s="18"/>
      <c r="E24" s="18"/>
      <c r="F24" s="18"/>
      <c r="G24" s="18"/>
      <c r="H24" s="20">
        <f t="shared" ref="H24:P24" si="77">(H23-D23)/D23</f>
        <v>-0.73514851485148514</v>
      </c>
      <c r="I24" s="20">
        <f t="shared" si="77"/>
        <v>-0.36856745479833103</v>
      </c>
      <c r="J24" s="20">
        <f t="shared" si="77"/>
        <v>-0.70784883720930236</v>
      </c>
      <c r="K24" s="20">
        <f t="shared" si="77"/>
        <v>-0.17594654788418709</v>
      </c>
      <c r="L24" s="20">
        <f t="shared" si="77"/>
        <v>-0.32242990654205606</v>
      </c>
      <c r="M24" s="20">
        <f t="shared" si="77"/>
        <v>0.5903083700440529</v>
      </c>
      <c r="N24" s="20">
        <f t="shared" si="77"/>
        <v>2.1691542288557213</v>
      </c>
      <c r="O24" s="20">
        <f t="shared" si="77"/>
        <v>-9.45945945945946E-3</v>
      </c>
      <c r="P24" s="20">
        <f t="shared" si="77"/>
        <v>2.9793103448275864</v>
      </c>
      <c r="Q24" s="27">
        <f>(Q23-M23)/M23</f>
        <v>-0.1038781163434903</v>
      </c>
      <c r="W24" s="10">
        <f t="shared" ref="W24:AD24" si="78">(W23-V23)/V23</f>
        <v>0.12221924417046369</v>
      </c>
      <c r="X24" s="10">
        <f t="shared" si="78"/>
        <v>-7.4994029137807505E-2</v>
      </c>
      <c r="Y24" s="10">
        <f t="shared" si="78"/>
        <v>-0.19054996127033308</v>
      </c>
      <c r="Z24" s="10">
        <f t="shared" si="78"/>
        <v>4.2743221690590111E-2</v>
      </c>
      <c r="AA24" s="10">
        <f t="shared" si="78"/>
        <v>-2.1413276231263382E-2</v>
      </c>
      <c r="AB24" s="10">
        <f t="shared" si="78"/>
        <v>0.24163801187871209</v>
      </c>
      <c r="AC24" s="10">
        <f t="shared" si="78"/>
        <v>-0.21626384692849951</v>
      </c>
      <c r="AD24" s="10">
        <f t="shared" si="78"/>
        <v>-0.48313523931898489</v>
      </c>
      <c r="AE24" s="10">
        <f>(AE23-AD23)/AD23</f>
        <v>0.39030453697949036</v>
      </c>
      <c r="AF24" s="33">
        <f t="shared" ref="AF24:AP24" si="79">(AF23-AE23)/AE23</f>
        <v>-1</v>
      </c>
      <c r="AG24" s="10" t="e">
        <f t="shared" si="79"/>
        <v>#DIV/0!</v>
      </c>
      <c r="AH24" s="10" t="e">
        <f t="shared" si="79"/>
        <v>#DIV/0!</v>
      </c>
      <c r="AI24" s="10" t="e">
        <f t="shared" si="79"/>
        <v>#DIV/0!</v>
      </c>
      <c r="AJ24" s="10" t="e">
        <f t="shared" si="79"/>
        <v>#DIV/0!</v>
      </c>
      <c r="AK24" s="10" t="e">
        <f t="shared" si="79"/>
        <v>#DIV/0!</v>
      </c>
      <c r="AL24" s="10" t="e">
        <f t="shared" si="79"/>
        <v>#DIV/0!</v>
      </c>
      <c r="AM24" s="10" t="e">
        <f t="shared" si="79"/>
        <v>#DIV/0!</v>
      </c>
      <c r="AN24" s="10" t="e">
        <f t="shared" si="79"/>
        <v>#DIV/0!</v>
      </c>
      <c r="AO24" s="10" t="e">
        <f t="shared" si="79"/>
        <v>#DIV/0!</v>
      </c>
      <c r="AP24" s="10" t="e">
        <f t="shared" si="79"/>
        <v>#DIV/0!</v>
      </c>
    </row>
    <row r="25" spans="3:45" x14ac:dyDescent="0.25">
      <c r="C25" s="2" t="s">
        <v>95</v>
      </c>
      <c r="D25" s="2">
        <v>995</v>
      </c>
      <c r="E25" s="2">
        <v>732</v>
      </c>
      <c r="F25" s="2">
        <v>470</v>
      </c>
      <c r="G25" s="2">
        <v>462</v>
      </c>
      <c r="H25" s="2">
        <v>479</v>
      </c>
      <c r="I25" s="2">
        <v>363</v>
      </c>
      <c r="J25" s="2">
        <v>286</v>
      </c>
      <c r="K25" s="2">
        <v>773</v>
      </c>
      <c r="L25" s="2">
        <v>480</v>
      </c>
      <c r="M25" s="2">
        <v>1075</v>
      </c>
      <c r="N25" s="2">
        <v>649</v>
      </c>
      <c r="O25" s="2">
        <v>574</v>
      </c>
      <c r="P25" s="2">
        <v>555</v>
      </c>
      <c r="Q25" s="4">
        <v>433</v>
      </c>
      <c r="V25" s="14">
        <v>3770</v>
      </c>
      <c r="W25" s="14">
        <v>3843</v>
      </c>
      <c r="X25" s="14">
        <v>3100</v>
      </c>
      <c r="Y25" s="14">
        <v>2463</v>
      </c>
      <c r="Z25" s="14">
        <v>3595</v>
      </c>
      <c r="AA25" s="14">
        <v>4026</v>
      </c>
      <c r="AB25" s="14">
        <v>4248</v>
      </c>
      <c r="AC25" s="14">
        <v>2659</v>
      </c>
      <c r="AD25" s="14">
        <v>1901</v>
      </c>
      <c r="AE25" s="14">
        <v>2778</v>
      </c>
    </row>
    <row r="26" spans="3:45" x14ac:dyDescent="0.25"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3:45" x14ac:dyDescent="0.25">
      <c r="C27" s="1" t="s">
        <v>59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R27" s="1"/>
    </row>
    <row r="28" spans="3:45" x14ac:dyDescent="0.25">
      <c r="C28" s="2" t="s">
        <v>61</v>
      </c>
      <c r="D28" s="14">
        <v>351</v>
      </c>
      <c r="E28" s="14">
        <v>326</v>
      </c>
      <c r="F28" s="14">
        <v>318</v>
      </c>
      <c r="G28" s="14">
        <v>351</v>
      </c>
      <c r="H28" s="14">
        <v>339</v>
      </c>
      <c r="I28" s="14">
        <v>335</v>
      </c>
      <c r="J28" s="14">
        <v>344</v>
      </c>
      <c r="K28" s="14">
        <v>351</v>
      </c>
      <c r="L28" s="14">
        <v>218</v>
      </c>
      <c r="M28" s="14">
        <v>219</v>
      </c>
      <c r="N28" s="14">
        <v>389</v>
      </c>
      <c r="O28" s="14">
        <v>418</v>
      </c>
      <c r="P28" s="14">
        <v>218</v>
      </c>
      <c r="Q28" s="15">
        <v>220</v>
      </c>
    </row>
    <row r="29" spans="3:45" x14ac:dyDescent="0.25">
      <c r="C29" s="2" t="s">
        <v>62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111</v>
      </c>
      <c r="M29" s="14">
        <v>126</v>
      </c>
      <c r="N29" s="14">
        <v>0</v>
      </c>
      <c r="O29" s="14">
        <v>0</v>
      </c>
      <c r="P29" s="14">
        <v>130</v>
      </c>
      <c r="Q29" s="15">
        <v>132</v>
      </c>
    </row>
    <row r="30" spans="3:45" x14ac:dyDescent="0.25">
      <c r="C30" s="2" t="s">
        <v>63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48</v>
      </c>
      <c r="M30" s="14">
        <v>43</v>
      </c>
      <c r="N30" s="14">
        <v>0</v>
      </c>
      <c r="O30" s="14">
        <v>0</v>
      </c>
      <c r="P30" s="14">
        <v>75</v>
      </c>
      <c r="Q30" s="15">
        <v>115</v>
      </c>
    </row>
    <row r="31" spans="3:45" x14ac:dyDescent="0.25">
      <c r="C31" s="2" t="s">
        <v>64</v>
      </c>
      <c r="D31" s="14">
        <v>896</v>
      </c>
      <c r="E31" s="14">
        <v>1225</v>
      </c>
      <c r="F31" s="14">
        <v>1369</v>
      </c>
      <c r="G31" s="14">
        <v>932</v>
      </c>
      <c r="H31" s="14">
        <v>800</v>
      </c>
      <c r="I31" s="14">
        <v>960</v>
      </c>
      <c r="J31" s="14">
        <v>1027</v>
      </c>
      <c r="K31" s="14">
        <v>1030</v>
      </c>
      <c r="L31" s="14">
        <v>818</v>
      </c>
      <c r="M31" s="14">
        <v>260</v>
      </c>
      <c r="N31" s="14">
        <v>578</v>
      </c>
      <c r="O31" s="14">
        <v>360</v>
      </c>
      <c r="P31" s="14">
        <v>168</v>
      </c>
      <c r="Q31" s="15">
        <v>199</v>
      </c>
    </row>
    <row r="32" spans="3:45" x14ac:dyDescent="0.25">
      <c r="C32" s="2" t="s">
        <v>65</v>
      </c>
      <c r="D32" s="14">
        <v>7995</v>
      </c>
      <c r="E32" s="14">
        <v>8336</v>
      </c>
      <c r="F32" s="14">
        <v>8607</v>
      </c>
      <c r="G32" s="14">
        <v>8465</v>
      </c>
      <c r="H32" s="14">
        <v>8239</v>
      </c>
      <c r="I32" s="14">
        <v>8746</v>
      </c>
      <c r="J32" s="14">
        <v>9013</v>
      </c>
      <c r="K32" s="14">
        <v>8504</v>
      </c>
      <c r="L32" s="14">
        <v>8849</v>
      </c>
      <c r="M32" s="14">
        <v>8438</v>
      </c>
      <c r="N32" s="14">
        <v>7974</v>
      </c>
      <c r="O32" s="14">
        <v>7660</v>
      </c>
      <c r="P32" s="14">
        <v>7602</v>
      </c>
      <c r="Q32" s="15">
        <v>7721</v>
      </c>
    </row>
    <row r="33" spans="3:25" x14ac:dyDescent="0.25">
      <c r="C33" s="2" t="s">
        <v>66</v>
      </c>
      <c r="D33" s="14">
        <v>330</v>
      </c>
      <c r="E33" s="14">
        <v>389</v>
      </c>
      <c r="F33" s="14">
        <v>339</v>
      </c>
      <c r="G33" s="14">
        <v>308</v>
      </c>
      <c r="H33" s="14">
        <v>363</v>
      </c>
      <c r="I33" s="14">
        <v>503</v>
      </c>
      <c r="J33" s="14">
        <v>751</v>
      </c>
      <c r="K33" s="14">
        <v>803</v>
      </c>
      <c r="L33" s="14">
        <v>566</v>
      </c>
      <c r="M33" s="14">
        <v>648</v>
      </c>
      <c r="N33" s="14">
        <v>948</v>
      </c>
      <c r="O33" s="14">
        <v>1111</v>
      </c>
      <c r="P33" s="14">
        <v>1278</v>
      </c>
      <c r="Q33" s="15">
        <v>2062</v>
      </c>
    </row>
    <row r="34" spans="3:25" x14ac:dyDescent="0.25">
      <c r="C34" s="2" t="s">
        <v>67</v>
      </c>
      <c r="D34" s="14">
        <v>3770</v>
      </c>
      <c r="E34" s="14">
        <v>4218</v>
      </c>
      <c r="F34" s="14">
        <v>4536</v>
      </c>
      <c r="G34" s="14">
        <v>5225</v>
      </c>
      <c r="H34" s="14">
        <v>4856</v>
      </c>
      <c r="I34" s="14">
        <v>5126</v>
      </c>
      <c r="J34" s="14">
        <v>4872</v>
      </c>
      <c r="K34" s="14">
        <v>4541</v>
      </c>
      <c r="L34" s="14">
        <v>5172</v>
      </c>
      <c r="M34" s="14">
        <v>5034</v>
      </c>
      <c r="N34" s="14">
        <v>4515</v>
      </c>
      <c r="O34" s="14">
        <v>4721</v>
      </c>
      <c r="P34" s="14">
        <v>5044</v>
      </c>
      <c r="Q34" s="15">
        <v>4470</v>
      </c>
    </row>
    <row r="35" spans="3:25" x14ac:dyDescent="0.25">
      <c r="C35" s="2" t="s">
        <v>68</v>
      </c>
      <c r="D35" s="14">
        <v>4115</v>
      </c>
      <c r="E35" s="14">
        <v>2481</v>
      </c>
      <c r="F35" s="14">
        <v>1902</v>
      </c>
      <c r="G35" s="14">
        <v>1840</v>
      </c>
      <c r="H35" s="14">
        <v>2577</v>
      </c>
      <c r="I35" s="14">
        <v>699</v>
      </c>
      <c r="J35" s="14">
        <v>742</v>
      </c>
      <c r="K35" s="14">
        <v>1582</v>
      </c>
      <c r="L35" s="14">
        <v>566</v>
      </c>
      <c r="M35" s="14">
        <v>417</v>
      </c>
      <c r="N35" s="14">
        <v>465</v>
      </c>
      <c r="O35" s="14">
        <v>431</v>
      </c>
      <c r="P35" s="14">
        <v>361</v>
      </c>
      <c r="Q35" s="15">
        <v>157</v>
      </c>
    </row>
    <row r="36" spans="3:25" x14ac:dyDescent="0.25">
      <c r="C36" s="1" t="s">
        <v>69</v>
      </c>
      <c r="D36" s="12">
        <f t="shared" ref="D36:P36" si="80">SUM(D28:D35)</f>
        <v>17457</v>
      </c>
      <c r="E36" s="12">
        <f t="shared" si="80"/>
        <v>16975</v>
      </c>
      <c r="F36" s="12">
        <f t="shared" si="80"/>
        <v>17071</v>
      </c>
      <c r="G36" s="12">
        <f t="shared" si="80"/>
        <v>17121</v>
      </c>
      <c r="H36" s="12">
        <f t="shared" si="80"/>
        <v>17174</v>
      </c>
      <c r="I36" s="12">
        <f t="shared" si="80"/>
        <v>16369</v>
      </c>
      <c r="J36" s="12">
        <f t="shared" si="80"/>
        <v>16749</v>
      </c>
      <c r="K36" s="12">
        <f t="shared" si="80"/>
        <v>16811</v>
      </c>
      <c r="L36" s="12">
        <f t="shared" si="80"/>
        <v>16348</v>
      </c>
      <c r="M36" s="12">
        <f t="shared" si="80"/>
        <v>15185</v>
      </c>
      <c r="N36" s="12">
        <f t="shared" si="80"/>
        <v>14869</v>
      </c>
      <c r="O36" s="12">
        <f t="shared" si="80"/>
        <v>14701</v>
      </c>
      <c r="P36" s="12">
        <f t="shared" si="80"/>
        <v>14876</v>
      </c>
      <c r="Q36" s="13">
        <f>SUM(Q28:Q35)</f>
        <v>15076</v>
      </c>
    </row>
    <row r="37" spans="3:25" x14ac:dyDescent="0.25">
      <c r="C37" s="11" t="s">
        <v>70</v>
      </c>
      <c r="D37" s="16">
        <v>8904</v>
      </c>
      <c r="E37" s="16">
        <v>8210</v>
      </c>
      <c r="F37" s="16">
        <v>8396</v>
      </c>
      <c r="G37" s="16">
        <v>9006</v>
      </c>
      <c r="H37" s="16">
        <v>9314</v>
      </c>
      <c r="I37" s="16">
        <v>8687</v>
      </c>
      <c r="J37" s="16">
        <v>8806</v>
      </c>
      <c r="K37" s="16">
        <v>8332</v>
      </c>
      <c r="L37" s="16">
        <v>8491</v>
      </c>
      <c r="M37" s="16">
        <v>8376</v>
      </c>
      <c r="N37" s="16">
        <v>8215</v>
      </c>
      <c r="O37" s="16">
        <v>8424</v>
      </c>
      <c r="P37" s="16">
        <v>8379</v>
      </c>
      <c r="Q37" s="28">
        <v>8257</v>
      </c>
    </row>
    <row r="38" spans="3:25" x14ac:dyDescent="0.25">
      <c r="C38" s="2" t="s">
        <v>71</v>
      </c>
      <c r="D38" s="14">
        <v>193</v>
      </c>
      <c r="E38" s="14">
        <v>247</v>
      </c>
      <c r="F38" s="14">
        <v>250</v>
      </c>
      <c r="G38" s="14">
        <v>268</v>
      </c>
      <c r="H38" s="14">
        <v>257</v>
      </c>
      <c r="I38" s="14">
        <v>186</v>
      </c>
      <c r="J38" s="14">
        <v>188</v>
      </c>
      <c r="K38" s="14">
        <v>397</v>
      </c>
      <c r="L38" s="14">
        <v>280</v>
      </c>
      <c r="M38" s="14">
        <v>264</v>
      </c>
      <c r="N38" s="14">
        <v>199</v>
      </c>
      <c r="O38" s="14">
        <v>109</v>
      </c>
      <c r="P38" s="14">
        <v>66</v>
      </c>
      <c r="Q38" s="15">
        <v>45</v>
      </c>
    </row>
    <row r="39" spans="3:25" x14ac:dyDescent="0.25">
      <c r="C39" s="2" t="s">
        <v>72</v>
      </c>
      <c r="D39" s="14">
        <v>374</v>
      </c>
      <c r="E39" s="14">
        <v>373</v>
      </c>
      <c r="F39" s="14">
        <v>374</v>
      </c>
      <c r="G39" s="14">
        <v>414</v>
      </c>
      <c r="H39" s="14">
        <v>413</v>
      </c>
      <c r="I39" s="14">
        <v>413</v>
      </c>
      <c r="J39" s="14">
        <v>413</v>
      </c>
      <c r="K39" s="14">
        <v>364</v>
      </c>
      <c r="L39" s="14">
        <v>364</v>
      </c>
      <c r="M39" s="14">
        <v>240</v>
      </c>
      <c r="N39" s="14">
        <v>239</v>
      </c>
      <c r="O39" s="14">
        <v>84</v>
      </c>
      <c r="P39" s="14">
        <v>84</v>
      </c>
      <c r="Q39" s="15">
        <v>12</v>
      </c>
    </row>
    <row r="40" spans="3:25" x14ac:dyDescent="0.25">
      <c r="C40" s="2" t="s">
        <v>73</v>
      </c>
      <c r="D40" s="16">
        <v>3066</v>
      </c>
      <c r="E40" s="14">
        <v>3036</v>
      </c>
      <c r="F40" s="14">
        <v>2862</v>
      </c>
      <c r="G40" s="14">
        <v>2717</v>
      </c>
      <c r="H40" s="14">
        <v>2591</v>
      </c>
      <c r="I40" s="14">
        <v>2671</v>
      </c>
      <c r="J40" s="14">
        <v>2631</v>
      </c>
      <c r="K40" s="14">
        <v>2559</v>
      </c>
      <c r="L40" s="14">
        <v>2398</v>
      </c>
      <c r="M40" s="14">
        <v>2382</v>
      </c>
      <c r="N40" s="14">
        <v>2503</v>
      </c>
      <c r="O40" s="14">
        <v>2246</v>
      </c>
      <c r="P40" s="14">
        <v>2208</v>
      </c>
      <c r="Q40" s="15">
        <v>2230</v>
      </c>
      <c r="S40" s="1"/>
      <c r="T40" s="1"/>
      <c r="U40" s="1"/>
      <c r="V40" s="1"/>
      <c r="W40" s="1"/>
      <c r="X40" s="1"/>
      <c r="Y40" s="1"/>
    </row>
    <row r="41" spans="3:25" x14ac:dyDescent="0.25">
      <c r="C41" s="2" t="s">
        <v>74</v>
      </c>
      <c r="D41" s="14">
        <v>658</v>
      </c>
      <c r="E41" s="14">
        <v>617</v>
      </c>
      <c r="F41" s="14">
        <v>662</v>
      </c>
      <c r="G41" s="14">
        <v>507</v>
      </c>
      <c r="H41" s="14">
        <v>461</v>
      </c>
      <c r="I41" s="14">
        <v>711</v>
      </c>
      <c r="J41" s="14">
        <v>852</v>
      </c>
      <c r="K41" s="14">
        <v>1526</v>
      </c>
      <c r="L41" s="14">
        <v>1499</v>
      </c>
      <c r="M41" s="14">
        <v>785</v>
      </c>
      <c r="N41" s="14">
        <v>459</v>
      </c>
      <c r="O41" s="14">
        <v>1111</v>
      </c>
      <c r="P41" s="14">
        <v>1699</v>
      </c>
      <c r="Q41" s="15">
        <v>1970</v>
      </c>
      <c r="R41" s="1"/>
    </row>
    <row r="42" spans="3:25" x14ac:dyDescent="0.25">
      <c r="C42" s="2" t="s">
        <v>75</v>
      </c>
      <c r="D42" s="14">
        <v>4118</v>
      </c>
      <c r="E42" s="14">
        <v>4349</v>
      </c>
      <c r="F42" s="14">
        <v>4391</v>
      </c>
      <c r="G42" s="14">
        <v>4088</v>
      </c>
      <c r="H42" s="14">
        <v>4013</v>
      </c>
      <c r="I42" s="14">
        <v>3577</v>
      </c>
      <c r="J42" s="14">
        <v>3745</v>
      </c>
      <c r="K42" s="14">
        <v>3522</v>
      </c>
      <c r="L42" s="14">
        <v>3206</v>
      </c>
      <c r="M42" s="14">
        <v>3029</v>
      </c>
      <c r="N42" s="14">
        <v>3148</v>
      </c>
      <c r="O42" s="14">
        <v>2597</v>
      </c>
      <c r="P42" s="14">
        <v>2313</v>
      </c>
      <c r="Q42" s="15">
        <v>2429</v>
      </c>
    </row>
    <row r="43" spans="3:25" x14ac:dyDescent="0.25">
      <c r="C43" s="2" t="s">
        <v>76</v>
      </c>
      <c r="D43" s="14">
        <v>144</v>
      </c>
      <c r="E43" s="14">
        <v>142</v>
      </c>
      <c r="F43" s="14">
        <v>137</v>
      </c>
      <c r="G43" s="14">
        <v>122</v>
      </c>
      <c r="H43" s="14">
        <v>126</v>
      </c>
      <c r="I43" s="14">
        <v>124</v>
      </c>
      <c r="J43" s="14">
        <v>115</v>
      </c>
      <c r="K43" s="14">
        <v>113</v>
      </c>
      <c r="L43" s="14">
        <v>109</v>
      </c>
      <c r="M43" s="14">
        <v>109</v>
      </c>
      <c r="N43" s="14">
        <v>106</v>
      </c>
      <c r="O43" s="14">
        <v>130</v>
      </c>
      <c r="P43" s="14">
        <v>127</v>
      </c>
      <c r="Q43" s="15">
        <v>135</v>
      </c>
    </row>
    <row r="44" spans="3:25" x14ac:dyDescent="0.25">
      <c r="C44" s="11" t="s">
        <v>77</v>
      </c>
      <c r="D44" s="16">
        <f t="shared" ref="D44:P44" si="81">SUM(D38:D43)</f>
        <v>8553</v>
      </c>
      <c r="E44" s="16">
        <f t="shared" si="81"/>
        <v>8764</v>
      </c>
      <c r="F44" s="16">
        <f t="shared" si="81"/>
        <v>8676</v>
      </c>
      <c r="G44" s="16">
        <f t="shared" si="81"/>
        <v>8116</v>
      </c>
      <c r="H44" s="16">
        <f t="shared" si="81"/>
        <v>7861</v>
      </c>
      <c r="I44" s="16">
        <f t="shared" si="81"/>
        <v>7682</v>
      </c>
      <c r="J44" s="16">
        <f t="shared" si="81"/>
        <v>7944</v>
      </c>
      <c r="K44" s="16">
        <f t="shared" si="81"/>
        <v>8481</v>
      </c>
      <c r="L44" s="16">
        <f t="shared" si="81"/>
        <v>7856</v>
      </c>
      <c r="M44" s="16">
        <f t="shared" si="81"/>
        <v>6809</v>
      </c>
      <c r="N44" s="16">
        <f t="shared" si="81"/>
        <v>6654</v>
      </c>
      <c r="O44" s="16">
        <f t="shared" si="81"/>
        <v>6277</v>
      </c>
      <c r="P44" s="16">
        <f t="shared" si="81"/>
        <v>6497</v>
      </c>
      <c r="Q44" s="28">
        <f>SUM(Q38:Q43)</f>
        <v>6821</v>
      </c>
    </row>
    <row r="45" spans="3:25" x14ac:dyDescent="0.25">
      <c r="C45" s="1" t="s">
        <v>78</v>
      </c>
      <c r="D45" s="12">
        <f t="shared" ref="D45:P45" si="82">D37+D44</f>
        <v>17457</v>
      </c>
      <c r="E45" s="12">
        <f t="shared" si="82"/>
        <v>16974</v>
      </c>
      <c r="F45" s="12">
        <f t="shared" si="82"/>
        <v>17072</v>
      </c>
      <c r="G45" s="12">
        <f t="shared" si="82"/>
        <v>17122</v>
      </c>
      <c r="H45" s="12">
        <f t="shared" si="82"/>
        <v>17175</v>
      </c>
      <c r="I45" s="12">
        <f t="shared" si="82"/>
        <v>16369</v>
      </c>
      <c r="J45" s="12">
        <f t="shared" si="82"/>
        <v>16750</v>
      </c>
      <c r="K45" s="12">
        <f t="shared" si="82"/>
        <v>16813</v>
      </c>
      <c r="L45" s="12">
        <f t="shared" si="82"/>
        <v>16347</v>
      </c>
      <c r="M45" s="12">
        <f t="shared" si="82"/>
        <v>15185</v>
      </c>
      <c r="N45" s="12">
        <f t="shared" si="82"/>
        <v>14869</v>
      </c>
      <c r="O45" s="12">
        <f t="shared" si="82"/>
        <v>14701</v>
      </c>
      <c r="P45" s="12">
        <f t="shared" si="82"/>
        <v>14876</v>
      </c>
      <c r="Q45" s="13">
        <f>Q37+Q44</f>
        <v>15078</v>
      </c>
    </row>
    <row r="46" spans="3:25" x14ac:dyDescent="0.2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3:25" x14ac:dyDescent="0.25">
      <c r="C47" s="1" t="s">
        <v>60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3:25" x14ac:dyDescent="0.25">
      <c r="C48" s="2" t="s">
        <v>79</v>
      </c>
      <c r="D48" s="14">
        <v>485</v>
      </c>
      <c r="E48" s="14">
        <v>704</v>
      </c>
      <c r="F48" s="14">
        <v>313</v>
      </c>
      <c r="G48" s="14">
        <v>533</v>
      </c>
      <c r="H48" s="14">
        <v>170</v>
      </c>
      <c r="I48" s="14">
        <v>308</v>
      </c>
      <c r="J48" s="14">
        <v>605</v>
      </c>
      <c r="K48" s="14">
        <v>801</v>
      </c>
      <c r="L48" s="14">
        <v>-86</v>
      </c>
      <c r="M48" s="14">
        <v>47</v>
      </c>
      <c r="N48" s="14">
        <v>-26</v>
      </c>
      <c r="O48" s="14">
        <v>83</v>
      </c>
      <c r="P48" s="14">
        <v>99</v>
      </c>
      <c r="Q48" s="15">
        <v>121</v>
      </c>
      <c r="S48" s="11"/>
      <c r="T48" s="11"/>
      <c r="U48" s="11"/>
      <c r="V48" s="11"/>
      <c r="W48" s="11"/>
      <c r="X48" s="11"/>
    </row>
    <row r="49" spans="3:31" x14ac:dyDescent="0.25">
      <c r="C49" s="2" t="s">
        <v>80</v>
      </c>
      <c r="D49" s="14">
        <v>-151</v>
      </c>
      <c r="E49" s="14">
        <v>-300</v>
      </c>
      <c r="F49" s="14">
        <v>-116</v>
      </c>
      <c r="G49" s="14">
        <v>-116</v>
      </c>
      <c r="H49" s="14">
        <v>-153</v>
      </c>
      <c r="I49" s="14">
        <v>-249</v>
      </c>
      <c r="J49" s="14">
        <v>-314</v>
      </c>
      <c r="K49" s="14">
        <v>-344</v>
      </c>
      <c r="L49" s="14">
        <v>-159</v>
      </c>
      <c r="M49" s="14">
        <v>-113</v>
      </c>
      <c r="N49" s="14">
        <v>-318</v>
      </c>
      <c r="O49" s="14">
        <v>-314</v>
      </c>
      <c r="P49" s="14">
        <v>-163</v>
      </c>
      <c r="Q49" s="15">
        <v>-66</v>
      </c>
      <c r="R49" s="11"/>
    </row>
    <row r="50" spans="3:31" x14ac:dyDescent="0.25">
      <c r="C50" s="2" t="s">
        <v>81</v>
      </c>
      <c r="D50" s="14">
        <f>-365+431</f>
        <v>66</v>
      </c>
      <c r="E50" s="14">
        <f>-1007+692</f>
        <v>-315</v>
      </c>
      <c r="F50" s="14">
        <f>-668+430</f>
        <v>-238</v>
      </c>
      <c r="G50" s="14">
        <f>-196+416</f>
        <v>220</v>
      </c>
      <c r="H50" s="14">
        <f>-67+229</f>
        <v>162</v>
      </c>
      <c r="I50" s="14">
        <f>-708+400</f>
        <v>-308</v>
      </c>
      <c r="J50" s="14">
        <f>-976+561</f>
        <v>-415</v>
      </c>
      <c r="K50" s="14">
        <f>-1338+1091</f>
        <v>-247</v>
      </c>
      <c r="L50" s="14">
        <v>-16</v>
      </c>
      <c r="M50" s="14">
        <v>127</v>
      </c>
      <c r="N50" s="14">
        <f>-617+980</f>
        <v>363</v>
      </c>
      <c r="O50" s="14">
        <f>-1150+1485</f>
        <v>335</v>
      </c>
      <c r="P50" s="14">
        <v>107</v>
      </c>
      <c r="Q50" s="15">
        <v>-133</v>
      </c>
      <c r="R50" s="1"/>
    </row>
    <row r="51" spans="3:31" x14ac:dyDescent="0.25">
      <c r="C51" s="2" t="s">
        <v>82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2">
        <v>0</v>
      </c>
      <c r="J51" s="14">
        <f>-1294+792</f>
        <v>-502</v>
      </c>
      <c r="K51" s="14">
        <f>-1671+1186</f>
        <v>-485</v>
      </c>
      <c r="L51" s="14">
        <v>169</v>
      </c>
      <c r="M51" s="14">
        <v>-2</v>
      </c>
      <c r="N51" s="14">
        <f>-1300+1477</f>
        <v>177</v>
      </c>
      <c r="O51" s="14">
        <f>-1920+2078</f>
        <v>158</v>
      </c>
      <c r="P51" s="14">
        <v>-322</v>
      </c>
      <c r="Q51" s="15">
        <v>59</v>
      </c>
    </row>
    <row r="52" spans="3:31" x14ac:dyDescent="0.25">
      <c r="C52" s="2" t="s">
        <v>83</v>
      </c>
      <c r="D52" s="14">
        <v>-83</v>
      </c>
      <c r="E52" s="14">
        <f>-395</f>
        <v>-395</v>
      </c>
      <c r="F52" s="14">
        <v>-143</v>
      </c>
      <c r="G52" s="14">
        <f>-257+79</f>
        <v>-178</v>
      </c>
      <c r="H52" s="14">
        <v>-149</v>
      </c>
      <c r="I52" s="14">
        <f>-310+3</f>
        <v>-307</v>
      </c>
      <c r="J52" s="14">
        <f>-393+26</f>
        <v>-367</v>
      </c>
      <c r="K52" s="14">
        <f>-429+46</f>
        <v>-383</v>
      </c>
      <c r="L52" s="14">
        <v>-108</v>
      </c>
      <c r="M52" s="14">
        <v>429</v>
      </c>
      <c r="N52" s="14">
        <f>-102+410</f>
        <v>308</v>
      </c>
      <c r="O52" s="14">
        <f>-167+735</f>
        <v>568</v>
      </c>
      <c r="P52" s="14">
        <v>-4</v>
      </c>
      <c r="Q52" s="15">
        <v>-65</v>
      </c>
    </row>
    <row r="53" spans="3:31" x14ac:dyDescent="0.25">
      <c r="C53" s="2" t="s">
        <v>84</v>
      </c>
      <c r="D53" s="14">
        <v>-45</v>
      </c>
      <c r="E53" s="14">
        <v>54</v>
      </c>
      <c r="F53" s="14">
        <v>-179</v>
      </c>
      <c r="G53" s="14">
        <v>-105</v>
      </c>
      <c r="H53" s="14">
        <v>762</v>
      </c>
      <c r="I53" s="14">
        <v>205</v>
      </c>
      <c r="J53" s="14">
        <v>541</v>
      </c>
      <c r="K53" s="14">
        <v>610</v>
      </c>
      <c r="L53" s="14">
        <v>-749</v>
      </c>
      <c r="M53" s="14">
        <v>174</v>
      </c>
      <c r="N53" s="14">
        <f>-372</f>
        <v>-372</v>
      </c>
      <c r="O53" s="14">
        <v>-1100</v>
      </c>
      <c r="P53" s="14">
        <v>-227</v>
      </c>
      <c r="Q53" s="15">
        <v>-120</v>
      </c>
      <c r="Z53" s="1"/>
      <c r="AA53" s="1"/>
      <c r="AB53" s="1"/>
      <c r="AC53" s="1"/>
      <c r="AD53" s="1"/>
      <c r="AE53" s="1"/>
    </row>
    <row r="54" spans="3:31" x14ac:dyDescent="0.25">
      <c r="C54" s="1" t="s">
        <v>85</v>
      </c>
      <c r="D54" s="12">
        <f t="shared" ref="D54:P54" si="83">SUM(D48:D53)</f>
        <v>272</v>
      </c>
      <c r="E54" s="12">
        <f t="shared" si="83"/>
        <v>-252</v>
      </c>
      <c r="F54" s="12">
        <f t="shared" si="83"/>
        <v>-363</v>
      </c>
      <c r="G54" s="12">
        <f t="shared" si="83"/>
        <v>354</v>
      </c>
      <c r="H54" s="12">
        <f t="shared" si="83"/>
        <v>792</v>
      </c>
      <c r="I54" s="12">
        <f t="shared" si="83"/>
        <v>-351</v>
      </c>
      <c r="J54" s="12">
        <f t="shared" si="83"/>
        <v>-452</v>
      </c>
      <c r="K54" s="12">
        <f t="shared" si="83"/>
        <v>-48</v>
      </c>
      <c r="L54" s="12">
        <f t="shared" si="83"/>
        <v>-949</v>
      </c>
      <c r="M54" s="12">
        <f t="shared" si="83"/>
        <v>662</v>
      </c>
      <c r="N54" s="12">
        <f t="shared" si="83"/>
        <v>132</v>
      </c>
      <c r="O54" s="12">
        <f t="shared" si="83"/>
        <v>-270</v>
      </c>
      <c r="P54" s="12">
        <f t="shared" si="83"/>
        <v>-510</v>
      </c>
      <c r="Q54" s="13">
        <f>SUM(Q48:Q53)</f>
        <v>-204</v>
      </c>
    </row>
    <row r="55" spans="3:31" x14ac:dyDescent="0.25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3:31" x14ac:dyDescent="0.25">
      <c r="C56" s="1" t="s">
        <v>86</v>
      </c>
      <c r="D56" s="12">
        <v>-6</v>
      </c>
      <c r="E56" s="12">
        <v>0</v>
      </c>
      <c r="F56" s="12">
        <v>0</v>
      </c>
      <c r="G56" s="12">
        <v>-28</v>
      </c>
      <c r="H56" s="12">
        <v>1</v>
      </c>
      <c r="I56" s="12">
        <v>0</v>
      </c>
      <c r="J56" s="12">
        <v>-1</v>
      </c>
      <c r="K56" s="12">
        <v>-2</v>
      </c>
      <c r="L56" s="12">
        <v>-11</v>
      </c>
      <c r="M56" s="12">
        <v>-32</v>
      </c>
      <c r="N56" s="12">
        <v>-44</v>
      </c>
      <c r="O56" s="12">
        <v>-69</v>
      </c>
      <c r="P56" s="12">
        <v>-16</v>
      </c>
      <c r="Q56" s="13">
        <v>-10</v>
      </c>
    </row>
    <row r="57" spans="3:31" x14ac:dyDescent="0.25"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3"/>
      <c r="Z57" s="1"/>
      <c r="AA57" s="1"/>
      <c r="AB57" s="1"/>
      <c r="AC57" s="1"/>
      <c r="AD57" s="1"/>
      <c r="AE57" s="1"/>
    </row>
    <row r="58" spans="3:31" x14ac:dyDescent="0.25">
      <c r="C58" s="2" t="s">
        <v>87</v>
      </c>
      <c r="D58" s="14">
        <v>271</v>
      </c>
      <c r="E58" s="14">
        <v>360</v>
      </c>
      <c r="F58" s="14">
        <v>85</v>
      </c>
      <c r="G58" s="14">
        <v>94</v>
      </c>
      <c r="H58" s="14">
        <v>62</v>
      </c>
      <c r="I58" s="14">
        <v>333</v>
      </c>
      <c r="J58" s="14">
        <v>484</v>
      </c>
      <c r="K58" s="14">
        <v>976</v>
      </c>
      <c r="L58" s="14">
        <v>421</v>
      </c>
      <c r="M58" s="14">
        <v>1261</v>
      </c>
      <c r="N58" s="14">
        <v>1941</v>
      </c>
      <c r="O58" s="14">
        <v>2968</v>
      </c>
      <c r="P58" s="14">
        <v>592</v>
      </c>
      <c r="Q58" s="15">
        <v>793</v>
      </c>
    </row>
    <row r="59" spans="3:31" x14ac:dyDescent="0.25">
      <c r="C59" s="2" t="s">
        <v>88</v>
      </c>
      <c r="D59" s="14">
        <v>-292</v>
      </c>
      <c r="E59" s="14">
        <v>-371</v>
      </c>
      <c r="F59" s="14">
        <v>-52</v>
      </c>
      <c r="G59" s="14">
        <v>-238</v>
      </c>
      <c r="H59" s="14">
        <v>-101</v>
      </c>
      <c r="I59" s="14">
        <v>-206</v>
      </c>
      <c r="J59" s="14">
        <v>-219</v>
      </c>
      <c r="K59" s="14">
        <v>-245</v>
      </c>
      <c r="L59" s="14">
        <v>-488</v>
      </c>
      <c r="M59" s="14">
        <v>-1853</v>
      </c>
      <c r="N59" s="14">
        <v>-2964</v>
      </c>
      <c r="O59" s="14">
        <v>-3602</v>
      </c>
      <c r="P59" s="14">
        <v>-127</v>
      </c>
      <c r="Q59" s="15">
        <v>-577</v>
      </c>
    </row>
    <row r="60" spans="3:31" x14ac:dyDescent="0.25">
      <c r="C60" s="2" t="s">
        <v>89</v>
      </c>
      <c r="D60" s="14">
        <v>-124</v>
      </c>
      <c r="E60" s="14">
        <f>-324-921</f>
        <v>-1245</v>
      </c>
      <c r="F60" s="14">
        <v>-250</v>
      </c>
      <c r="G60" s="14">
        <v>-250</v>
      </c>
      <c r="H60" s="14">
        <v>0</v>
      </c>
      <c r="I60" s="14">
        <v>-903</v>
      </c>
      <c r="J60" s="14">
        <v>-903</v>
      </c>
      <c r="K60" s="14">
        <v>-903</v>
      </c>
      <c r="L60" s="14">
        <v>0</v>
      </c>
      <c r="M60" s="14">
        <v>-194</v>
      </c>
      <c r="N60" s="14">
        <v>-194</v>
      </c>
      <c r="O60" s="14">
        <v>-194</v>
      </c>
      <c r="P60" s="14">
        <v>0</v>
      </c>
      <c r="Q60" s="15">
        <v>-210</v>
      </c>
    </row>
    <row r="61" spans="3:31" x14ac:dyDescent="0.25">
      <c r="C61" s="1" t="s">
        <v>90</v>
      </c>
      <c r="D61" s="12">
        <f t="shared" ref="D61:P61" si="84">SUM(D58:D60)</f>
        <v>-145</v>
      </c>
      <c r="E61" s="12">
        <f t="shared" si="84"/>
        <v>-1256</v>
      </c>
      <c r="F61" s="12">
        <f t="shared" si="84"/>
        <v>-217</v>
      </c>
      <c r="G61" s="12">
        <f t="shared" si="84"/>
        <v>-394</v>
      </c>
      <c r="H61" s="12">
        <f t="shared" si="84"/>
        <v>-39</v>
      </c>
      <c r="I61" s="12">
        <f t="shared" si="84"/>
        <v>-776</v>
      </c>
      <c r="J61" s="12">
        <f t="shared" si="84"/>
        <v>-638</v>
      </c>
      <c r="K61" s="12">
        <f t="shared" si="84"/>
        <v>-172</v>
      </c>
      <c r="L61" s="12">
        <f t="shared" si="84"/>
        <v>-67</v>
      </c>
      <c r="M61" s="12">
        <f t="shared" si="84"/>
        <v>-786</v>
      </c>
      <c r="N61" s="12">
        <f t="shared" si="84"/>
        <v>-1217</v>
      </c>
      <c r="O61" s="12">
        <f t="shared" si="84"/>
        <v>-828</v>
      </c>
      <c r="P61" s="12">
        <f t="shared" si="84"/>
        <v>465</v>
      </c>
      <c r="Q61" s="13">
        <f>SUM(Q58:Q60)</f>
        <v>6</v>
      </c>
      <c r="R61" s="1"/>
      <c r="S61" s="1"/>
      <c r="T61" s="1"/>
      <c r="U61" s="1"/>
      <c r="V61" s="1"/>
      <c r="W61" s="1"/>
      <c r="X61" s="1"/>
      <c r="Y61" s="1"/>
    </row>
    <row r="62" spans="3:31" x14ac:dyDescent="0.2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  <c r="R62" s="1"/>
      <c r="S62" s="1"/>
      <c r="T62" s="1"/>
      <c r="U62" s="1"/>
      <c r="V62" s="1"/>
      <c r="W62" s="1"/>
      <c r="X62" s="1"/>
      <c r="Y62" s="1"/>
    </row>
    <row r="63" spans="3:31" x14ac:dyDescent="0.25">
      <c r="C63" s="2" t="s">
        <v>92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-8</v>
      </c>
      <c r="K63" s="14">
        <v>-37</v>
      </c>
      <c r="L63" s="14">
        <v>11</v>
      </c>
      <c r="M63" s="14">
        <v>5</v>
      </c>
      <c r="N63" s="14">
        <v>11</v>
      </c>
      <c r="O63" s="14">
        <v>13</v>
      </c>
      <c r="P63" s="14">
        <v>-8</v>
      </c>
      <c r="Q63" s="15">
        <v>4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3:31" x14ac:dyDescent="0.2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  <c r="S64" s="1"/>
      <c r="T64" s="1"/>
      <c r="U64" s="1"/>
      <c r="V64" s="1"/>
      <c r="W64" s="1"/>
      <c r="X64" s="1"/>
      <c r="Y64" s="1"/>
      <c r="Z64" s="1"/>
      <c r="AA64" s="1"/>
    </row>
    <row r="65" spans="3:27" x14ac:dyDescent="0.25">
      <c r="C65" s="2" t="s">
        <v>93</v>
      </c>
      <c r="D65" s="14">
        <f t="shared" ref="D65:P65" si="85">D54+D56+D61+D63</f>
        <v>121</v>
      </c>
      <c r="E65" s="14">
        <f t="shared" si="85"/>
        <v>-1508</v>
      </c>
      <c r="F65" s="14">
        <f t="shared" si="85"/>
        <v>-580</v>
      </c>
      <c r="G65" s="14">
        <f t="shared" si="85"/>
        <v>-68</v>
      </c>
      <c r="H65" s="14">
        <f t="shared" si="85"/>
        <v>754</v>
      </c>
      <c r="I65" s="14">
        <f t="shared" si="85"/>
        <v>-1127</v>
      </c>
      <c r="J65" s="14">
        <f t="shared" si="85"/>
        <v>-1099</v>
      </c>
      <c r="K65" s="14">
        <f t="shared" si="85"/>
        <v>-259</v>
      </c>
      <c r="L65" s="14">
        <f t="shared" si="85"/>
        <v>-1016</v>
      </c>
      <c r="M65" s="14">
        <f t="shared" si="85"/>
        <v>-151</v>
      </c>
      <c r="N65" s="14">
        <f t="shared" si="85"/>
        <v>-1118</v>
      </c>
      <c r="O65" s="14">
        <f t="shared" si="85"/>
        <v>-1154</v>
      </c>
      <c r="P65" s="14">
        <f t="shared" si="85"/>
        <v>-69</v>
      </c>
      <c r="Q65" s="15">
        <f>Q54+Q56+Q61+Q63</f>
        <v>-204</v>
      </c>
      <c r="S65" s="1"/>
      <c r="T65" s="1"/>
      <c r="U65" s="1"/>
      <c r="V65" s="1"/>
      <c r="W65" s="1"/>
      <c r="X65" s="1"/>
      <c r="Y65" s="1"/>
      <c r="Z65" s="1"/>
    </row>
    <row r="66" spans="3:27" x14ac:dyDescent="0.25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3:27" x14ac:dyDescent="0.25">
      <c r="C67" s="2" t="s">
        <v>91</v>
      </c>
      <c r="D67" s="14">
        <f t="shared" ref="D67:P67" si="86">D54+D56</f>
        <v>266</v>
      </c>
      <c r="E67" s="14">
        <f t="shared" si="86"/>
        <v>-252</v>
      </c>
      <c r="F67" s="14">
        <f t="shared" si="86"/>
        <v>-363</v>
      </c>
      <c r="G67" s="14">
        <f t="shared" si="86"/>
        <v>326</v>
      </c>
      <c r="H67" s="14">
        <f t="shared" si="86"/>
        <v>793</v>
      </c>
      <c r="I67" s="14">
        <f t="shared" si="86"/>
        <v>-351</v>
      </c>
      <c r="J67" s="14">
        <f t="shared" si="86"/>
        <v>-453</v>
      </c>
      <c r="K67" s="14">
        <f t="shared" si="86"/>
        <v>-50</v>
      </c>
      <c r="L67" s="14">
        <f t="shared" si="86"/>
        <v>-960</v>
      </c>
      <c r="M67" s="14">
        <f t="shared" si="86"/>
        <v>630</v>
      </c>
      <c r="N67" s="14">
        <f t="shared" si="86"/>
        <v>88</v>
      </c>
      <c r="O67" s="14">
        <f t="shared" si="86"/>
        <v>-339</v>
      </c>
      <c r="P67" s="14">
        <f t="shared" si="86"/>
        <v>-526</v>
      </c>
      <c r="Q67" s="15">
        <f>Q54+Q56</f>
        <v>-214</v>
      </c>
      <c r="R67" s="1"/>
      <c r="S67" s="1"/>
      <c r="T67" s="1"/>
      <c r="U67" s="1"/>
      <c r="V67" s="1"/>
      <c r="W67" s="1"/>
      <c r="X67" s="1"/>
      <c r="Y67" s="1"/>
    </row>
    <row r="68" spans="3:27" x14ac:dyDescent="0.25">
      <c r="R68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3:X49"/>
  <sheetViews>
    <sheetView showGridLines="0" zoomScale="90" zoomScaleNormal="90" workbookViewId="0">
      <pane xSplit="2" ySplit="3" topLeftCell="D38" activePane="bottomRight" state="frozen"/>
      <selection pane="topRight" activeCell="C1" sqref="C1"/>
      <selection pane="bottomLeft" activeCell="A4" sqref="A4"/>
      <selection pane="bottomRight" activeCell="W8" sqref="W8"/>
    </sheetView>
  </sheetViews>
  <sheetFormatPr baseColWidth="10" defaultRowHeight="19" x14ac:dyDescent="0.25"/>
  <cols>
    <col min="1" max="1" width="7" style="2" customWidth="1"/>
    <col min="2" max="2" width="26.83203125" style="2" customWidth="1"/>
    <col min="3" max="16384" width="10.83203125" style="2"/>
  </cols>
  <sheetData>
    <row r="3" spans="2:24" x14ac:dyDescent="0.25">
      <c r="B3" s="2" t="s">
        <v>38</v>
      </c>
      <c r="C3" s="7" t="s">
        <v>3</v>
      </c>
      <c r="D3" s="7" t="s">
        <v>4</v>
      </c>
      <c r="E3" s="7" t="s">
        <v>5</v>
      </c>
      <c r="F3" s="7" t="s">
        <v>6</v>
      </c>
      <c r="G3" s="36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36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36">
        <v>2024</v>
      </c>
      <c r="R3" s="7" t="s">
        <v>37</v>
      </c>
      <c r="S3" s="7" t="s">
        <v>31</v>
      </c>
      <c r="T3" s="7" t="s">
        <v>35</v>
      </c>
      <c r="U3" s="7" t="s">
        <v>36</v>
      </c>
      <c r="V3" s="38">
        <v>2025</v>
      </c>
    </row>
    <row r="4" spans="2:24" x14ac:dyDescent="0.25">
      <c r="B4" s="1" t="s">
        <v>111</v>
      </c>
      <c r="G4" s="37"/>
      <c r="L4" s="37"/>
      <c r="Q4" s="37"/>
      <c r="V4" s="37"/>
    </row>
    <row r="5" spans="2:24" x14ac:dyDescent="0.25">
      <c r="B5" s="2" t="s">
        <v>45</v>
      </c>
      <c r="C5" s="2">
        <v>1285</v>
      </c>
      <c r="D5" s="2">
        <v>1196</v>
      </c>
      <c r="E5" s="2">
        <v>1141</v>
      </c>
      <c r="F5" s="2">
        <v>1344</v>
      </c>
      <c r="G5" s="38">
        <f>SUM(C5:F5)</f>
        <v>4966</v>
      </c>
      <c r="H5" s="2">
        <v>1095</v>
      </c>
      <c r="I5" s="2">
        <v>1176</v>
      </c>
      <c r="J5" s="2">
        <v>955</v>
      </c>
      <c r="K5" s="2">
        <v>1022</v>
      </c>
      <c r="L5" s="38">
        <f>SUM(H5:K5)</f>
        <v>4248</v>
      </c>
      <c r="M5" s="2">
        <v>882</v>
      </c>
      <c r="N5" s="2">
        <v>1280</v>
      </c>
      <c r="O5" s="2">
        <v>783</v>
      </c>
      <c r="P5" s="2">
        <v>1255</v>
      </c>
      <c r="Q5" s="38">
        <f>SUM(M5:P5)</f>
        <v>4200</v>
      </c>
      <c r="R5" s="2">
        <v>849</v>
      </c>
      <c r="S5" s="2">
        <v>764</v>
      </c>
      <c r="V5" s="38">
        <f>SUM(R5:U5)</f>
        <v>1613</v>
      </c>
    </row>
    <row r="6" spans="2:24" x14ac:dyDescent="0.25">
      <c r="B6" s="11" t="s">
        <v>113</v>
      </c>
      <c r="C6" s="35"/>
      <c r="D6" s="35"/>
      <c r="E6" s="35"/>
      <c r="F6" s="35"/>
      <c r="G6" s="39"/>
      <c r="H6" s="35">
        <f t="shared" ref="H6:R6" si="0">(H5-C5)/C5</f>
        <v>-0.14785992217898833</v>
      </c>
      <c r="I6" s="35">
        <f t="shared" si="0"/>
        <v>-1.6722408026755852E-2</v>
      </c>
      <c r="J6" s="35">
        <f t="shared" si="0"/>
        <v>-0.16301489921121823</v>
      </c>
      <c r="K6" s="35">
        <f t="shared" si="0"/>
        <v>-0.23958333333333334</v>
      </c>
      <c r="L6" s="39">
        <f t="shared" si="0"/>
        <v>-0.1445831655255739</v>
      </c>
      <c r="M6" s="35">
        <f t="shared" si="0"/>
        <v>-0.19452054794520549</v>
      </c>
      <c r="N6" s="35">
        <f t="shared" si="0"/>
        <v>8.8435374149659865E-2</v>
      </c>
      <c r="O6" s="35">
        <f t="shared" si="0"/>
        <v>-0.18010471204188483</v>
      </c>
      <c r="P6" s="35">
        <f t="shared" si="0"/>
        <v>0.22798434442270057</v>
      </c>
      <c r="Q6" s="39">
        <f>(Q5-L5)/L5</f>
        <v>-1.1299435028248588E-2</v>
      </c>
      <c r="R6" s="35">
        <f t="shared" si="0"/>
        <v>-3.7414965986394558E-2</v>
      </c>
      <c r="S6" s="35">
        <f>(S5-N5)/N5</f>
        <v>-0.40312500000000001</v>
      </c>
      <c r="T6" s="35">
        <f t="shared" ref="T6:V6" si="1">(T5-O5)/O5</f>
        <v>-1</v>
      </c>
      <c r="U6" s="35">
        <f t="shared" si="1"/>
        <v>-1</v>
      </c>
      <c r="V6" s="39">
        <f t="shared" si="1"/>
        <v>-0.61595238095238092</v>
      </c>
    </row>
    <row r="7" spans="2:24" x14ac:dyDescent="0.25">
      <c r="B7" s="2" t="s">
        <v>50</v>
      </c>
      <c r="C7" s="2">
        <v>190</v>
      </c>
      <c r="D7" s="2">
        <v>182</v>
      </c>
      <c r="E7" s="2">
        <v>160</v>
      </c>
      <c r="F7" s="2">
        <v>188</v>
      </c>
      <c r="G7" s="38">
        <f>SUM(C7:F7)</f>
        <v>720</v>
      </c>
      <c r="H7" s="2">
        <v>116</v>
      </c>
      <c r="I7" s="2">
        <v>90</v>
      </c>
      <c r="J7" s="2">
        <v>24</v>
      </c>
      <c r="K7" s="2">
        <v>-118</v>
      </c>
      <c r="L7" s="38">
        <f>SUM(H7:K7)</f>
        <v>112</v>
      </c>
      <c r="M7" s="2">
        <v>-47</v>
      </c>
      <c r="N7" s="2">
        <v>4</v>
      </c>
      <c r="O7" s="2">
        <v>-2</v>
      </c>
      <c r="P7" s="2">
        <v>-58</v>
      </c>
      <c r="Q7" s="38">
        <f>SUM(M7:P7)</f>
        <v>-103</v>
      </c>
      <c r="R7" s="2">
        <v>1</v>
      </c>
      <c r="S7" s="2">
        <v>1</v>
      </c>
      <c r="V7" s="38">
        <f>SUM(R7:U7)</f>
        <v>2</v>
      </c>
    </row>
    <row r="8" spans="2:24" x14ac:dyDescent="0.25">
      <c r="B8" s="34" t="s">
        <v>112</v>
      </c>
      <c r="C8" s="34">
        <v>0.14799999999999999</v>
      </c>
      <c r="D8" s="34">
        <v>0.152</v>
      </c>
      <c r="E8" s="34">
        <v>0.14099999999999999</v>
      </c>
      <c r="F8" s="34">
        <v>0.14000000000000001</v>
      </c>
      <c r="G8" s="40">
        <f>G7/G5</f>
        <v>0.14498590414820781</v>
      </c>
      <c r="H8" s="34">
        <v>0.106</v>
      </c>
      <c r="I8" s="34">
        <v>7.5999999999999998E-2</v>
      </c>
      <c r="J8" s="34">
        <v>2.5000000000000001E-2</v>
      </c>
      <c r="K8" s="34">
        <v>-0.115</v>
      </c>
      <c r="L8" s="40">
        <f>L7/L5</f>
        <v>2.6365348399246705E-2</v>
      </c>
      <c r="M8" s="34">
        <v>-5.2999999999999999E-2</v>
      </c>
      <c r="N8" s="34">
        <v>3.0000000000000001E-3</v>
      </c>
      <c r="O8" s="34">
        <v>-2E-3</v>
      </c>
      <c r="P8" s="34">
        <v>-4.7E-2</v>
      </c>
      <c r="Q8" s="40">
        <f>Q7/Q5</f>
        <v>-2.4523809523809524E-2</v>
      </c>
      <c r="R8" s="34">
        <v>1E-3</v>
      </c>
      <c r="S8" s="34">
        <v>1E-3</v>
      </c>
      <c r="T8" s="34"/>
      <c r="U8" s="34"/>
      <c r="V8" s="40">
        <f>V7/V5</f>
        <v>1.2399256044637321E-3</v>
      </c>
    </row>
    <row r="9" spans="2:24" x14ac:dyDescent="0.25">
      <c r="B9" s="2" t="s">
        <v>114</v>
      </c>
      <c r="C9" s="2">
        <v>244</v>
      </c>
      <c r="D9" s="2">
        <v>-182</v>
      </c>
      <c r="E9" s="2">
        <v>242</v>
      </c>
      <c r="F9" s="2">
        <v>-6</v>
      </c>
      <c r="G9" s="38">
        <f>SUM(C9:F9)</f>
        <v>298</v>
      </c>
      <c r="H9" s="2">
        <v>76</v>
      </c>
      <c r="I9" s="2">
        <v>-806</v>
      </c>
      <c r="J9" s="2">
        <v>144</v>
      </c>
      <c r="K9" s="2">
        <v>54</v>
      </c>
      <c r="L9" s="38">
        <f>SUM(H9:K9)</f>
        <v>-532</v>
      </c>
      <c r="M9" s="2">
        <v>-312</v>
      </c>
      <c r="N9" s="2">
        <v>-30</v>
      </c>
      <c r="O9" s="2">
        <v>115</v>
      </c>
      <c r="P9" s="2">
        <v>-385</v>
      </c>
      <c r="Q9" s="38">
        <f>SUM(M9:P9)</f>
        <v>-612</v>
      </c>
      <c r="R9" s="2">
        <v>-444</v>
      </c>
      <c r="S9" s="2">
        <v>56</v>
      </c>
      <c r="V9" s="38">
        <f>SUM(R9:U9)</f>
        <v>-388</v>
      </c>
    </row>
    <row r="10" spans="2:24" x14ac:dyDescent="0.25">
      <c r="B10" s="2" t="s">
        <v>95</v>
      </c>
      <c r="C10" s="2">
        <v>264</v>
      </c>
      <c r="D10" s="2">
        <v>230</v>
      </c>
      <c r="E10" s="2">
        <v>102</v>
      </c>
      <c r="F10" s="2">
        <v>61</v>
      </c>
      <c r="G10" s="38">
        <f>SUM(C10:F10)</f>
        <v>657</v>
      </c>
      <c r="H10" s="2">
        <v>51</v>
      </c>
      <c r="I10" s="2">
        <v>66</v>
      </c>
      <c r="J10" s="2">
        <v>74</v>
      </c>
      <c r="K10" s="2">
        <v>124</v>
      </c>
      <c r="L10" s="38">
        <f>SUM(H10:K10)</f>
        <v>315</v>
      </c>
      <c r="M10" s="2">
        <v>168</v>
      </c>
      <c r="N10" s="2">
        <v>223</v>
      </c>
      <c r="O10" s="2">
        <v>162</v>
      </c>
      <c r="P10" s="2">
        <v>232</v>
      </c>
      <c r="Q10" s="38">
        <f>SUM(M10:P10)</f>
        <v>785</v>
      </c>
      <c r="R10" s="2">
        <v>224</v>
      </c>
      <c r="S10" s="2">
        <v>155</v>
      </c>
      <c r="V10" s="38">
        <f>SUM(R10:U10)</f>
        <v>379</v>
      </c>
    </row>
    <row r="11" spans="2:24" x14ac:dyDescent="0.25">
      <c r="B11" s="29" t="s">
        <v>94</v>
      </c>
      <c r="C11" s="29">
        <v>73</v>
      </c>
      <c r="D11" s="29">
        <v>178</v>
      </c>
      <c r="E11" s="29">
        <v>205</v>
      </c>
      <c r="F11" s="29">
        <v>265</v>
      </c>
      <c r="G11" s="41">
        <f>SUM(C11:F11)</f>
        <v>721</v>
      </c>
      <c r="H11" s="29">
        <v>0</v>
      </c>
      <c r="I11" s="29">
        <v>0</v>
      </c>
      <c r="J11" s="29">
        <v>133</v>
      </c>
      <c r="K11" s="29">
        <v>98</v>
      </c>
      <c r="L11" s="41">
        <f>SUM(H11:K11)</f>
        <v>231</v>
      </c>
      <c r="M11" s="29">
        <v>145</v>
      </c>
      <c r="N11" s="29">
        <v>253</v>
      </c>
      <c r="O11" s="29">
        <v>144</v>
      </c>
      <c r="P11" s="29">
        <v>216</v>
      </c>
      <c r="Q11" s="41">
        <f>SUM(M11:P11)</f>
        <v>758</v>
      </c>
      <c r="R11" s="29">
        <v>86</v>
      </c>
      <c r="S11" s="29">
        <v>117</v>
      </c>
      <c r="T11" s="29"/>
      <c r="U11" s="29"/>
      <c r="V11" s="41">
        <f>SUM(R11:U11)</f>
        <v>203</v>
      </c>
      <c r="W11" s="29"/>
      <c r="X11" s="29"/>
    </row>
    <row r="12" spans="2:24" x14ac:dyDescent="0.25">
      <c r="B12" s="1" t="s">
        <v>115</v>
      </c>
      <c r="G12" s="37"/>
      <c r="L12" s="37"/>
      <c r="Q12" s="37"/>
      <c r="V12" s="37"/>
    </row>
    <row r="13" spans="2:24" x14ac:dyDescent="0.25">
      <c r="B13" s="2" t="s">
        <v>45</v>
      </c>
      <c r="C13" s="2">
        <v>1127</v>
      </c>
      <c r="D13" s="2">
        <v>1205</v>
      </c>
      <c r="E13" s="2">
        <v>1012</v>
      </c>
      <c r="F13" s="2">
        <v>1156</v>
      </c>
      <c r="G13" s="38">
        <f>SUM(C13:F13)</f>
        <v>4500</v>
      </c>
      <c r="H13" s="2">
        <v>1129</v>
      </c>
      <c r="I13" s="2">
        <v>982</v>
      </c>
      <c r="J13" s="2">
        <v>639</v>
      </c>
      <c r="K13" s="2">
        <v>726</v>
      </c>
      <c r="L13" s="38">
        <f>SUM(H13:K13)</f>
        <v>3476</v>
      </c>
      <c r="M13" s="2">
        <v>600</v>
      </c>
      <c r="N13" s="2">
        <v>584</v>
      </c>
      <c r="O13" s="2">
        <v>557</v>
      </c>
      <c r="P13" s="2">
        <v>641</v>
      </c>
      <c r="Q13" s="38">
        <f>SUM(M13:P13)</f>
        <v>2382</v>
      </c>
      <c r="R13" s="2">
        <v>598</v>
      </c>
      <c r="S13" s="2">
        <v>654</v>
      </c>
      <c r="V13" s="38">
        <f>SUM(R13:U13)</f>
        <v>1252</v>
      </c>
    </row>
    <row r="14" spans="2:24" x14ac:dyDescent="0.25">
      <c r="B14" s="11" t="s">
        <v>113</v>
      </c>
      <c r="G14" s="39"/>
      <c r="H14" s="35">
        <f t="shared" ref="H14" si="2">(H13-C13)/C13</f>
        <v>1.7746228926353151E-3</v>
      </c>
      <c r="I14" s="35">
        <f t="shared" ref="I14" si="3">(I13-D13)/D13</f>
        <v>-0.18506224066390042</v>
      </c>
      <c r="J14" s="35">
        <f t="shared" ref="J14" si="4">(J13-E13)/E13</f>
        <v>-0.36857707509881421</v>
      </c>
      <c r="K14" s="35">
        <f t="shared" ref="K14:L14" si="5">(K13-F13)/F13</f>
        <v>-0.37197231833910033</v>
      </c>
      <c r="L14" s="39">
        <f t="shared" si="5"/>
        <v>-0.22755555555555557</v>
      </c>
      <c r="M14" s="35">
        <f t="shared" ref="M14" si="6">(M13-H13)/H13</f>
        <v>-0.46855624446412752</v>
      </c>
      <c r="N14" s="35">
        <f t="shared" ref="N14" si="7">(N13-I13)/I13</f>
        <v>-0.40529531568228105</v>
      </c>
      <c r="O14" s="35">
        <f t="shared" ref="O14" si="8">(O13-J13)/J13</f>
        <v>-0.12832550860719874</v>
      </c>
      <c r="P14" s="35">
        <f t="shared" ref="P14:Q14" si="9">(P13-K13)/K13</f>
        <v>-0.11707988980716254</v>
      </c>
      <c r="Q14" s="39">
        <f t="shared" si="9"/>
        <v>-0.3147295742232451</v>
      </c>
      <c r="R14" s="35">
        <f t="shared" ref="R14" si="10">(R13-M13)/M13</f>
        <v>-3.3333333333333335E-3</v>
      </c>
      <c r="S14" s="35">
        <f>(S13-N13)/N13</f>
        <v>0.11986301369863013</v>
      </c>
      <c r="T14" s="35">
        <f t="shared" ref="T14" si="11">(T13-O13)/O13</f>
        <v>-1</v>
      </c>
      <c r="U14" s="35">
        <f t="shared" ref="U14:V14" si="12">(U13-P13)/P13</f>
        <v>-1</v>
      </c>
      <c r="V14" s="39">
        <f t="shared" si="12"/>
        <v>-0.47439126784214947</v>
      </c>
    </row>
    <row r="15" spans="2:24" x14ac:dyDescent="0.25">
      <c r="B15" s="2" t="s">
        <v>50</v>
      </c>
      <c r="C15" s="2">
        <v>174</v>
      </c>
      <c r="D15" s="2">
        <v>185</v>
      </c>
      <c r="E15" s="2">
        <v>153</v>
      </c>
      <c r="F15" s="2">
        <v>171</v>
      </c>
      <c r="G15" s="38">
        <f>SUM(C15:F15)</f>
        <v>683</v>
      </c>
      <c r="H15" s="2">
        <v>126</v>
      </c>
      <c r="I15" s="2">
        <v>51</v>
      </c>
      <c r="J15" s="2">
        <v>32</v>
      </c>
      <c r="K15" s="2">
        <v>-71</v>
      </c>
      <c r="L15" s="38">
        <f>SUM(H15:K15)</f>
        <v>138</v>
      </c>
      <c r="M15" s="2">
        <v>17</v>
      </c>
      <c r="N15" s="2">
        <v>15</v>
      </c>
      <c r="O15" s="2">
        <v>23</v>
      </c>
      <c r="P15" s="2">
        <v>21</v>
      </c>
      <c r="Q15" s="38">
        <f>SUM(M15:P15)</f>
        <v>76</v>
      </c>
      <c r="R15" s="2">
        <v>18</v>
      </c>
      <c r="S15" s="2">
        <v>22</v>
      </c>
      <c r="V15" s="38">
        <f>SUM(R15:U15)</f>
        <v>40</v>
      </c>
    </row>
    <row r="16" spans="2:24" x14ac:dyDescent="0.25">
      <c r="B16" s="34" t="s">
        <v>112</v>
      </c>
      <c r="C16" s="34">
        <v>0.155</v>
      </c>
      <c r="D16" s="34">
        <v>0.153</v>
      </c>
      <c r="E16" s="34">
        <v>0.151</v>
      </c>
      <c r="F16" s="34">
        <v>0.14799999999999999</v>
      </c>
      <c r="G16" s="40">
        <f>G15/G13</f>
        <v>0.15177777777777779</v>
      </c>
      <c r="H16" s="34">
        <v>0.112</v>
      </c>
      <c r="I16" s="34">
        <v>5.1999999999999998E-2</v>
      </c>
      <c r="J16" s="34">
        <v>0.05</v>
      </c>
      <c r="K16" s="34">
        <v>-9.7000000000000003E-2</v>
      </c>
      <c r="L16" s="40">
        <f>L15/L13</f>
        <v>3.9700805523590336E-2</v>
      </c>
      <c r="M16" s="34">
        <v>2.9000000000000001E-2</v>
      </c>
      <c r="N16" s="34">
        <v>2.5000000000000001E-2</v>
      </c>
      <c r="O16" s="34">
        <v>4.2000000000000003E-2</v>
      </c>
      <c r="P16" s="34">
        <v>3.2000000000000001E-2</v>
      </c>
      <c r="Q16" s="40">
        <f>Q15/Q13</f>
        <v>3.190596137699412E-2</v>
      </c>
      <c r="R16" s="34">
        <v>3.1E-2</v>
      </c>
      <c r="S16" s="34">
        <v>3.4000000000000002E-2</v>
      </c>
      <c r="T16" s="34"/>
      <c r="U16" s="34"/>
      <c r="V16" s="40">
        <f>V15/V13</f>
        <v>3.1948881789137379E-2</v>
      </c>
    </row>
    <row r="17" spans="2:24" x14ac:dyDescent="0.25">
      <c r="B17" s="2" t="s">
        <v>114</v>
      </c>
      <c r="C17" s="2">
        <v>304</v>
      </c>
      <c r="D17" s="2">
        <v>156</v>
      </c>
      <c r="E17" s="2">
        <v>-356</v>
      </c>
      <c r="F17" s="2">
        <v>8</v>
      </c>
      <c r="G17" s="38">
        <f>SUM(C17:F17)</f>
        <v>112</v>
      </c>
      <c r="H17" s="2">
        <v>-135</v>
      </c>
      <c r="I17" s="2">
        <v>-85</v>
      </c>
      <c r="J17" s="2">
        <v>-94</v>
      </c>
      <c r="K17" s="2">
        <v>-110</v>
      </c>
      <c r="L17" s="38">
        <f>SUM(H17:K17)</f>
        <v>-424</v>
      </c>
      <c r="M17" s="2">
        <v>-135</v>
      </c>
      <c r="N17" s="2">
        <v>16</v>
      </c>
      <c r="O17" s="2">
        <v>267</v>
      </c>
      <c r="P17" s="2">
        <v>-369</v>
      </c>
      <c r="Q17" s="38">
        <f>SUM(M17:P17)</f>
        <v>-221</v>
      </c>
      <c r="R17" s="2">
        <v>-148</v>
      </c>
      <c r="S17" s="2">
        <v>-33</v>
      </c>
      <c r="V17" s="38">
        <f>SUM(R17:U17)</f>
        <v>-181</v>
      </c>
    </row>
    <row r="18" spans="2:24" x14ac:dyDescent="0.25">
      <c r="B18" s="2" t="s">
        <v>116</v>
      </c>
      <c r="C18" s="2">
        <v>375</v>
      </c>
      <c r="D18" s="2">
        <v>290</v>
      </c>
      <c r="E18" s="2">
        <v>189</v>
      </c>
      <c r="F18" s="2">
        <v>92</v>
      </c>
      <c r="G18" s="38">
        <f>SUM(C18:F18)</f>
        <v>946</v>
      </c>
      <c r="H18" s="2">
        <v>113</v>
      </c>
      <c r="I18" s="2">
        <v>140</v>
      </c>
      <c r="J18" s="2">
        <v>139</v>
      </c>
      <c r="K18" s="2">
        <v>142</v>
      </c>
      <c r="L18" s="38">
        <f>SUM(H18:K18)</f>
        <v>534</v>
      </c>
      <c r="M18" s="2">
        <v>172</v>
      </c>
      <c r="N18" s="2">
        <v>178</v>
      </c>
      <c r="O18" s="2">
        <v>281</v>
      </c>
      <c r="P18" s="2">
        <v>100</v>
      </c>
      <c r="Q18" s="38">
        <f>SUM(M18:P18)</f>
        <v>731</v>
      </c>
      <c r="R18" s="2">
        <v>146</v>
      </c>
      <c r="S18" s="2">
        <v>99</v>
      </c>
      <c r="V18" s="38">
        <f>SUM(R18:U18)</f>
        <v>245</v>
      </c>
    </row>
    <row r="19" spans="2:24" x14ac:dyDescent="0.25">
      <c r="B19" s="2" t="s">
        <v>106</v>
      </c>
      <c r="C19" s="2">
        <v>0</v>
      </c>
      <c r="D19" s="2">
        <v>0</v>
      </c>
      <c r="E19" s="2">
        <v>0</v>
      </c>
      <c r="F19" s="2">
        <v>0</v>
      </c>
      <c r="G19" s="38">
        <f>SUM(C19:F19)</f>
        <v>0</v>
      </c>
      <c r="H19" s="2">
        <v>0</v>
      </c>
      <c r="I19" s="2">
        <v>0</v>
      </c>
      <c r="J19" s="2">
        <v>0</v>
      </c>
      <c r="K19" s="2">
        <v>0</v>
      </c>
      <c r="L19" s="38">
        <f>SUM(H19:K19)</f>
        <v>0</v>
      </c>
      <c r="M19" s="2">
        <v>0</v>
      </c>
      <c r="N19" s="2">
        <v>0</v>
      </c>
      <c r="P19" s="2">
        <v>0</v>
      </c>
      <c r="Q19" s="38">
        <f>SUM(M19:P19)</f>
        <v>0</v>
      </c>
      <c r="R19" s="2">
        <v>0</v>
      </c>
      <c r="S19" s="2">
        <v>0</v>
      </c>
      <c r="V19" s="38">
        <f>SUM(R19:U19)</f>
        <v>0</v>
      </c>
    </row>
    <row r="20" spans="2:24" x14ac:dyDescent="0.25">
      <c r="B20" s="2" t="s">
        <v>117</v>
      </c>
      <c r="C20" s="2">
        <v>357</v>
      </c>
      <c r="D20" s="2">
        <v>262</v>
      </c>
      <c r="E20" s="2">
        <v>255</v>
      </c>
      <c r="F20" s="2">
        <v>148</v>
      </c>
      <c r="G20" s="38">
        <f>SUM(C20:F20)</f>
        <v>1022</v>
      </c>
      <c r="H20" s="2">
        <v>139</v>
      </c>
      <c r="I20" s="2">
        <v>159</v>
      </c>
      <c r="J20" s="2">
        <v>0</v>
      </c>
      <c r="K20" s="2">
        <v>145</v>
      </c>
      <c r="L20" s="38">
        <f>SUM(H20:K20)</f>
        <v>443</v>
      </c>
      <c r="M20" s="2">
        <v>0</v>
      </c>
      <c r="N20" s="2">
        <v>74</v>
      </c>
      <c r="O20" s="2">
        <v>306</v>
      </c>
      <c r="P20" s="2">
        <v>158</v>
      </c>
      <c r="Q20" s="38">
        <f>SUM(M20:P20)</f>
        <v>538</v>
      </c>
      <c r="R20" s="2">
        <v>166</v>
      </c>
      <c r="S20" s="2">
        <v>365</v>
      </c>
      <c r="V20" s="38">
        <f>SUM(R20:U20)</f>
        <v>531</v>
      </c>
    </row>
    <row r="21" spans="2:24" x14ac:dyDescent="0.25">
      <c r="B21" s="29" t="s">
        <v>107</v>
      </c>
      <c r="C21" s="29">
        <v>0</v>
      </c>
      <c r="D21" s="29">
        <v>0</v>
      </c>
      <c r="E21" s="29">
        <v>0</v>
      </c>
      <c r="F21" s="29">
        <v>0</v>
      </c>
      <c r="G21" s="41">
        <v>0</v>
      </c>
      <c r="H21" s="29">
        <v>0</v>
      </c>
      <c r="I21" s="29">
        <v>0</v>
      </c>
      <c r="J21" s="29">
        <v>0</v>
      </c>
      <c r="K21" s="29">
        <v>0</v>
      </c>
      <c r="L21" s="41">
        <v>0</v>
      </c>
      <c r="M21" s="29">
        <v>0</v>
      </c>
      <c r="N21" s="29">
        <v>0</v>
      </c>
      <c r="O21" s="29">
        <v>0</v>
      </c>
      <c r="P21" s="29">
        <v>0</v>
      </c>
      <c r="Q21" s="41">
        <v>0</v>
      </c>
      <c r="R21" s="29">
        <v>0</v>
      </c>
      <c r="S21" s="29">
        <v>0</v>
      </c>
      <c r="T21" s="29"/>
      <c r="U21" s="29"/>
      <c r="V21" s="41">
        <v>0</v>
      </c>
      <c r="W21" s="29"/>
      <c r="X21" s="29"/>
    </row>
    <row r="22" spans="2:24" x14ac:dyDescent="0.25">
      <c r="B22" s="1" t="s">
        <v>118</v>
      </c>
      <c r="G22" s="37"/>
      <c r="L22" s="37"/>
      <c r="Q22" s="37"/>
      <c r="V22" s="37"/>
    </row>
    <row r="23" spans="2:24" x14ac:dyDescent="0.25">
      <c r="B23" s="2" t="s">
        <v>45</v>
      </c>
      <c r="C23" s="2">
        <v>856</v>
      </c>
      <c r="D23" s="2">
        <v>747</v>
      </c>
      <c r="E23" s="2">
        <v>829</v>
      </c>
      <c r="F23" s="2">
        <v>960</v>
      </c>
      <c r="G23" s="38">
        <f>SUM(C23:F23)</f>
        <v>3392</v>
      </c>
      <c r="H23" s="2">
        <v>632</v>
      </c>
      <c r="I23" s="2">
        <v>645</v>
      </c>
      <c r="J23" s="2">
        <v>561</v>
      </c>
      <c r="K23" s="2">
        <v>751</v>
      </c>
      <c r="L23" s="38">
        <f>SUM(H23:K23)</f>
        <v>2589</v>
      </c>
      <c r="M23" s="2">
        <v>690</v>
      </c>
      <c r="N23" s="2">
        <v>457</v>
      </c>
      <c r="O23" s="2">
        <v>366</v>
      </c>
      <c r="P23" s="2">
        <v>511</v>
      </c>
      <c r="Q23" s="38">
        <f>SUM(M23:P23)</f>
        <v>2024</v>
      </c>
      <c r="R23" s="2">
        <v>460</v>
      </c>
      <c r="S23" s="2">
        <v>380</v>
      </c>
      <c r="V23" s="38">
        <f>SUM(R23:U23)</f>
        <v>840</v>
      </c>
    </row>
    <row r="24" spans="2:24" x14ac:dyDescent="0.25">
      <c r="B24" s="11" t="s">
        <v>113</v>
      </c>
      <c r="G24" s="39"/>
      <c r="H24" s="35">
        <f t="shared" ref="H24" si="13">(H23-C23)/C23</f>
        <v>-0.26168224299065418</v>
      </c>
      <c r="I24" s="35">
        <f t="shared" ref="I24" si="14">(I23-D23)/D23</f>
        <v>-0.13654618473895583</v>
      </c>
      <c r="J24" s="35">
        <f t="shared" ref="J24" si="15">(J23-E23)/E23</f>
        <v>-0.32328106151990349</v>
      </c>
      <c r="K24" s="35">
        <f t="shared" ref="K24:L24" si="16">(K23-F23)/F23</f>
        <v>-0.21770833333333334</v>
      </c>
      <c r="L24" s="39">
        <f t="shared" si="16"/>
        <v>-0.23673349056603774</v>
      </c>
      <c r="M24" s="35">
        <f t="shared" ref="M24" si="17">(M23-H23)/H23</f>
        <v>9.1772151898734181E-2</v>
      </c>
      <c r="N24" s="35">
        <f t="shared" ref="N24" si="18">(N23-I23)/I23</f>
        <v>-0.29147286821705426</v>
      </c>
      <c r="O24" s="35">
        <f t="shared" ref="O24" si="19">(O23-J23)/J23</f>
        <v>-0.34759358288770054</v>
      </c>
      <c r="P24" s="35">
        <f t="shared" ref="P24:Q24" si="20">(P23-K23)/K23</f>
        <v>-0.31957390146471371</v>
      </c>
      <c r="Q24" s="39">
        <f t="shared" si="20"/>
        <v>-0.21823097721127849</v>
      </c>
      <c r="R24" s="35">
        <f t="shared" ref="R24" si="21">(R23-M23)/M23</f>
        <v>-0.33333333333333331</v>
      </c>
      <c r="S24" s="35">
        <f>(S23-N23)/N23</f>
        <v>-0.16849015317286653</v>
      </c>
      <c r="T24" s="35">
        <f t="shared" ref="T24" si="22">(T23-O23)/O23</f>
        <v>-1</v>
      </c>
      <c r="U24" s="35">
        <f t="shared" ref="U24:V24" si="23">(U23-P23)/P23</f>
        <v>-1</v>
      </c>
      <c r="V24" s="39">
        <f t="shared" si="23"/>
        <v>-0.58498023715415015</v>
      </c>
    </row>
    <row r="25" spans="2:24" x14ac:dyDescent="0.25">
      <c r="B25" s="2" t="s">
        <v>50</v>
      </c>
      <c r="C25" s="2">
        <v>73</v>
      </c>
      <c r="D25" s="2">
        <v>61</v>
      </c>
      <c r="E25" s="2">
        <v>54</v>
      </c>
      <c r="F25" s="2">
        <v>51</v>
      </c>
      <c r="G25" s="38">
        <f>SUM(C25:F25)</f>
        <v>239</v>
      </c>
      <c r="H25" s="2">
        <v>42</v>
      </c>
      <c r="I25" s="2">
        <v>43</v>
      </c>
      <c r="J25" s="2">
        <v>30</v>
      </c>
      <c r="K25" s="2">
        <v>34</v>
      </c>
      <c r="L25" s="38">
        <f>SUM(H25:K25)</f>
        <v>149</v>
      </c>
      <c r="M25" s="2">
        <v>70</v>
      </c>
      <c r="N25" s="2">
        <v>28</v>
      </c>
      <c r="O25" s="2">
        <v>24</v>
      </c>
      <c r="P25" s="2">
        <v>21</v>
      </c>
      <c r="Q25" s="38">
        <f>SUM(M25:P25)</f>
        <v>143</v>
      </c>
      <c r="R25" s="2">
        <v>26</v>
      </c>
      <c r="S25" s="2">
        <v>27</v>
      </c>
      <c r="V25" s="38">
        <f>SUM(R25:U25)</f>
        <v>53</v>
      </c>
    </row>
    <row r="26" spans="2:24" x14ac:dyDescent="0.25">
      <c r="B26" s="34" t="s">
        <v>112</v>
      </c>
      <c r="C26" s="34">
        <v>8.5999999999999993E-2</v>
      </c>
      <c r="D26" s="34">
        <v>8.1000000000000003E-2</v>
      </c>
      <c r="E26" s="34">
        <v>6.5000000000000002E-2</v>
      </c>
      <c r="F26" s="34">
        <v>5.2999999999999999E-2</v>
      </c>
      <c r="G26" s="40">
        <f>G25/G23</f>
        <v>7.0459905660377353E-2</v>
      </c>
      <c r="H26" s="34">
        <v>6.7000000000000004E-2</v>
      </c>
      <c r="I26" s="34">
        <v>6.7000000000000004E-2</v>
      </c>
      <c r="J26" s="34">
        <v>5.2999999999999999E-2</v>
      </c>
      <c r="K26" s="34">
        <v>4.4999999999999998E-2</v>
      </c>
      <c r="L26" s="40">
        <f>L25/L23</f>
        <v>5.7551178061027421E-2</v>
      </c>
      <c r="M26" s="34">
        <v>0.10100000000000001</v>
      </c>
      <c r="N26" s="34">
        <v>0.06</v>
      </c>
      <c r="O26" s="34">
        <v>6.6000000000000003E-2</v>
      </c>
      <c r="P26" s="34">
        <v>4.1000000000000002E-2</v>
      </c>
      <c r="Q26" s="40">
        <f>Q25/Q23</f>
        <v>7.0652173913043473E-2</v>
      </c>
      <c r="R26" s="34">
        <v>5.7000000000000002E-2</v>
      </c>
      <c r="S26" s="34">
        <v>7.1999999999999995E-2</v>
      </c>
      <c r="T26" s="34"/>
      <c r="U26" s="34"/>
      <c r="V26" s="40">
        <f>V25/V23</f>
        <v>6.3095238095238093E-2</v>
      </c>
    </row>
    <row r="27" spans="2:24" x14ac:dyDescent="0.25">
      <c r="B27" s="2" t="s">
        <v>114</v>
      </c>
      <c r="C27" s="2">
        <v>-61</v>
      </c>
      <c r="D27" s="2">
        <v>-2</v>
      </c>
      <c r="E27" s="2">
        <v>16</v>
      </c>
      <c r="F27" s="2">
        <v>249</v>
      </c>
      <c r="G27" s="38">
        <f>SUM(C27:F27)</f>
        <v>202</v>
      </c>
      <c r="H27" s="2">
        <v>-12</v>
      </c>
      <c r="I27" s="2">
        <v>109</v>
      </c>
      <c r="J27" s="2">
        <v>-105</v>
      </c>
      <c r="K27" s="2">
        <v>46</v>
      </c>
      <c r="L27" s="38">
        <f>SUM(H27:K27)</f>
        <v>38</v>
      </c>
      <c r="M27" s="2">
        <v>-246</v>
      </c>
      <c r="N27" s="2">
        <v>200</v>
      </c>
      <c r="O27" s="2">
        <v>76</v>
      </c>
      <c r="P27" s="2">
        <v>81</v>
      </c>
      <c r="Q27" s="38">
        <f>SUM(M27:P27)</f>
        <v>111</v>
      </c>
      <c r="R27" s="2">
        <v>40</v>
      </c>
      <c r="S27" s="2">
        <v>12</v>
      </c>
      <c r="V27" s="38">
        <f>SUM(R27:U27)</f>
        <v>52</v>
      </c>
    </row>
    <row r="28" spans="2:24" x14ac:dyDescent="0.25">
      <c r="B28" s="2" t="s">
        <v>116</v>
      </c>
      <c r="C28" s="2">
        <v>194</v>
      </c>
      <c r="D28" s="2">
        <v>93</v>
      </c>
      <c r="E28" s="2">
        <v>140</v>
      </c>
      <c r="F28" s="2">
        <v>100</v>
      </c>
      <c r="G28" s="38">
        <f>SUM(C28:F28)</f>
        <v>527</v>
      </c>
      <c r="H28" s="2">
        <v>77</v>
      </c>
      <c r="I28" s="2">
        <v>144</v>
      </c>
      <c r="J28" s="2">
        <v>71</v>
      </c>
      <c r="K28" s="2">
        <v>196</v>
      </c>
      <c r="L28" s="38">
        <f>SUM(H28:K28)</f>
        <v>488</v>
      </c>
      <c r="M28" s="2">
        <v>62</v>
      </c>
      <c r="N28" s="2">
        <v>143</v>
      </c>
      <c r="O28" s="2">
        <v>165</v>
      </c>
      <c r="P28" s="2">
        <v>41</v>
      </c>
      <c r="Q28" s="38">
        <f>SUM(M28:P28)</f>
        <v>411</v>
      </c>
      <c r="R28" s="2">
        <v>160</v>
      </c>
      <c r="S28" s="2">
        <v>60</v>
      </c>
      <c r="V28" s="38">
        <f>SUM(R28:U28)</f>
        <v>220</v>
      </c>
    </row>
    <row r="29" spans="2:24" x14ac:dyDescent="0.25">
      <c r="B29" s="2" t="s">
        <v>106</v>
      </c>
      <c r="C29" s="2">
        <v>0</v>
      </c>
      <c r="D29" s="2">
        <v>0</v>
      </c>
      <c r="E29" s="2">
        <v>0</v>
      </c>
      <c r="F29" s="2">
        <v>0</v>
      </c>
      <c r="G29" s="38">
        <f>SUM(C29:F29)</f>
        <v>0</v>
      </c>
      <c r="H29" s="2">
        <v>0</v>
      </c>
      <c r="I29" s="2">
        <v>0</v>
      </c>
      <c r="J29" s="2">
        <v>0</v>
      </c>
      <c r="K29" s="2">
        <v>0</v>
      </c>
      <c r="L29" s="38">
        <f>SUM(H29:K29)</f>
        <v>0</v>
      </c>
      <c r="M29" s="2">
        <v>0</v>
      </c>
      <c r="N29" s="2">
        <v>0</v>
      </c>
      <c r="O29" s="2">
        <v>0</v>
      </c>
      <c r="P29" s="2">
        <v>0</v>
      </c>
      <c r="Q29" s="38">
        <f>SUM(M29:P29)</f>
        <v>0</v>
      </c>
      <c r="R29" s="2">
        <v>0</v>
      </c>
      <c r="S29" s="2">
        <v>0</v>
      </c>
      <c r="V29" s="38">
        <f>SUM(R29:U29)</f>
        <v>0</v>
      </c>
    </row>
    <row r="30" spans="2:24" x14ac:dyDescent="0.25">
      <c r="B30" s="2" t="s">
        <v>117</v>
      </c>
      <c r="C30" s="2">
        <v>250</v>
      </c>
      <c r="D30" s="2">
        <v>34</v>
      </c>
      <c r="E30" s="2">
        <v>132</v>
      </c>
      <c r="F30" s="2">
        <v>189</v>
      </c>
      <c r="G30" s="38">
        <f>SUM(C30:F30)</f>
        <v>605</v>
      </c>
      <c r="H30" s="2">
        <v>41</v>
      </c>
      <c r="I30" s="2">
        <v>140</v>
      </c>
      <c r="J30" s="2">
        <v>68</v>
      </c>
      <c r="K30" s="2">
        <v>156</v>
      </c>
      <c r="L30" s="38">
        <f>SUM(H30:K30)</f>
        <v>405</v>
      </c>
      <c r="M30" s="2">
        <v>0</v>
      </c>
      <c r="N30" s="2">
        <v>188</v>
      </c>
      <c r="O30" s="2">
        <v>187</v>
      </c>
      <c r="P30" s="2">
        <v>0</v>
      </c>
      <c r="Q30" s="38">
        <f>SUM(M30:P30)</f>
        <v>375</v>
      </c>
      <c r="R30" s="2">
        <v>202</v>
      </c>
      <c r="S30" s="2">
        <v>0</v>
      </c>
      <c r="V30" s="38">
        <f>SUM(R30:U30)</f>
        <v>202</v>
      </c>
    </row>
    <row r="31" spans="2:24" x14ac:dyDescent="0.25">
      <c r="B31" s="29" t="s">
        <v>107</v>
      </c>
      <c r="C31" s="29">
        <v>0</v>
      </c>
      <c r="D31" s="29">
        <v>0</v>
      </c>
      <c r="E31" s="29">
        <v>0</v>
      </c>
      <c r="F31" s="29">
        <v>0</v>
      </c>
      <c r="G31" s="41">
        <f>SUM(C31:F31)</f>
        <v>0</v>
      </c>
      <c r="H31" s="29">
        <v>0</v>
      </c>
      <c r="I31" s="29">
        <v>0</v>
      </c>
      <c r="J31" s="29">
        <v>0</v>
      </c>
      <c r="K31" s="29">
        <v>0</v>
      </c>
      <c r="L31" s="41">
        <v>0</v>
      </c>
      <c r="M31" s="29">
        <v>0</v>
      </c>
      <c r="N31" s="29">
        <v>0</v>
      </c>
      <c r="O31" s="29">
        <v>0</v>
      </c>
      <c r="P31" s="29">
        <v>0</v>
      </c>
      <c r="Q31" s="41">
        <v>0</v>
      </c>
      <c r="R31" s="29">
        <v>0</v>
      </c>
      <c r="S31" s="29">
        <v>0</v>
      </c>
      <c r="T31" s="29"/>
      <c r="U31" s="29"/>
      <c r="V31" s="41">
        <v>0</v>
      </c>
      <c r="W31" s="29"/>
      <c r="X31" s="29"/>
    </row>
    <row r="32" spans="2:24" x14ac:dyDescent="0.25">
      <c r="B32" s="1" t="s">
        <v>119</v>
      </c>
      <c r="G32" s="37"/>
      <c r="L32" s="37"/>
      <c r="Q32" s="37"/>
      <c r="V32" s="37"/>
    </row>
    <row r="33" spans="2:24" x14ac:dyDescent="0.25">
      <c r="B33" s="2" t="s">
        <v>45</v>
      </c>
      <c r="C33" s="2">
        <v>375</v>
      </c>
      <c r="D33" s="2">
        <v>449</v>
      </c>
      <c r="E33" s="2">
        <v>399</v>
      </c>
      <c r="F33" s="2">
        <v>505</v>
      </c>
      <c r="G33" s="38">
        <f>SUM(C33:F33)</f>
        <v>1728</v>
      </c>
      <c r="H33" s="2">
        <v>439</v>
      </c>
      <c r="I33" s="2">
        <v>389</v>
      </c>
      <c r="J33" s="2">
        <v>326</v>
      </c>
      <c r="K33" s="2">
        <v>437</v>
      </c>
      <c r="L33" s="38">
        <f>SUM(H33:K33)</f>
        <v>1591</v>
      </c>
      <c r="M33" s="2">
        <v>388</v>
      </c>
      <c r="N33" s="2">
        <v>494</v>
      </c>
      <c r="O33" s="2">
        <v>345</v>
      </c>
      <c r="P33" s="2">
        <v>381</v>
      </c>
      <c r="Q33" s="38">
        <f>SUM(M33:P33)</f>
        <v>1608</v>
      </c>
      <c r="R33" s="2">
        <v>332</v>
      </c>
      <c r="S33" s="2">
        <v>498</v>
      </c>
      <c r="V33" s="38">
        <f>SUM(R33:U33)</f>
        <v>830</v>
      </c>
    </row>
    <row r="34" spans="2:24" x14ac:dyDescent="0.25">
      <c r="B34" s="11" t="s">
        <v>113</v>
      </c>
      <c r="G34" s="39"/>
      <c r="H34" s="35">
        <f t="shared" ref="H34" si="24">(H33-C33)/C33</f>
        <v>0.17066666666666666</v>
      </c>
      <c r="I34" s="35">
        <f t="shared" ref="I34" si="25">(I33-D33)/D33</f>
        <v>-0.133630289532294</v>
      </c>
      <c r="J34" s="35">
        <f t="shared" ref="J34" si="26">(J33-E33)/E33</f>
        <v>-0.18295739348370926</v>
      </c>
      <c r="K34" s="35">
        <f t="shared" ref="K34:L34" si="27">(K33-F33)/F33</f>
        <v>-0.13465346534653466</v>
      </c>
      <c r="L34" s="39">
        <f t="shared" si="27"/>
        <v>-7.9282407407407413E-2</v>
      </c>
      <c r="M34" s="35">
        <f t="shared" ref="M34" si="28">(M33-H33)/H33</f>
        <v>-0.11617312072892938</v>
      </c>
      <c r="N34" s="35">
        <f t="shared" ref="N34" si="29">(N33-I33)/I33</f>
        <v>0.26992287917737789</v>
      </c>
      <c r="O34" s="35">
        <f t="shared" ref="O34" si="30">(O33-J33)/J33</f>
        <v>5.8282208588957052E-2</v>
      </c>
      <c r="P34" s="35">
        <f t="shared" ref="P34:Q34" si="31">(P33-K33)/K33</f>
        <v>-0.12814645308924486</v>
      </c>
      <c r="Q34" s="39">
        <f t="shared" si="31"/>
        <v>1.0685103708359522E-2</v>
      </c>
      <c r="R34" s="35">
        <f t="shared" ref="R34" si="32">(R33-M33)/M33</f>
        <v>-0.14432989690721648</v>
      </c>
      <c r="S34" s="35">
        <f>(S33-N33)/N33</f>
        <v>8.0971659919028341E-3</v>
      </c>
      <c r="T34" s="35">
        <f t="shared" ref="T34" si="33">(T33-O33)/O33</f>
        <v>-1</v>
      </c>
      <c r="U34" s="35">
        <f t="shared" ref="U34:V34" si="34">(U33-P33)/P33</f>
        <v>-1</v>
      </c>
      <c r="V34" s="39">
        <f t="shared" si="34"/>
        <v>-0.48383084577114427</v>
      </c>
    </row>
    <row r="35" spans="2:24" x14ac:dyDescent="0.25">
      <c r="B35" s="2" t="s">
        <v>50</v>
      </c>
      <c r="C35" s="2">
        <v>33</v>
      </c>
      <c r="D35" s="2">
        <v>41</v>
      </c>
      <c r="E35" s="2">
        <v>37</v>
      </c>
      <c r="F35" s="2">
        <v>47</v>
      </c>
      <c r="G35" s="38">
        <f>SUM(C35:F35)</f>
        <v>158</v>
      </c>
      <c r="H35" s="2">
        <v>38</v>
      </c>
      <c r="I35" s="2">
        <v>29</v>
      </c>
      <c r="J35" s="2">
        <v>27</v>
      </c>
      <c r="K35" s="2">
        <v>46</v>
      </c>
      <c r="L35" s="38">
        <f>SUM(H35:K35)</f>
        <v>140</v>
      </c>
      <c r="M35" s="2">
        <v>26</v>
      </c>
      <c r="N35" s="2">
        <v>38</v>
      </c>
      <c r="O35" s="2">
        <v>21</v>
      </c>
      <c r="P35" s="2">
        <v>8</v>
      </c>
      <c r="Q35" s="38">
        <f>SUM(M35:P35)</f>
        <v>93</v>
      </c>
      <c r="R35" s="2">
        <v>20</v>
      </c>
      <c r="S35" s="2">
        <v>39</v>
      </c>
      <c r="V35" s="38">
        <f>SUM(R35:U35)</f>
        <v>59</v>
      </c>
    </row>
    <row r="36" spans="2:24" x14ac:dyDescent="0.25">
      <c r="B36" s="34" t="s">
        <v>112</v>
      </c>
      <c r="C36" s="34">
        <v>8.6999999999999994E-2</v>
      </c>
      <c r="D36" s="34">
        <v>9.0999999999999998E-2</v>
      </c>
      <c r="E36" s="34">
        <v>9.2999999999999999E-2</v>
      </c>
      <c r="F36" s="34">
        <v>9.4E-2</v>
      </c>
      <c r="G36" s="40">
        <f>G35/G33</f>
        <v>9.1435185185185189E-2</v>
      </c>
      <c r="H36" s="34">
        <v>8.5999999999999993E-2</v>
      </c>
      <c r="I36" s="34">
        <v>7.4999999999999997E-2</v>
      </c>
      <c r="J36" s="34">
        <v>8.4000000000000005E-2</v>
      </c>
      <c r="K36" s="34">
        <v>0.105</v>
      </c>
      <c r="L36" s="40">
        <f>L35/L33</f>
        <v>8.7994971715901954E-2</v>
      </c>
      <c r="M36" s="34">
        <v>6.7000000000000004E-2</v>
      </c>
      <c r="N36" s="34">
        <v>7.6999999999999999E-2</v>
      </c>
      <c r="O36" s="34">
        <v>0.06</v>
      </c>
      <c r="P36" s="34">
        <v>2.1000000000000001E-2</v>
      </c>
      <c r="Q36" s="40">
        <f>Q35/Q33</f>
        <v>5.7835820895522388E-2</v>
      </c>
      <c r="R36" s="34">
        <v>0.06</v>
      </c>
      <c r="S36" s="34">
        <v>7.8E-2</v>
      </c>
      <c r="T36" s="34"/>
      <c r="U36" s="34"/>
      <c r="V36" s="40">
        <f>V35/V33</f>
        <v>7.1084337349397592E-2</v>
      </c>
    </row>
    <row r="37" spans="2:24" x14ac:dyDescent="0.25">
      <c r="B37" s="2" t="s">
        <v>114</v>
      </c>
      <c r="C37" s="2">
        <v>24</v>
      </c>
      <c r="D37" s="2">
        <v>-141</v>
      </c>
      <c r="E37" s="2">
        <v>79</v>
      </c>
      <c r="F37" s="2">
        <v>231</v>
      </c>
      <c r="G37" s="38">
        <f>SUM(C37:F37)</f>
        <v>193</v>
      </c>
      <c r="H37" s="2">
        <v>-29</v>
      </c>
      <c r="I37" s="2">
        <v>79</v>
      </c>
      <c r="J37" s="2">
        <v>-45</v>
      </c>
      <c r="K37" s="2">
        <v>-61</v>
      </c>
      <c r="L37" s="38">
        <f>SUM(H37:K37)</f>
        <v>-56</v>
      </c>
      <c r="M37" s="2">
        <v>85</v>
      </c>
      <c r="N37" s="2">
        <v>203</v>
      </c>
      <c r="O37" s="2">
        <v>44</v>
      </c>
      <c r="P37" s="2">
        <v>-185</v>
      </c>
      <c r="Q37" s="38">
        <f>SUM(M37:P37)</f>
        <v>147</v>
      </c>
      <c r="R37" s="2">
        <v>89</v>
      </c>
      <c r="S37" s="2">
        <v>-322</v>
      </c>
      <c r="V37" s="38">
        <f>SUM(R37:U37)</f>
        <v>-233</v>
      </c>
    </row>
    <row r="38" spans="2:24" x14ac:dyDescent="0.25">
      <c r="B38" s="2" t="s">
        <v>116</v>
      </c>
      <c r="C38" s="2">
        <v>162</v>
      </c>
      <c r="D38" s="2">
        <v>119</v>
      </c>
      <c r="E38" s="2">
        <v>39</v>
      </c>
      <c r="F38" s="2">
        <v>139</v>
      </c>
      <c r="G38" s="38">
        <f>SUM(C38:F38)</f>
        <v>459</v>
      </c>
      <c r="H38" s="2">
        <v>20</v>
      </c>
      <c r="I38" s="2">
        <v>13</v>
      </c>
      <c r="J38" s="2">
        <v>2</v>
      </c>
      <c r="K38" s="2">
        <v>311</v>
      </c>
      <c r="L38" s="38">
        <f>SUM(H38:K38)</f>
        <v>346</v>
      </c>
      <c r="M38" s="2">
        <v>28</v>
      </c>
      <c r="N38" s="2">
        <v>11</v>
      </c>
      <c r="O38" s="2">
        <v>41</v>
      </c>
      <c r="P38" s="2">
        <v>100</v>
      </c>
      <c r="Q38" s="38">
        <f>SUM(M38:P38)</f>
        <v>180</v>
      </c>
      <c r="R38" s="2">
        <v>25</v>
      </c>
      <c r="S38" s="2">
        <v>48</v>
      </c>
      <c r="V38" s="38">
        <f>SUM(R38:U38)</f>
        <v>73</v>
      </c>
    </row>
    <row r="39" spans="2:24" x14ac:dyDescent="0.25">
      <c r="B39" s="2" t="s">
        <v>106</v>
      </c>
      <c r="C39" s="2">
        <v>0</v>
      </c>
      <c r="D39" s="2">
        <v>0</v>
      </c>
      <c r="E39" s="2">
        <v>0</v>
      </c>
      <c r="F39" s="2">
        <v>0</v>
      </c>
      <c r="G39" s="38">
        <f>SUM(C39:F39)</f>
        <v>0</v>
      </c>
      <c r="H39" s="2">
        <v>0</v>
      </c>
      <c r="I39" s="2">
        <v>0</v>
      </c>
      <c r="J39" s="2">
        <v>0</v>
      </c>
      <c r="K39" s="2">
        <v>0</v>
      </c>
      <c r="L39" s="38">
        <f>SUM(H39:K39)</f>
        <v>0</v>
      </c>
      <c r="M39" s="2">
        <v>50</v>
      </c>
      <c r="N39" s="2">
        <v>242</v>
      </c>
      <c r="O39" s="2">
        <v>0</v>
      </c>
      <c r="P39" s="2">
        <v>0</v>
      </c>
      <c r="Q39" s="38">
        <f>SUM(M39:P39)</f>
        <v>292</v>
      </c>
      <c r="R39" s="2">
        <v>0</v>
      </c>
      <c r="S39" s="2">
        <v>71</v>
      </c>
      <c r="V39" s="38">
        <f>SUM(R39:U39)</f>
        <v>71</v>
      </c>
    </row>
    <row r="40" spans="2:24" x14ac:dyDescent="0.25">
      <c r="B40" s="2" t="s">
        <v>117</v>
      </c>
      <c r="C40" s="2">
        <v>128</v>
      </c>
      <c r="D40" s="2">
        <v>245</v>
      </c>
      <c r="E40" s="2">
        <v>0</v>
      </c>
      <c r="F40" s="2">
        <v>226</v>
      </c>
      <c r="G40" s="38">
        <f>SUM(C40:F40)</f>
        <v>599</v>
      </c>
      <c r="H40" s="2">
        <v>34</v>
      </c>
      <c r="I40" s="2">
        <v>0</v>
      </c>
      <c r="J40" s="2">
        <v>0</v>
      </c>
      <c r="K40" s="2">
        <v>341</v>
      </c>
      <c r="L40" s="38">
        <f>SUM(H40:K40)</f>
        <v>375</v>
      </c>
      <c r="M40" s="2">
        <v>0</v>
      </c>
      <c r="N40" s="2">
        <v>0</v>
      </c>
      <c r="O40" s="2">
        <v>0</v>
      </c>
      <c r="P40" s="2">
        <v>154</v>
      </c>
      <c r="Q40" s="38">
        <f>SUM(M40:P40)</f>
        <v>154</v>
      </c>
      <c r="R40" s="2">
        <v>52</v>
      </c>
      <c r="S40" s="2">
        <v>0</v>
      </c>
      <c r="V40" s="38">
        <f>SUM(R40:U40)</f>
        <v>52</v>
      </c>
    </row>
    <row r="41" spans="2:24" x14ac:dyDescent="0.25">
      <c r="B41" s="29" t="s">
        <v>107</v>
      </c>
      <c r="C41" s="29">
        <v>0</v>
      </c>
      <c r="D41" s="29">
        <v>0</v>
      </c>
      <c r="E41" s="29">
        <v>0</v>
      </c>
      <c r="F41" s="29">
        <v>0</v>
      </c>
      <c r="G41" s="41">
        <f>SUM(C41:F41)</f>
        <v>0</v>
      </c>
      <c r="H41" s="29">
        <v>0</v>
      </c>
      <c r="I41" s="29">
        <v>0</v>
      </c>
      <c r="J41" s="29">
        <v>0</v>
      </c>
      <c r="K41" s="29">
        <v>0</v>
      </c>
      <c r="L41" s="41">
        <v>0</v>
      </c>
      <c r="M41" s="29">
        <v>0</v>
      </c>
      <c r="N41" s="29">
        <v>207</v>
      </c>
      <c r="O41" s="29">
        <v>0</v>
      </c>
      <c r="P41" s="29">
        <v>0</v>
      </c>
      <c r="Q41" s="41">
        <v>0</v>
      </c>
      <c r="R41" s="29">
        <v>71</v>
      </c>
      <c r="S41" s="29">
        <v>0</v>
      </c>
      <c r="T41" s="29"/>
      <c r="U41" s="29"/>
      <c r="V41" s="41">
        <v>0</v>
      </c>
      <c r="W41" s="29"/>
      <c r="X41" s="29"/>
    </row>
    <row r="42" spans="2:24" x14ac:dyDescent="0.25">
      <c r="B42" s="1" t="s">
        <v>120</v>
      </c>
      <c r="G42" s="37"/>
      <c r="L42" s="37"/>
      <c r="Q42" s="37"/>
      <c r="V42" s="37"/>
    </row>
    <row r="43" spans="2:24" x14ac:dyDescent="0.25">
      <c r="B43" s="2" t="s">
        <v>45</v>
      </c>
      <c r="C43" s="2">
        <v>73</v>
      </c>
      <c r="D43" s="2">
        <v>40</v>
      </c>
      <c r="E43" s="2">
        <v>48</v>
      </c>
      <c r="F43" s="2">
        <v>1064</v>
      </c>
      <c r="G43" s="38">
        <f>SUM(C43:F43)</f>
        <v>1225</v>
      </c>
      <c r="H43" s="2">
        <v>566</v>
      </c>
      <c r="I43" s="2">
        <v>310</v>
      </c>
      <c r="J43" s="2">
        <v>247</v>
      </c>
      <c r="K43" s="2">
        <v>336</v>
      </c>
      <c r="L43" s="38">
        <f>SUM(H43:K43)</f>
        <v>1459</v>
      </c>
      <c r="M43" s="2">
        <v>367</v>
      </c>
      <c r="N43" s="2">
        <v>609</v>
      </c>
      <c r="O43" s="2">
        <v>313</v>
      </c>
      <c r="P43" s="2">
        <v>454</v>
      </c>
      <c r="Q43" s="38">
        <f>SUM(M43:P43)</f>
        <v>1743</v>
      </c>
      <c r="R43" s="2">
        <v>169</v>
      </c>
      <c r="S43" s="2">
        <v>127</v>
      </c>
      <c r="V43" s="38">
        <f>SUM(R43:U43)</f>
        <v>296</v>
      </c>
    </row>
    <row r="44" spans="2:24" x14ac:dyDescent="0.25">
      <c r="B44" s="11" t="s">
        <v>113</v>
      </c>
      <c r="G44" s="39"/>
      <c r="H44" s="35">
        <f t="shared" ref="H44" si="35">(H43-C43)/C43</f>
        <v>6.7534246575342465</v>
      </c>
      <c r="I44" s="35">
        <f t="shared" ref="I44" si="36">(I43-D43)/D43</f>
        <v>6.75</v>
      </c>
      <c r="J44" s="35">
        <f t="shared" ref="J44:L44" si="37">(J43-E43)/E43</f>
        <v>4.145833333333333</v>
      </c>
      <c r="K44" s="35">
        <f t="shared" si="37"/>
        <v>-0.68421052631578949</v>
      </c>
      <c r="L44" s="39">
        <f t="shared" si="37"/>
        <v>0.19102040816326529</v>
      </c>
      <c r="M44" s="35">
        <f t="shared" ref="M44" si="38">(M43-H43)/H43</f>
        <v>-0.35159010600706714</v>
      </c>
      <c r="N44" s="35">
        <f t="shared" ref="N44" si="39">(N43-I43)/I43</f>
        <v>0.96451612903225803</v>
      </c>
      <c r="O44" s="35">
        <f t="shared" ref="O44" si="40">(O43-J43)/J43</f>
        <v>0.26720647773279355</v>
      </c>
      <c r="P44" s="35">
        <f t="shared" ref="P44:Q44" si="41">(P43-K43)/K43</f>
        <v>0.35119047619047616</v>
      </c>
      <c r="Q44" s="39">
        <f t="shared" si="41"/>
        <v>0.19465387251542152</v>
      </c>
      <c r="R44" s="35">
        <f t="shared" ref="R44" si="42">(R43-M43)/M43</f>
        <v>-0.53950953678474112</v>
      </c>
      <c r="S44" s="35">
        <f>(S43-N43)/N43</f>
        <v>-0.79146141215106736</v>
      </c>
      <c r="T44" s="35">
        <f t="shared" ref="T44" si="43">(T43-O43)/O43</f>
        <v>-1</v>
      </c>
      <c r="U44" s="35">
        <f t="shared" ref="U44:V44" si="44">(U43-P43)/P43</f>
        <v>-1</v>
      </c>
      <c r="V44" s="39">
        <f t="shared" si="44"/>
        <v>-0.83017785427423985</v>
      </c>
    </row>
    <row r="45" spans="2:24" x14ac:dyDescent="0.25">
      <c r="B45" s="2" t="s">
        <v>50</v>
      </c>
      <c r="C45" s="2">
        <v>4</v>
      </c>
      <c r="D45" s="2">
        <v>-22</v>
      </c>
      <c r="E45" s="2">
        <v>-2</v>
      </c>
      <c r="F45" s="2">
        <v>326</v>
      </c>
      <c r="G45" s="38">
        <f>SUM(C45:F45)</f>
        <v>306</v>
      </c>
      <c r="H45" s="2">
        <v>106</v>
      </c>
      <c r="I45" s="2">
        <v>60</v>
      </c>
      <c r="J45" s="2">
        <v>39</v>
      </c>
      <c r="K45" s="2">
        <v>46</v>
      </c>
      <c r="L45" s="38">
        <f>SUM(H45:K45)</f>
        <v>251</v>
      </c>
      <c r="M45" s="2">
        <v>104</v>
      </c>
      <c r="N45" s="2">
        <v>97</v>
      </c>
      <c r="O45" s="2">
        <v>42</v>
      </c>
      <c r="P45" s="2">
        <v>158</v>
      </c>
      <c r="Q45" s="38">
        <f>SUM(M45:P45)</f>
        <v>401</v>
      </c>
      <c r="R45" s="2">
        <v>80</v>
      </c>
      <c r="S45" s="2">
        <v>51</v>
      </c>
      <c r="V45" s="38">
        <f>SUM(R45:U45)</f>
        <v>131</v>
      </c>
    </row>
    <row r="46" spans="2:24" x14ac:dyDescent="0.25">
      <c r="B46" s="11" t="s">
        <v>112</v>
      </c>
      <c r="C46" s="34">
        <v>5.6000000000000001E-2</v>
      </c>
      <c r="D46" s="34">
        <v>0</v>
      </c>
      <c r="E46" s="34">
        <v>0</v>
      </c>
      <c r="F46" s="34">
        <v>0.30599999999999999</v>
      </c>
      <c r="G46" s="40">
        <f>G45/G43</f>
        <v>0.24979591836734694</v>
      </c>
      <c r="H46" s="34">
        <v>0.183</v>
      </c>
      <c r="I46" s="34">
        <v>0.19400000000000001</v>
      </c>
      <c r="J46" s="34">
        <v>0.157</v>
      </c>
      <c r="K46" s="34">
        <v>0.13700000000000001</v>
      </c>
      <c r="L46" s="40">
        <f>L45/L43</f>
        <v>0.1720356408498972</v>
      </c>
      <c r="M46" s="34">
        <v>0.28399999999999997</v>
      </c>
      <c r="N46" s="34">
        <v>0.16</v>
      </c>
      <c r="O46" s="34">
        <v>0.13400000000000001</v>
      </c>
      <c r="P46" s="34">
        <v>0.34699999999999998</v>
      </c>
      <c r="Q46" s="40">
        <f>Q45/Q43</f>
        <v>0.23006310958118187</v>
      </c>
      <c r="R46" s="34">
        <v>0.47499999999999998</v>
      </c>
      <c r="S46" s="34">
        <v>0.40600000000000003</v>
      </c>
      <c r="T46" s="34"/>
      <c r="U46" s="34"/>
      <c r="V46" s="40">
        <f>V45/V43</f>
        <v>0.44256756756756754</v>
      </c>
    </row>
    <row r="47" spans="2:24" x14ac:dyDescent="0.25">
      <c r="B47" s="2" t="s">
        <v>114</v>
      </c>
      <c r="C47" s="2">
        <v>-81</v>
      </c>
      <c r="D47" s="2">
        <v>-316</v>
      </c>
      <c r="E47" s="2">
        <v>-124</v>
      </c>
      <c r="F47" s="2">
        <v>-145</v>
      </c>
      <c r="G47" s="38">
        <f>SUM(C47:F47)</f>
        <v>-666</v>
      </c>
      <c r="H47" s="2">
        <v>919</v>
      </c>
      <c r="I47" s="2">
        <v>-95</v>
      </c>
      <c r="J47" s="2">
        <v>-9</v>
      </c>
      <c r="K47" s="2">
        <v>9</v>
      </c>
      <c r="L47" s="38">
        <f>SUM(H47:K47)</f>
        <v>824</v>
      </c>
      <c r="M47" s="2">
        <v>-84</v>
      </c>
      <c r="N47" s="2">
        <v>531</v>
      </c>
      <c r="O47" s="2">
        <v>128</v>
      </c>
      <c r="P47" s="2">
        <v>463</v>
      </c>
      <c r="Q47" s="38">
        <f>SUM(M47:P47)</f>
        <v>1038</v>
      </c>
      <c r="R47" s="2">
        <v>258</v>
      </c>
      <c r="S47" s="2">
        <v>14</v>
      </c>
      <c r="V47" s="38">
        <f>SUM(R47:U47)</f>
        <v>272</v>
      </c>
    </row>
    <row r="48" spans="2:24" x14ac:dyDescent="0.25">
      <c r="B48" s="2" t="s">
        <v>121</v>
      </c>
      <c r="C48" s="2">
        <v>0</v>
      </c>
      <c r="D48" s="2">
        <v>0</v>
      </c>
      <c r="E48" s="2">
        <v>0</v>
      </c>
      <c r="F48" s="2">
        <v>70</v>
      </c>
      <c r="G48" s="38">
        <f>SUM(C48:F48)</f>
        <v>70</v>
      </c>
      <c r="H48" s="2">
        <v>218</v>
      </c>
      <c r="I48" s="2">
        <v>0</v>
      </c>
      <c r="J48" s="2">
        <v>0</v>
      </c>
      <c r="K48" s="2">
        <v>0</v>
      </c>
      <c r="L48" s="38">
        <f>SUM(H48:K48)</f>
        <v>218</v>
      </c>
      <c r="M48" s="2">
        <v>0</v>
      </c>
      <c r="N48" s="2">
        <v>278</v>
      </c>
      <c r="O48" s="2">
        <v>0</v>
      </c>
      <c r="P48" s="2">
        <v>96</v>
      </c>
      <c r="Q48" s="38">
        <f>SUM(M48:P48)</f>
        <v>374</v>
      </c>
      <c r="R48" s="2">
        <v>0</v>
      </c>
      <c r="S48" s="2">
        <v>0</v>
      </c>
      <c r="V48" s="38">
        <f>SUM(R48:U48)</f>
        <v>0</v>
      </c>
    </row>
    <row r="49" spans="2:24" x14ac:dyDescent="0.25">
      <c r="B49" s="29" t="s">
        <v>122</v>
      </c>
      <c r="C49" s="29">
        <v>0</v>
      </c>
      <c r="D49" s="29">
        <v>0</v>
      </c>
      <c r="E49" s="29">
        <v>96</v>
      </c>
      <c r="F49" s="29">
        <v>70</v>
      </c>
      <c r="G49" s="41">
        <f>SUM(C49:F49)</f>
        <v>166</v>
      </c>
      <c r="H49" s="29">
        <v>0</v>
      </c>
      <c r="I49" s="29">
        <v>155</v>
      </c>
      <c r="J49" s="29">
        <v>0</v>
      </c>
      <c r="K49" s="29">
        <v>0</v>
      </c>
      <c r="L49" s="41">
        <f>SUM(H49:K49)</f>
        <v>155</v>
      </c>
      <c r="M49" s="29">
        <v>0</v>
      </c>
      <c r="N49" s="29">
        <v>0</v>
      </c>
      <c r="O49" s="29">
        <v>0</v>
      </c>
      <c r="P49" s="29">
        <v>205</v>
      </c>
      <c r="Q49" s="41">
        <f>SUM(M49:P49)</f>
        <v>205</v>
      </c>
      <c r="R49" s="29">
        <v>0</v>
      </c>
      <c r="S49" s="29">
        <v>165</v>
      </c>
      <c r="T49" s="29"/>
      <c r="U49" s="29"/>
      <c r="V49" s="41">
        <f>SUM(R49:U49)</f>
        <v>165</v>
      </c>
      <c r="W49" s="29"/>
      <c r="X49" s="2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7"/>
  <sheetViews>
    <sheetView showGridLines="0" tabSelected="1" workbookViewId="0">
      <selection activeCell="D7" sqref="D7"/>
    </sheetView>
  </sheetViews>
  <sheetFormatPr baseColWidth="10" defaultRowHeight="16" x14ac:dyDescent="0.2"/>
  <cols>
    <col min="3" max="3" width="29.5" bestFit="1" customWidth="1"/>
    <col min="4" max="6" width="18.6640625" bestFit="1" customWidth="1"/>
  </cols>
  <sheetData>
    <row r="4" spans="3:6" ht="62" x14ac:dyDescent="0.7">
      <c r="C4" s="23"/>
      <c r="D4" s="23">
        <v>2025</v>
      </c>
      <c r="E4" s="23">
        <v>2026</v>
      </c>
      <c r="F4" s="23">
        <v>2027</v>
      </c>
    </row>
    <row r="5" spans="3:6" ht="62" x14ac:dyDescent="0.7">
      <c r="C5" s="23" t="s">
        <v>29</v>
      </c>
      <c r="D5" s="31">
        <f>Modell!$B$9/Modell!AF9</f>
        <v>23.927672258668295</v>
      </c>
      <c r="E5" s="31">
        <f>Modell!$B$9/Modell!AG9</f>
        <v>12.782472203681179</v>
      </c>
      <c r="F5" s="31">
        <f>Modell!$B$9/Modell!AH9</f>
        <v>9.0497908239003468</v>
      </c>
    </row>
    <row r="6" spans="3:6" ht="62" x14ac:dyDescent="0.7">
      <c r="C6" s="23" t="s">
        <v>30</v>
      </c>
      <c r="D6" s="31">
        <f>Modell!$B$4/Modell!AF16</f>
        <v>24.859785879594426</v>
      </c>
      <c r="E6" s="31">
        <f>Modell!$B$4/Modell!AG16</f>
        <v>13.280419363829385</v>
      </c>
      <c r="F6" s="31">
        <f>Modell!$B$4/Modell!AH16</f>
        <v>9.4023296418137328</v>
      </c>
    </row>
    <row r="7" spans="3:6" ht="62" x14ac:dyDescent="0.7">
      <c r="C7" s="23" t="s">
        <v>109</v>
      </c>
      <c r="D7" s="24">
        <f>Modell!B4/(Modell!Q37/Modell!B5)</f>
        <v>1.1077614523434665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2025-08-03T19:09:00Z</dcterms:modified>
</cp:coreProperties>
</file>