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8A09DDC9-850D-994B-8817-66A1A13D91E6}" xr6:coauthVersionLast="47" xr6:coauthVersionMax="47" xr10:uidLastSave="{00000000-0000-0000-0000-000000000000}"/>
  <bookViews>
    <workbookView xWindow="0" yWindow="740" windowWidth="29400" windowHeight="17040" activeTab="4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  <sheet name="Nedsideberegning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5" l="1"/>
  <c r="Q8" i="5"/>
  <c r="R8" i="5"/>
  <c r="S8" i="5"/>
  <c r="T8" i="5"/>
  <c r="U8" i="5"/>
  <c r="V8" i="5"/>
  <c r="W8" i="5"/>
  <c r="X8" i="5" s="1"/>
  <c r="P5" i="5"/>
  <c r="Q5" i="5"/>
  <c r="R5" i="5" s="1"/>
  <c r="S5" i="5" s="1"/>
  <c r="T5" i="5" s="1"/>
  <c r="U5" i="5" s="1"/>
  <c r="V5" i="5" s="1"/>
  <c r="W5" i="5" s="1"/>
  <c r="X5" i="5" s="1"/>
  <c r="P6" i="5"/>
  <c r="Q6" i="5"/>
  <c r="R6" i="5"/>
  <c r="S6" i="5"/>
  <c r="T6" i="5"/>
  <c r="U6" i="5"/>
  <c r="V6" i="5"/>
  <c r="W6" i="5" s="1"/>
  <c r="X6" i="5" s="1"/>
  <c r="O8" i="5"/>
  <c r="O6" i="5"/>
  <c r="O5" i="5"/>
  <c r="P4" i="5"/>
  <c r="Q4" i="5"/>
  <c r="R4" i="5"/>
  <c r="S4" i="5"/>
  <c r="T4" i="5"/>
  <c r="U4" i="5"/>
  <c r="V4" i="5"/>
  <c r="W4" i="5"/>
  <c r="X4" i="5" s="1"/>
  <c r="O4" i="5"/>
  <c r="O7" i="5"/>
  <c r="F19" i="5"/>
  <c r="M18" i="5"/>
  <c r="L18" i="5"/>
  <c r="K18" i="5"/>
  <c r="J18" i="5"/>
  <c r="I18" i="5"/>
  <c r="H18" i="5"/>
  <c r="G18" i="5"/>
  <c r="F18" i="5"/>
  <c r="E18" i="5"/>
  <c r="N8" i="5"/>
  <c r="I8" i="5"/>
  <c r="H7" i="5"/>
  <c r="H9" i="5" s="1"/>
  <c r="D7" i="5"/>
  <c r="D9" i="5" s="1"/>
  <c r="D12" i="5" s="1"/>
  <c r="D14" i="5" s="1"/>
  <c r="D16" i="5" s="1"/>
  <c r="N6" i="5"/>
  <c r="M5" i="5"/>
  <c r="L5" i="5"/>
  <c r="K5" i="5"/>
  <c r="J5" i="5"/>
  <c r="J19" i="5" s="1"/>
  <c r="I5" i="5"/>
  <c r="I19" i="5" s="1"/>
  <c r="H5" i="5"/>
  <c r="H19" i="5" s="1"/>
  <c r="G5" i="5"/>
  <c r="G19" i="5" s="1"/>
  <c r="F5" i="5"/>
  <c r="F7" i="5" s="1"/>
  <c r="F20" i="5" s="1"/>
  <c r="E5" i="5"/>
  <c r="D5" i="5"/>
  <c r="N4" i="5"/>
  <c r="N18" i="5" s="1"/>
  <c r="X18" i="2"/>
  <c r="Y18" i="2"/>
  <c r="Z18" i="2"/>
  <c r="X19" i="2"/>
  <c r="Y19" i="2"/>
  <c r="Z19" i="2"/>
  <c r="W18" i="2"/>
  <c r="W19" i="2"/>
  <c r="V20" i="2"/>
  <c r="W20" i="2"/>
  <c r="X20" i="2"/>
  <c r="Y20" i="2"/>
  <c r="V21" i="2"/>
  <c r="W21" i="2"/>
  <c r="X21" i="2"/>
  <c r="Y21" i="2"/>
  <c r="V7" i="2"/>
  <c r="V5" i="2"/>
  <c r="W9" i="2"/>
  <c r="W12" i="2" s="1"/>
  <c r="W14" i="2" s="1"/>
  <c r="W16" i="2" s="1"/>
  <c r="V9" i="2"/>
  <c r="V12" i="2" s="1"/>
  <c r="V14" i="2" s="1"/>
  <c r="V16" i="2" s="1"/>
  <c r="W7" i="2"/>
  <c r="W5" i="2"/>
  <c r="X5" i="2"/>
  <c r="X7" i="2" s="1"/>
  <c r="X9" i="2" s="1"/>
  <c r="X12" i="2" s="1"/>
  <c r="X14" i="2" s="1"/>
  <c r="X16" i="2" s="1"/>
  <c r="Y5" i="2"/>
  <c r="Y7" i="2"/>
  <c r="Y9" i="2" s="1"/>
  <c r="Y12" i="2" s="1"/>
  <c r="Y14" i="2" s="1"/>
  <c r="Y16" i="2" s="1"/>
  <c r="U32" i="4"/>
  <c r="T32" i="4"/>
  <c r="S32" i="4"/>
  <c r="R32" i="4"/>
  <c r="P32" i="4"/>
  <c r="O32" i="4"/>
  <c r="N32" i="4"/>
  <c r="M32" i="4"/>
  <c r="K32" i="4"/>
  <c r="J32" i="4"/>
  <c r="I32" i="4"/>
  <c r="H32" i="4"/>
  <c r="U25" i="4"/>
  <c r="T25" i="4"/>
  <c r="S25" i="4"/>
  <c r="R25" i="4"/>
  <c r="P25" i="4"/>
  <c r="O25" i="4"/>
  <c r="N25" i="4"/>
  <c r="M25" i="4"/>
  <c r="K25" i="4"/>
  <c r="J25" i="4"/>
  <c r="I25" i="4"/>
  <c r="H25" i="4"/>
  <c r="S18" i="4"/>
  <c r="U18" i="4"/>
  <c r="T18" i="4"/>
  <c r="R18" i="4"/>
  <c r="P18" i="4"/>
  <c r="O18" i="4"/>
  <c r="N18" i="4"/>
  <c r="M18" i="4"/>
  <c r="K18" i="4"/>
  <c r="J18" i="4"/>
  <c r="I18" i="4"/>
  <c r="H18" i="4"/>
  <c r="I11" i="4"/>
  <c r="K11" i="4"/>
  <c r="J11" i="4"/>
  <c r="H11" i="4"/>
  <c r="P11" i="4"/>
  <c r="O11" i="4"/>
  <c r="N11" i="4"/>
  <c r="M11" i="4"/>
  <c r="T11" i="4"/>
  <c r="R11" i="4"/>
  <c r="U11" i="4"/>
  <c r="S11" i="4"/>
  <c r="B8" i="2"/>
  <c r="Q61" i="2"/>
  <c r="Q54" i="2"/>
  <c r="Q51" i="2"/>
  <c r="Q40" i="2"/>
  <c r="Q41" i="2" s="1"/>
  <c r="Q26" i="2"/>
  <c r="Q31" i="2" s="1"/>
  <c r="Q36" i="2"/>
  <c r="V27" i="4"/>
  <c r="V13" i="4"/>
  <c r="S7" i="5" l="1"/>
  <c r="R7" i="5"/>
  <c r="Q7" i="5"/>
  <c r="P7" i="5"/>
  <c r="X7" i="5"/>
  <c r="U7" i="5"/>
  <c r="V7" i="5"/>
  <c r="T7" i="5"/>
  <c r="W7" i="5"/>
  <c r="H12" i="5"/>
  <c r="H14" i="5" s="1"/>
  <c r="H16" i="5" s="1"/>
  <c r="H21" i="5"/>
  <c r="D20" i="5"/>
  <c r="G7" i="5"/>
  <c r="F9" i="5"/>
  <c r="H20" i="5"/>
  <c r="I7" i="5"/>
  <c r="K19" i="5"/>
  <c r="J7" i="5"/>
  <c r="D21" i="5"/>
  <c r="L19" i="5"/>
  <c r="K7" i="5"/>
  <c r="N7" i="5"/>
  <c r="E19" i="5"/>
  <c r="M19" i="5"/>
  <c r="L7" i="5"/>
  <c r="E7" i="5"/>
  <c r="M7" i="5"/>
  <c r="N5" i="5"/>
  <c r="Q63" i="2"/>
  <c r="Q65" i="2"/>
  <c r="Q42" i="2"/>
  <c r="Q7" i="2"/>
  <c r="Q20" i="2" s="1"/>
  <c r="R7" i="2"/>
  <c r="R20" i="2" s="1"/>
  <c r="S7" i="2"/>
  <c r="S20" i="2" s="1"/>
  <c r="P19" i="2"/>
  <c r="Q18" i="2"/>
  <c r="R18" i="2"/>
  <c r="S18" i="2"/>
  <c r="Q19" i="2"/>
  <c r="R19" i="2"/>
  <c r="S19" i="2"/>
  <c r="F21" i="5" l="1"/>
  <c r="F12" i="5"/>
  <c r="F14" i="5" s="1"/>
  <c r="F16" i="5" s="1"/>
  <c r="N19" i="5"/>
  <c r="E9" i="5"/>
  <c r="E20" i="5"/>
  <c r="I20" i="5"/>
  <c r="I9" i="5"/>
  <c r="O18" i="5"/>
  <c r="N20" i="5"/>
  <c r="N9" i="5"/>
  <c r="K9" i="5"/>
  <c r="K20" i="5"/>
  <c r="G20" i="5"/>
  <c r="G9" i="5"/>
  <c r="M9" i="5"/>
  <c r="M20" i="5"/>
  <c r="L9" i="5"/>
  <c r="L20" i="5"/>
  <c r="J9" i="5"/>
  <c r="J20" i="5"/>
  <c r="S9" i="2"/>
  <c r="S12" i="2" s="1"/>
  <c r="S14" i="2" s="1"/>
  <c r="S16" i="2" s="1"/>
  <c r="R9" i="2"/>
  <c r="Q9" i="2"/>
  <c r="S21" i="2"/>
  <c r="I21" i="5" l="1"/>
  <c r="I12" i="5"/>
  <c r="I14" i="5" s="1"/>
  <c r="I16" i="5" s="1"/>
  <c r="E21" i="5"/>
  <c r="E12" i="5"/>
  <c r="E14" i="5" s="1"/>
  <c r="E16" i="5" s="1"/>
  <c r="J21" i="5"/>
  <c r="J12" i="5"/>
  <c r="J14" i="5" s="1"/>
  <c r="J16" i="5" s="1"/>
  <c r="L12" i="5"/>
  <c r="L14" i="5" s="1"/>
  <c r="L16" i="5" s="1"/>
  <c r="L21" i="5"/>
  <c r="O19" i="5"/>
  <c r="M12" i="5"/>
  <c r="M14" i="5" s="1"/>
  <c r="M16" i="5" s="1"/>
  <c r="M21" i="5"/>
  <c r="K12" i="5"/>
  <c r="K14" i="5" s="1"/>
  <c r="K16" i="5" s="1"/>
  <c r="K21" i="5"/>
  <c r="N21" i="5"/>
  <c r="N12" i="5"/>
  <c r="P18" i="5"/>
  <c r="G12" i="5"/>
  <c r="G14" i="5" s="1"/>
  <c r="G16" i="5" s="1"/>
  <c r="G21" i="5"/>
  <c r="Q12" i="2"/>
  <c r="Q21" i="2"/>
  <c r="R12" i="2"/>
  <c r="R14" i="2" s="1"/>
  <c r="R16" i="2" s="1"/>
  <c r="R21" i="2"/>
  <c r="P20" i="5" l="1"/>
  <c r="P9" i="5"/>
  <c r="Q18" i="5"/>
  <c r="N13" i="5"/>
  <c r="N14" i="5"/>
  <c r="P19" i="5"/>
  <c r="O20" i="5"/>
  <c r="O9" i="5"/>
  <c r="Q14" i="2"/>
  <c r="Q16" i="2" s="1"/>
  <c r="Q45" i="2"/>
  <c r="N16" i="5" l="1"/>
  <c r="O12" i="5"/>
  <c r="O21" i="5"/>
  <c r="P12" i="5"/>
  <c r="P21" i="5"/>
  <c r="Q20" i="5"/>
  <c r="Q9" i="5"/>
  <c r="R18" i="5"/>
  <c r="Q19" i="5"/>
  <c r="V22" i="4"/>
  <c r="V29" i="4"/>
  <c r="Q29" i="4"/>
  <c r="Q27" i="4"/>
  <c r="V28" i="4" s="1"/>
  <c r="Q22" i="4"/>
  <c r="Q20" i="4"/>
  <c r="L29" i="4"/>
  <c r="L27" i="4"/>
  <c r="L22" i="4"/>
  <c r="L20" i="4"/>
  <c r="G29" i="4"/>
  <c r="G27" i="4"/>
  <c r="G22" i="4"/>
  <c r="G20" i="4"/>
  <c r="Q13" i="4"/>
  <c r="V14" i="4" s="1"/>
  <c r="V15" i="4"/>
  <c r="Q15" i="4"/>
  <c r="L15" i="4"/>
  <c r="L13" i="4"/>
  <c r="G15" i="4"/>
  <c r="G13" i="4"/>
  <c r="V8" i="4"/>
  <c r="Q8" i="4"/>
  <c r="Q6" i="4"/>
  <c r="V7" i="4" s="1"/>
  <c r="L8" i="4"/>
  <c r="L6" i="4"/>
  <c r="G8" i="4"/>
  <c r="G6" i="4"/>
  <c r="D23" i="4"/>
  <c r="D30" i="4"/>
  <c r="C30" i="4"/>
  <c r="C23" i="4"/>
  <c r="D16" i="4"/>
  <c r="C16" i="4"/>
  <c r="K23" i="4"/>
  <c r="U30" i="4"/>
  <c r="T30" i="4"/>
  <c r="S30" i="4"/>
  <c r="R30" i="4"/>
  <c r="P30" i="4"/>
  <c r="O30" i="4"/>
  <c r="N30" i="4"/>
  <c r="M30" i="4"/>
  <c r="K30" i="4"/>
  <c r="J30" i="4"/>
  <c r="I30" i="4"/>
  <c r="H30" i="4"/>
  <c r="F30" i="4"/>
  <c r="E30" i="4"/>
  <c r="U23" i="4"/>
  <c r="T23" i="4"/>
  <c r="S23" i="4"/>
  <c r="R23" i="4"/>
  <c r="P23" i="4"/>
  <c r="O23" i="4"/>
  <c r="N23" i="4"/>
  <c r="M23" i="4"/>
  <c r="J23" i="4"/>
  <c r="I23" i="4"/>
  <c r="H23" i="4"/>
  <c r="F23" i="4"/>
  <c r="E23" i="4"/>
  <c r="U16" i="4"/>
  <c r="T16" i="4"/>
  <c r="S16" i="4"/>
  <c r="R16" i="4"/>
  <c r="P16" i="4"/>
  <c r="O16" i="4"/>
  <c r="N16" i="4"/>
  <c r="M16" i="4"/>
  <c r="K16" i="4"/>
  <c r="J16" i="4"/>
  <c r="I16" i="4"/>
  <c r="H16" i="4"/>
  <c r="F16" i="4"/>
  <c r="E16" i="4"/>
  <c r="P9" i="4"/>
  <c r="O9" i="4"/>
  <c r="N9" i="4"/>
  <c r="M9" i="4"/>
  <c r="K9" i="4"/>
  <c r="J9" i="4"/>
  <c r="I9" i="4"/>
  <c r="H9" i="4"/>
  <c r="F9" i="4"/>
  <c r="E9" i="4"/>
  <c r="D9" i="4"/>
  <c r="C9" i="4"/>
  <c r="U9" i="4"/>
  <c r="T9" i="4"/>
  <c r="S9" i="4"/>
  <c r="R9" i="4"/>
  <c r="R28" i="4"/>
  <c r="U28" i="4"/>
  <c r="T28" i="4"/>
  <c r="S28" i="4"/>
  <c r="P28" i="4"/>
  <c r="O28" i="4"/>
  <c r="N28" i="4"/>
  <c r="M28" i="4"/>
  <c r="K28" i="4"/>
  <c r="J28" i="4"/>
  <c r="I28" i="4"/>
  <c r="H28" i="4"/>
  <c r="K21" i="4"/>
  <c r="J21" i="4"/>
  <c r="I21" i="4"/>
  <c r="H21" i="4"/>
  <c r="P21" i="4"/>
  <c r="O21" i="4"/>
  <c r="N21" i="4"/>
  <c r="M21" i="4"/>
  <c r="U21" i="4"/>
  <c r="T21" i="4"/>
  <c r="S21" i="4"/>
  <c r="R21" i="4"/>
  <c r="R14" i="4"/>
  <c r="U14" i="4"/>
  <c r="T14" i="4"/>
  <c r="S14" i="4"/>
  <c r="P14" i="4"/>
  <c r="O14" i="4"/>
  <c r="N14" i="4"/>
  <c r="M14" i="4"/>
  <c r="K14" i="4"/>
  <c r="J14" i="4"/>
  <c r="I14" i="4"/>
  <c r="H14" i="4"/>
  <c r="H7" i="4"/>
  <c r="K7" i="4"/>
  <c r="J7" i="4"/>
  <c r="I7" i="4"/>
  <c r="P7" i="4"/>
  <c r="O7" i="4"/>
  <c r="N7" i="4"/>
  <c r="M7" i="4"/>
  <c r="S7" i="4"/>
  <c r="U7" i="4"/>
  <c r="T7" i="4"/>
  <c r="R7" i="4"/>
  <c r="Q21" i="5" l="1"/>
  <c r="Q12" i="5"/>
  <c r="R19" i="5"/>
  <c r="P13" i="5"/>
  <c r="P14" i="5" s="1"/>
  <c r="P16" i="5" s="1"/>
  <c r="O13" i="5"/>
  <c r="O14" i="5" s="1"/>
  <c r="S18" i="5"/>
  <c r="Q23" i="4"/>
  <c r="Q16" i="4"/>
  <c r="G9" i="4"/>
  <c r="Q14" i="4"/>
  <c r="L7" i="4"/>
  <c r="Q9" i="4"/>
  <c r="Q30" i="4"/>
  <c r="Q21" i="4"/>
  <c r="Q28" i="4"/>
  <c r="L23" i="4"/>
  <c r="G16" i="4"/>
  <c r="L9" i="4"/>
  <c r="L14" i="4"/>
  <c r="G23" i="4"/>
  <c r="Q7" i="4"/>
  <c r="L16" i="4"/>
  <c r="G30" i="4"/>
  <c r="L21" i="4"/>
  <c r="L28" i="4"/>
  <c r="V21" i="4"/>
  <c r="L30" i="4"/>
  <c r="V30" i="4"/>
  <c r="V23" i="4"/>
  <c r="V16" i="4"/>
  <c r="V9" i="4"/>
  <c r="AF8" i="2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F6" i="2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F4" i="2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H19" i="2"/>
  <c r="I19" i="2"/>
  <c r="J19" i="2"/>
  <c r="K19" i="2"/>
  <c r="L19" i="2"/>
  <c r="M19" i="2"/>
  <c r="N19" i="2"/>
  <c r="O19" i="2"/>
  <c r="E7" i="2"/>
  <c r="E9" i="2" s="1"/>
  <c r="E21" i="2" s="1"/>
  <c r="F41" i="2"/>
  <c r="F7" i="2"/>
  <c r="F9" i="2" s="1"/>
  <c r="G7" i="2"/>
  <c r="G9" i="2" s="1"/>
  <c r="D7" i="2"/>
  <c r="D9" i="2" s="1"/>
  <c r="H7" i="2"/>
  <c r="H9" i="2" s="1"/>
  <c r="I7" i="2"/>
  <c r="I9" i="2" s="1"/>
  <c r="M7" i="2"/>
  <c r="M9" i="2" s="1"/>
  <c r="J7" i="2"/>
  <c r="J9" i="2" s="1"/>
  <c r="N7" i="2"/>
  <c r="N9" i="2" s="1"/>
  <c r="K7" i="2"/>
  <c r="K9" i="2" s="1"/>
  <c r="O7" i="2"/>
  <c r="O9" i="2" s="1"/>
  <c r="Z50" i="2"/>
  <c r="Z47" i="2"/>
  <c r="Z51" i="2" s="1"/>
  <c r="AA61" i="2"/>
  <c r="AA50" i="2"/>
  <c r="AA47" i="2"/>
  <c r="AA51" i="2" s="1"/>
  <c r="AA65" i="2" s="1"/>
  <c r="Z5" i="2"/>
  <c r="Z7" i="2" s="1"/>
  <c r="Z9" i="2" s="1"/>
  <c r="AA8" i="2"/>
  <c r="AA5" i="2"/>
  <c r="AA7" i="2" s="1"/>
  <c r="AB61" i="2"/>
  <c r="AB50" i="2"/>
  <c r="AB47" i="2"/>
  <c r="AC50" i="2"/>
  <c r="AC47" i="2"/>
  <c r="AC51" i="2" s="1"/>
  <c r="AB5" i="2"/>
  <c r="AB7" i="2" s="1"/>
  <c r="AB9" i="2" s="1"/>
  <c r="AC5" i="2"/>
  <c r="AC7" i="2" s="1"/>
  <c r="AC9" i="2" s="1"/>
  <c r="AA18" i="2"/>
  <c r="AB18" i="2"/>
  <c r="AC18" i="2"/>
  <c r="AD18" i="2"/>
  <c r="AE18" i="2"/>
  <c r="AD61" i="2"/>
  <c r="AC61" i="2"/>
  <c r="Z61" i="2"/>
  <c r="AE61" i="2"/>
  <c r="AD54" i="2"/>
  <c r="AC54" i="2"/>
  <c r="AB54" i="2"/>
  <c r="AA54" i="2"/>
  <c r="Z54" i="2"/>
  <c r="AE54" i="2"/>
  <c r="AD50" i="2"/>
  <c r="AD48" i="2"/>
  <c r="AD47" i="2"/>
  <c r="AE47" i="2"/>
  <c r="AE50" i="2"/>
  <c r="AE48" i="2"/>
  <c r="AD5" i="2"/>
  <c r="AE5" i="2"/>
  <c r="AE7" i="2" s="1"/>
  <c r="AE9" i="2" s="1"/>
  <c r="H18" i="2"/>
  <c r="I18" i="2"/>
  <c r="J18" i="2"/>
  <c r="K18" i="2"/>
  <c r="L18" i="2"/>
  <c r="M18" i="2"/>
  <c r="N18" i="2"/>
  <c r="O18" i="2"/>
  <c r="P18" i="2"/>
  <c r="D61" i="2"/>
  <c r="E61" i="2"/>
  <c r="F61" i="2"/>
  <c r="G61" i="2"/>
  <c r="H61" i="2"/>
  <c r="I61" i="2"/>
  <c r="J61" i="2"/>
  <c r="K61" i="2"/>
  <c r="L61" i="2"/>
  <c r="M61" i="2"/>
  <c r="N61" i="2"/>
  <c r="O61" i="2"/>
  <c r="D54" i="2"/>
  <c r="E54" i="2"/>
  <c r="F54" i="2"/>
  <c r="G54" i="2"/>
  <c r="H54" i="2"/>
  <c r="I54" i="2"/>
  <c r="J54" i="2"/>
  <c r="K54" i="2"/>
  <c r="L54" i="2"/>
  <c r="M54" i="2"/>
  <c r="N54" i="2"/>
  <c r="O54" i="2"/>
  <c r="D51" i="2"/>
  <c r="E51" i="2"/>
  <c r="F51" i="2"/>
  <c r="G51" i="2"/>
  <c r="H51" i="2"/>
  <c r="I51" i="2"/>
  <c r="J51" i="2"/>
  <c r="K51" i="2"/>
  <c r="L51" i="2"/>
  <c r="M51" i="2"/>
  <c r="N51" i="2"/>
  <c r="O51" i="2"/>
  <c r="P61" i="2"/>
  <c r="P53" i="2"/>
  <c r="P54" i="2" s="1"/>
  <c r="P51" i="2"/>
  <c r="P65" i="2" s="1"/>
  <c r="D31" i="2"/>
  <c r="E31" i="2"/>
  <c r="F31" i="2"/>
  <c r="G31" i="2"/>
  <c r="H31" i="2"/>
  <c r="I31" i="2"/>
  <c r="J31" i="2"/>
  <c r="K31" i="2"/>
  <c r="L31" i="2"/>
  <c r="M31" i="2"/>
  <c r="N31" i="2"/>
  <c r="O31" i="2"/>
  <c r="D36" i="2"/>
  <c r="E36" i="2"/>
  <c r="F36" i="2"/>
  <c r="G36" i="2"/>
  <c r="H36" i="2"/>
  <c r="I36" i="2"/>
  <c r="J36" i="2"/>
  <c r="K36" i="2"/>
  <c r="L36" i="2"/>
  <c r="M36" i="2"/>
  <c r="N36" i="2"/>
  <c r="O36" i="2"/>
  <c r="D41" i="2"/>
  <c r="E41" i="2"/>
  <c r="G41" i="2"/>
  <c r="H41" i="2"/>
  <c r="I41" i="2"/>
  <c r="J41" i="2"/>
  <c r="K41" i="2"/>
  <c r="L41" i="2"/>
  <c r="M41" i="2"/>
  <c r="N41" i="2"/>
  <c r="O41" i="2"/>
  <c r="P41" i="2"/>
  <c r="P36" i="2"/>
  <c r="P31" i="2"/>
  <c r="L7" i="2"/>
  <c r="L9" i="2" s="1"/>
  <c r="L21" i="2" s="1"/>
  <c r="P7" i="2"/>
  <c r="P9" i="2" s="1"/>
  <c r="P21" i="2" s="1"/>
  <c r="B6" i="2"/>
  <c r="B9" i="2" s="1"/>
  <c r="S9" i="5" l="1"/>
  <c r="S20" i="5"/>
  <c r="R9" i="5"/>
  <c r="R20" i="5"/>
  <c r="T18" i="5"/>
  <c r="Q13" i="5"/>
  <c r="Q14" i="5" s="1"/>
  <c r="O16" i="5"/>
  <c r="S19" i="5"/>
  <c r="AE20" i="2"/>
  <c r="O20" i="2"/>
  <c r="N20" i="2"/>
  <c r="AC65" i="2"/>
  <c r="P42" i="2"/>
  <c r="M20" i="2"/>
  <c r="AA9" i="2"/>
  <c r="AA12" i="2" s="1"/>
  <c r="G20" i="2"/>
  <c r="G42" i="2"/>
  <c r="F20" i="2"/>
  <c r="AB51" i="2"/>
  <c r="AB65" i="2" s="1"/>
  <c r="Z65" i="2"/>
  <c r="AD19" i="2"/>
  <c r="E20" i="2"/>
  <c r="J63" i="2"/>
  <c r="AD7" i="2"/>
  <c r="P20" i="2"/>
  <c r="H20" i="2"/>
  <c r="AC20" i="2"/>
  <c r="L20" i="2"/>
  <c r="D20" i="2"/>
  <c r="L65" i="2"/>
  <c r="D65" i="2"/>
  <c r="K20" i="2"/>
  <c r="Z20" i="2"/>
  <c r="AF5" i="2"/>
  <c r="AG5" i="2" s="1"/>
  <c r="AH5" i="2" s="1"/>
  <c r="D42" i="2"/>
  <c r="K65" i="2"/>
  <c r="J20" i="2"/>
  <c r="AA20" i="2"/>
  <c r="AE51" i="2"/>
  <c r="AE65" i="2" s="1"/>
  <c r="I20" i="2"/>
  <c r="AB20" i="2"/>
  <c r="AH18" i="2"/>
  <c r="AH7" i="2"/>
  <c r="AH9" i="2" s="1"/>
  <c r="AH12" i="2" s="1"/>
  <c r="AH13" i="2" s="1"/>
  <c r="AG18" i="2"/>
  <c r="AF18" i="2"/>
  <c r="E42" i="2"/>
  <c r="AD51" i="2"/>
  <c r="AD65" i="2" s="1"/>
  <c r="F42" i="2"/>
  <c r="AB19" i="2"/>
  <c r="AE19" i="2"/>
  <c r="AC19" i="2"/>
  <c r="AA19" i="2"/>
  <c r="E63" i="2"/>
  <c r="E12" i="2"/>
  <c r="E14" i="2" s="1"/>
  <c r="F12" i="2"/>
  <c r="F14" i="2" s="1"/>
  <c r="F21" i="2"/>
  <c r="G21" i="2"/>
  <c r="G12" i="2"/>
  <c r="G14" i="2" s="1"/>
  <c r="AE12" i="2"/>
  <c r="AE21" i="2"/>
  <c r="P63" i="2"/>
  <c r="M42" i="2"/>
  <c r="AE63" i="2"/>
  <c r="L42" i="2"/>
  <c r="G63" i="2"/>
  <c r="P12" i="2"/>
  <c r="L12" i="2"/>
  <c r="N42" i="2"/>
  <c r="F63" i="2"/>
  <c r="H65" i="2"/>
  <c r="D21" i="2"/>
  <c r="D12" i="2"/>
  <c r="H12" i="2"/>
  <c r="H21" i="2"/>
  <c r="I63" i="2"/>
  <c r="I65" i="2"/>
  <c r="M65" i="2"/>
  <c r="I21" i="2"/>
  <c r="I12" i="2"/>
  <c r="M12" i="2"/>
  <c r="M21" i="2"/>
  <c r="J65" i="2"/>
  <c r="N63" i="2"/>
  <c r="D63" i="2"/>
  <c r="M63" i="2"/>
  <c r="J12" i="2"/>
  <c r="J21" i="2"/>
  <c r="N21" i="2"/>
  <c r="N12" i="2"/>
  <c r="K63" i="2"/>
  <c r="G65" i="2"/>
  <c r="L63" i="2"/>
  <c r="F65" i="2"/>
  <c r="H63" i="2"/>
  <c r="N65" i="2"/>
  <c r="E65" i="2"/>
  <c r="O63" i="2"/>
  <c r="O65" i="2"/>
  <c r="O42" i="2"/>
  <c r="K12" i="2"/>
  <c r="K21" i="2"/>
  <c r="O12" i="2"/>
  <c r="O21" i="2"/>
  <c r="Z63" i="2"/>
  <c r="AA63" i="2"/>
  <c r="Z21" i="2"/>
  <c r="Z12" i="2"/>
  <c r="AC63" i="2"/>
  <c r="AB21" i="2"/>
  <c r="AB12" i="2"/>
  <c r="AC21" i="2"/>
  <c r="AC12" i="2"/>
  <c r="K42" i="2"/>
  <c r="J42" i="2"/>
  <c r="I42" i="2"/>
  <c r="H42" i="2"/>
  <c r="Q16" i="5" l="1"/>
  <c r="U18" i="5"/>
  <c r="T9" i="5"/>
  <c r="T20" i="5"/>
  <c r="T19" i="5"/>
  <c r="R21" i="5"/>
  <c r="R12" i="5"/>
  <c r="S21" i="5"/>
  <c r="S12" i="5"/>
  <c r="AF19" i="2"/>
  <c r="AA21" i="2"/>
  <c r="AB63" i="2"/>
  <c r="AG7" i="2"/>
  <c r="AG9" i="2" s="1"/>
  <c r="AG21" i="2" s="1"/>
  <c r="AG19" i="2"/>
  <c r="AD9" i="2"/>
  <c r="AD20" i="2"/>
  <c r="AI5" i="2"/>
  <c r="AJ5" i="2" s="1"/>
  <c r="AK5" i="2" s="1"/>
  <c r="AL5" i="2" s="1"/>
  <c r="AM5" i="2" s="1"/>
  <c r="AN5" i="2" s="1"/>
  <c r="AO5" i="2" s="1"/>
  <c r="AP5" i="2" s="1"/>
  <c r="AH19" i="2"/>
  <c r="AF7" i="2"/>
  <c r="AF9" i="2" s="1"/>
  <c r="F5" i="3"/>
  <c r="E5" i="3"/>
  <c r="AG12" i="2"/>
  <c r="AG20" i="2"/>
  <c r="AI18" i="2"/>
  <c r="AH21" i="2"/>
  <c r="AH20" i="2"/>
  <c r="AH14" i="2"/>
  <c r="AH16" i="2" s="1"/>
  <c r="F6" i="3" s="1"/>
  <c r="AD63" i="2"/>
  <c r="E16" i="2"/>
  <c r="E45" i="2"/>
  <c r="L14" i="2"/>
  <c r="L16" i="2" s="1"/>
  <c r="L45" i="2"/>
  <c r="F16" i="2"/>
  <c r="F45" i="2"/>
  <c r="G16" i="2"/>
  <c r="G45" i="2"/>
  <c r="P14" i="2"/>
  <c r="P16" i="2" s="1"/>
  <c r="P45" i="2"/>
  <c r="AE14" i="2"/>
  <c r="AE16" i="2" s="1"/>
  <c r="AE45" i="2"/>
  <c r="D14" i="2"/>
  <c r="D16" i="2" s="1"/>
  <c r="D45" i="2"/>
  <c r="H14" i="2"/>
  <c r="H16" i="2" s="1"/>
  <c r="H45" i="2"/>
  <c r="I14" i="2"/>
  <c r="I16" i="2" s="1"/>
  <c r="I45" i="2"/>
  <c r="M14" i="2"/>
  <c r="M16" i="2" s="1"/>
  <c r="M45" i="2"/>
  <c r="J14" i="2"/>
  <c r="J16" i="2" s="1"/>
  <c r="J45" i="2"/>
  <c r="N14" i="2"/>
  <c r="N16" i="2" s="1"/>
  <c r="N45" i="2"/>
  <c r="K14" i="2"/>
  <c r="K16" i="2" s="1"/>
  <c r="K45" i="2"/>
  <c r="O14" i="2"/>
  <c r="O16" i="2" s="1"/>
  <c r="O45" i="2"/>
  <c r="Z14" i="2"/>
  <c r="Z16" i="2" s="1"/>
  <c r="Z45" i="2"/>
  <c r="AA14" i="2"/>
  <c r="AA16" i="2" s="1"/>
  <c r="AA45" i="2"/>
  <c r="AB14" i="2"/>
  <c r="AB16" i="2" s="1"/>
  <c r="AB45" i="2"/>
  <c r="AC14" i="2"/>
  <c r="AC16" i="2" s="1"/>
  <c r="AC45" i="2"/>
  <c r="U9" i="5" l="1"/>
  <c r="U20" i="5"/>
  <c r="T21" i="5"/>
  <c r="T12" i="5"/>
  <c r="S13" i="5"/>
  <c r="S14" i="5" s="1"/>
  <c r="S16" i="5" s="1"/>
  <c r="V18" i="5"/>
  <c r="R13" i="5"/>
  <c r="R14" i="5" s="1"/>
  <c r="U19" i="5"/>
  <c r="AI7" i="2"/>
  <c r="AI19" i="2"/>
  <c r="AF20" i="2"/>
  <c r="AG13" i="2"/>
  <c r="AG14" i="2" s="1"/>
  <c r="AG16" i="2" s="1"/>
  <c r="E6" i="3" s="1"/>
  <c r="AD12" i="2"/>
  <c r="AD21" i="2"/>
  <c r="AJ19" i="2"/>
  <c r="AI9" i="2"/>
  <c r="AI20" i="2"/>
  <c r="AJ7" i="2"/>
  <c r="AJ18" i="2"/>
  <c r="D5" i="3"/>
  <c r="AF12" i="2"/>
  <c r="AF13" i="2" s="1"/>
  <c r="AF21" i="2"/>
  <c r="R16" i="5" l="1"/>
  <c r="V20" i="5"/>
  <c r="V9" i="5"/>
  <c r="W18" i="5"/>
  <c r="V19" i="5"/>
  <c r="T13" i="5"/>
  <c r="T14" i="5" s="1"/>
  <c r="T16" i="5" s="1"/>
  <c r="U21" i="5"/>
  <c r="U12" i="5"/>
  <c r="AD14" i="2"/>
  <c r="AD16" i="2" s="1"/>
  <c r="AD45" i="2"/>
  <c r="AK19" i="2"/>
  <c r="AF14" i="2"/>
  <c r="AF16" i="2" s="1"/>
  <c r="D6" i="3" s="1"/>
  <c r="AJ9" i="2"/>
  <c r="AJ20" i="2"/>
  <c r="AK18" i="2"/>
  <c r="AK7" i="2"/>
  <c r="AI21" i="2"/>
  <c r="AI12" i="2"/>
  <c r="W20" i="5" l="1"/>
  <c r="W9" i="5"/>
  <c r="X19" i="5"/>
  <c r="W19" i="5"/>
  <c r="X18" i="5"/>
  <c r="U13" i="5"/>
  <c r="U14" i="5" s="1"/>
  <c r="U16" i="5" s="1"/>
  <c r="V21" i="5"/>
  <c r="V12" i="5"/>
  <c r="AI13" i="2"/>
  <c r="AI14" i="2" s="1"/>
  <c r="AI16" i="2" s="1"/>
  <c r="AL19" i="2"/>
  <c r="AL7" i="2"/>
  <c r="AL18" i="2"/>
  <c r="AK9" i="2"/>
  <c r="AK20" i="2"/>
  <c r="AJ12" i="2"/>
  <c r="AJ21" i="2"/>
  <c r="X9" i="5" l="1"/>
  <c r="X20" i="5"/>
  <c r="V13" i="5"/>
  <c r="V14" i="5" s="1"/>
  <c r="V16" i="5" s="1"/>
  <c r="W12" i="5"/>
  <c r="W21" i="5"/>
  <c r="AJ13" i="2"/>
  <c r="AJ14" i="2" s="1"/>
  <c r="AJ16" i="2" s="1"/>
  <c r="AM19" i="2"/>
  <c r="AK21" i="2"/>
  <c r="AK12" i="2"/>
  <c r="AM18" i="2"/>
  <c r="AM7" i="2"/>
  <c r="AL9" i="2"/>
  <c r="AL20" i="2"/>
  <c r="W13" i="5" l="1"/>
  <c r="W14" i="5" s="1"/>
  <c r="W16" i="5" s="1"/>
  <c r="X12" i="5"/>
  <c r="X21" i="5"/>
  <c r="AK13" i="2"/>
  <c r="AK14" i="2" s="1"/>
  <c r="AK16" i="2" s="1"/>
  <c r="AN19" i="2"/>
  <c r="AL12" i="2"/>
  <c r="AL13" i="2" s="1"/>
  <c r="AL21" i="2"/>
  <c r="AM9" i="2"/>
  <c r="AM20" i="2"/>
  <c r="AN18" i="2"/>
  <c r="AN7" i="2"/>
  <c r="X13" i="5" l="1"/>
  <c r="X14" i="5" s="1"/>
  <c r="AP19" i="2"/>
  <c r="AO19" i="2"/>
  <c r="AN9" i="2"/>
  <c r="AN20" i="2"/>
  <c r="AO18" i="2"/>
  <c r="AO7" i="2"/>
  <c r="AM12" i="2"/>
  <c r="AM13" i="2" s="1"/>
  <c r="AM21" i="2"/>
  <c r="AL14" i="2"/>
  <c r="Y14" i="5" l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AJ14" i="5" s="1"/>
  <c r="AK14" i="5" s="1"/>
  <c r="AL14" i="5" s="1"/>
  <c r="AM14" i="5" s="1"/>
  <c r="AN14" i="5" s="1"/>
  <c r="AO14" i="5" s="1"/>
  <c r="AP14" i="5" s="1"/>
  <c r="AQ14" i="5" s="1"/>
  <c r="AR14" i="5" s="1"/>
  <c r="AS14" i="5" s="1"/>
  <c r="AT14" i="5" s="1"/>
  <c r="AU14" i="5" s="1"/>
  <c r="AV14" i="5" s="1"/>
  <c r="AW14" i="5" s="1"/>
  <c r="AX14" i="5" s="1"/>
  <c r="AY14" i="5" s="1"/>
  <c r="AZ14" i="5" s="1"/>
  <c r="BA14" i="5" s="1"/>
  <c r="BB14" i="5" s="1"/>
  <c r="BC14" i="5" s="1"/>
  <c r="BD14" i="5" s="1"/>
  <c r="BE14" i="5" s="1"/>
  <c r="BF14" i="5" s="1"/>
  <c r="BG14" i="5" s="1"/>
  <c r="BH14" i="5" s="1"/>
  <c r="BI14" i="5" s="1"/>
  <c r="BJ14" i="5" s="1"/>
  <c r="BK14" i="5" s="1"/>
  <c r="BL14" i="5" s="1"/>
  <c r="BM14" i="5" s="1"/>
  <c r="BN14" i="5" s="1"/>
  <c r="BO14" i="5" s="1"/>
  <c r="BP14" i="5" s="1"/>
  <c r="BQ14" i="5" s="1"/>
  <c r="BR14" i="5" s="1"/>
  <c r="BS14" i="5" s="1"/>
  <c r="BT14" i="5" s="1"/>
  <c r="BU14" i="5" s="1"/>
  <c r="BV14" i="5" s="1"/>
  <c r="BW14" i="5" s="1"/>
  <c r="BX14" i="5" s="1"/>
  <c r="BY14" i="5" s="1"/>
  <c r="BZ14" i="5" s="1"/>
  <c r="CA14" i="5" s="1"/>
  <c r="CB14" i="5" s="1"/>
  <c r="CC14" i="5" s="1"/>
  <c r="CD14" i="5" s="1"/>
  <c r="CE14" i="5" s="1"/>
  <c r="CF14" i="5" s="1"/>
  <c r="CG14" i="5" s="1"/>
  <c r="CH14" i="5" s="1"/>
  <c r="CI14" i="5" s="1"/>
  <c r="CJ14" i="5" s="1"/>
  <c r="CK14" i="5" s="1"/>
  <c r="CL14" i="5" s="1"/>
  <c r="CM14" i="5" s="1"/>
  <c r="CN14" i="5" s="1"/>
  <c r="CO14" i="5" s="1"/>
  <c r="CP14" i="5" s="1"/>
  <c r="CQ14" i="5" s="1"/>
  <c r="CR14" i="5" s="1"/>
  <c r="CS14" i="5" s="1"/>
  <c r="CT14" i="5" s="1"/>
  <c r="CU14" i="5" s="1"/>
  <c r="CV14" i="5" s="1"/>
  <c r="CW14" i="5" s="1"/>
  <c r="CX14" i="5" s="1"/>
  <c r="CY14" i="5" s="1"/>
  <c r="CZ14" i="5" s="1"/>
  <c r="DA14" i="5" s="1"/>
  <c r="DB14" i="5" s="1"/>
  <c r="DC14" i="5" s="1"/>
  <c r="DD14" i="5" s="1"/>
  <c r="DE14" i="5" s="1"/>
  <c r="DF14" i="5" s="1"/>
  <c r="DG14" i="5" s="1"/>
  <c r="DH14" i="5" s="1"/>
  <c r="DI14" i="5" s="1"/>
  <c r="DJ14" i="5" s="1"/>
  <c r="DK14" i="5" s="1"/>
  <c r="DL14" i="5" s="1"/>
  <c r="DM14" i="5" s="1"/>
  <c r="DN14" i="5" s="1"/>
  <c r="DO14" i="5" s="1"/>
  <c r="DP14" i="5" s="1"/>
  <c r="DQ14" i="5" s="1"/>
  <c r="DR14" i="5" s="1"/>
  <c r="DS14" i="5" s="1"/>
  <c r="DT14" i="5" s="1"/>
  <c r="DU14" i="5" s="1"/>
  <c r="DV14" i="5" s="1"/>
  <c r="AA19" i="5" s="1"/>
  <c r="AA21" i="5" s="1"/>
  <c r="X16" i="5"/>
  <c r="AL16" i="2"/>
  <c r="AM14" i="2"/>
  <c r="AM16" i="2" s="1"/>
  <c r="AO9" i="2"/>
  <c r="AO20" i="2"/>
  <c r="AP7" i="2"/>
  <c r="AP18" i="2"/>
  <c r="AN21" i="2"/>
  <c r="AN12" i="2"/>
  <c r="A5" i="5" l="1"/>
  <c r="AA22" i="5"/>
  <c r="A6" i="5" s="1"/>
  <c r="AN13" i="2"/>
  <c r="AN14" i="2" s="1"/>
  <c r="AN16" i="2" s="1"/>
  <c r="AP9" i="2"/>
  <c r="AP20" i="2"/>
  <c r="AO12" i="2"/>
  <c r="AO21" i="2"/>
  <c r="AO13" i="2" l="1"/>
  <c r="AO14" i="2" s="1"/>
  <c r="AO16" i="2" s="1"/>
  <c r="AP21" i="2"/>
  <c r="AP12" i="2"/>
  <c r="AP13" i="2" l="1"/>
  <c r="AP14" i="2" s="1"/>
  <c r="AP16" i="2" l="1"/>
  <c r="AQ14" i="2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AS19" i="2" s="1"/>
  <c r="AS21" i="2" s="1"/>
  <c r="AS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tc={C465992F-3CE6-CE46-8C12-F3EA1445EDD5}</author>
    <author>tc={8187BE97-19BF-DA4C-AB47-39AEC2634F3F}</author>
  </authors>
  <commentList>
    <comment ref="Q26" authorId="0" shapeId="0" xr:uid="{C465992F-3CE6-CE46-8C12-F3EA1445EDD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Assets held for sale 189</t>
      </text>
    </comment>
    <comment ref="AB61" authorId="1" shapeId="0" xr:uid="{8187BE97-19BF-DA4C-AB47-39AEC2634F3F}">
      <text>
        <t xml:space="preserve">[Kommentartråd]
Din versjon av Excel lar deg lese denne kommentartråden. Eventuelle endringer i den vil imidlertid bli fjernet hvis filen åpnes i en nyere versjon av Excel. Finn ut mer: https://go.microsoft.com/fwlink/?linkid=870924
Kommentar:
    Hentet inn 492,5 mill
</t>
      </text>
    </comment>
  </commentList>
</comments>
</file>

<file path=xl/sharedStrings.xml><?xml version="1.0" encoding="utf-8"?>
<sst xmlns="http://schemas.openxmlformats.org/spreadsheetml/2006/main" count="205" uniqueCount="122">
  <si>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</si>
  <si>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</si>
  <si>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</si>
  <si>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</si>
  <si>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</si>
  <si>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</si>
  <si>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</si>
  <si>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</si>
  <si>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</si>
  <si>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</si>
  <si>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</si>
  <si>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</si>
  <si>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</si>
  <si>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</si>
  <si>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</si>
  <si>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</si>
  <si>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</si>
  <si>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</si>
  <si>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</si>
  <si>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</si>
  <si>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</si>
  <si>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</si>
  <si>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</si>
  <si>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</si>
  <si>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</si>
  <si>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</si>
  <si>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</si>
  <si>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</si>
  <si>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</si>
  <si>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EV/EBIT</t>
  </si>
  <si>
    <t>P/E</t>
  </si>
  <si>
    <t>Q225</t>
  </si>
  <si>
    <t>FY 2019</t>
  </si>
  <si>
    <t>FY 2020</t>
  </si>
  <si>
    <t>FY 2021</t>
  </si>
  <si>
    <t>Q325</t>
  </si>
  <si>
    <t>Q425</t>
  </si>
  <si>
    <t>Q125</t>
  </si>
  <si>
    <t>SEK million</t>
  </si>
  <si>
    <t>MC SEKm</t>
  </si>
  <si>
    <t>Cash SEKm</t>
  </si>
  <si>
    <t>Debt SEKm</t>
  </si>
  <si>
    <t>EV SEKm</t>
  </si>
  <si>
    <t>Revenue y/y</t>
  </si>
  <si>
    <t>EBIT margin</t>
  </si>
  <si>
    <t>Balanse SEKm</t>
  </si>
  <si>
    <t xml:space="preserve">Cash flow SEKm </t>
  </si>
  <si>
    <t>Revenues</t>
  </si>
  <si>
    <t>Operating costs</t>
  </si>
  <si>
    <t>Dep and write-downs of tangiable assets</t>
  </si>
  <si>
    <t>EBITA</t>
  </si>
  <si>
    <t>Amort and write-downs on intangible assets</t>
  </si>
  <si>
    <t>Operating income (EBIT)</t>
  </si>
  <si>
    <t>Financial income</t>
  </si>
  <si>
    <t>Financial expense</t>
  </si>
  <si>
    <t>PTP</t>
  </si>
  <si>
    <t>Tax</t>
  </si>
  <si>
    <t>Net income</t>
  </si>
  <si>
    <t>Share</t>
  </si>
  <si>
    <t>EPS</t>
  </si>
  <si>
    <t>Intangible assets</t>
  </si>
  <si>
    <t>PP&amp;E</t>
  </si>
  <si>
    <t>Financial non-current assets</t>
  </si>
  <si>
    <t>Deferred tax assets</t>
  </si>
  <si>
    <t>Current receivables</t>
  </si>
  <si>
    <t>Cash</t>
  </si>
  <si>
    <t>Total assets</t>
  </si>
  <si>
    <t>Share capital</t>
  </si>
  <si>
    <t>Other capital</t>
  </si>
  <si>
    <t>Profit brought forward</t>
  </si>
  <si>
    <t>Non-controlling interests</t>
  </si>
  <si>
    <t>Total equity</t>
  </si>
  <si>
    <t>Non-current provisions</t>
  </si>
  <si>
    <t>IB non-current debt</t>
  </si>
  <si>
    <t>IB current debt</t>
  </si>
  <si>
    <t>Other current liabilities</t>
  </si>
  <si>
    <t>Total debt</t>
  </si>
  <si>
    <t>Total E/D</t>
  </si>
  <si>
    <t>Model PTP</t>
  </si>
  <si>
    <t>Reported PTP</t>
  </si>
  <si>
    <t>Non-cash items</t>
  </si>
  <si>
    <t>Net interest received/paid</t>
  </si>
  <si>
    <t>Paid taxes</t>
  </si>
  <si>
    <t>WC</t>
  </si>
  <si>
    <t>CFFO</t>
  </si>
  <si>
    <t>Capex</t>
  </si>
  <si>
    <t>CFFI</t>
  </si>
  <si>
    <t>Amortization of loans</t>
  </si>
  <si>
    <t>Loans raised</t>
  </si>
  <si>
    <t>Dividends</t>
  </si>
  <si>
    <t>Acquisition of non-controlling interest shares</t>
  </si>
  <si>
    <t>Buybacks</t>
  </si>
  <si>
    <t>CFFF</t>
  </si>
  <si>
    <t>CIC</t>
  </si>
  <si>
    <t>FCF</t>
  </si>
  <si>
    <t>Operating costs y/y</t>
  </si>
  <si>
    <t xml:space="preserve">Financial targets: </t>
  </si>
  <si>
    <t>Sales growth: 15%</t>
  </si>
  <si>
    <t>Profitiability: EBITA margin 12%</t>
  </si>
  <si>
    <t>EBITA margin</t>
  </si>
  <si>
    <t>(Virker lite sannsynlig i nærmer fremtid mtp at de har ikke vært der enda)</t>
  </si>
  <si>
    <t>Solutions</t>
  </si>
  <si>
    <t>Revenue</t>
  </si>
  <si>
    <t>Employees</t>
  </si>
  <si>
    <t>Experience</t>
  </si>
  <si>
    <t>Growth %</t>
  </si>
  <si>
    <t>Connectivity</t>
  </si>
  <si>
    <t>Insight</t>
  </si>
  <si>
    <t>Discount</t>
  </si>
  <si>
    <t>TV</t>
  </si>
  <si>
    <t>NPV</t>
  </si>
  <si>
    <t>NPV/Share</t>
  </si>
  <si>
    <t>Opp-/nedside</t>
  </si>
  <si>
    <t>EBITA Margin %</t>
  </si>
  <si>
    <t>ROE</t>
  </si>
  <si>
    <t>FY 2017</t>
  </si>
  <si>
    <t>FY 2018</t>
  </si>
  <si>
    <t>y/y %</t>
  </si>
  <si>
    <t>FY 2015</t>
  </si>
  <si>
    <t>FY 2016</t>
  </si>
  <si>
    <t>Nedside</t>
  </si>
  <si>
    <t>Nullvekst og konstante marg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</si>
</sst>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10" fontId="1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166" fontId="1" fillId="0" borderId="0" xfId="0" applyNumberFormat="1" applyFont="1"/>
    <xf numFmtId="2" fontId="2" fillId="0" borderId="1" xfId="0" applyNumberFormat="1" applyFont="1" applyBorder="1"/>
    <xf numFmtId="166" fontId="1" fillId="0" borderId="1" xfId="0" applyNumberFormat="1" applyFont="1" applyBorder="1"/>
    <xf numFmtId="166" fontId="2" fillId="0" borderId="1" xfId="0" applyNumberFormat="1" applyFont="1" applyBorder="1"/>
    <xf numFmtId="9" fontId="2" fillId="0" borderId="0" xfId="0" applyNumberFormat="1" applyFont="1"/>
    <xf numFmtId="0" fontId="5" fillId="0" borderId="2" xfId="0" applyFont="1" applyBorder="1"/>
    <xf numFmtId="165" fontId="6" fillId="0" borderId="2" xfId="0" applyNumberFormat="1" applyFont="1" applyBorder="1"/>
    <xf numFmtId="0" fontId="8" fillId="0" borderId="0" xfId="0" applyFont="1"/>
    <xf numFmtId="0" fontId="1" fillId="0" borderId="0" xfId="0" applyFont="1" applyAlignment="1">
      <alignment horizontal="right"/>
    </xf>
    <xf numFmtId="0" fontId="9" fillId="0" borderId="0" xfId="0" applyFont="1"/>
    <xf numFmtId="10" fontId="4" fillId="0" borderId="0" xfId="0" applyNumberFormat="1" applyFont="1"/>
    <xf numFmtId="10" fontId="3" fillId="0" borderId="0" xfId="0" applyNumberFormat="1" applyFont="1"/>
    <xf numFmtId="0" fontId="2" fillId="0" borderId="4" xfId="0" applyFont="1" applyBorder="1"/>
    <xf numFmtId="8" fontId="2" fillId="0" borderId="4" xfId="0" applyNumberFormat="1" applyFont="1" applyBorder="1"/>
    <xf numFmtId="164" fontId="2" fillId="0" borderId="0" xfId="0" applyNumberFormat="1" applyFont="1"/>
    <xf numFmtId="10" fontId="2" fillId="0" borderId="1" xfId="0" applyNumberFormat="1" applyFont="1" applyBorder="1"/>
    <xf numFmtId="0" fontId="4" fillId="0" borderId="3" xfId="0" applyFont="1" applyBorder="1"/>
    <xf numFmtId="166" fontId="4" fillId="0" borderId="3" xfId="0" applyNumberFormat="1" applyFont="1" applyBorder="1"/>
    <xf numFmtId="166" fontId="3" fillId="0" borderId="3" xfId="0" applyNumberFormat="1" applyFont="1" applyBorder="1"/>
    <xf numFmtId="3" fontId="4" fillId="0" borderId="1" xfId="0" applyNumberFormat="1" applyFont="1" applyBorder="1"/>
    <xf numFmtId="0" fontId="1" fillId="0" borderId="1" xfId="0" applyFont="1" applyBorder="1"/>
    <xf numFmtId="0" fontId="2" fillId="0" borderId="5" xfId="0" applyFont="1" applyBorder="1"/>
    <xf numFmtId="10" fontId="2" fillId="0" borderId="4" xfId="0" applyNumberFormat="1" applyFont="1" applyBorder="1"/>
    <xf numFmtId="10" fontId="2" fillId="0" borderId="5" xfId="0" applyNumberFormat="1" applyFont="1" applyBorder="1"/>
    <xf numFmtId="0" fontId="1" fillId="0" borderId="4" xfId="0" applyFont="1" applyBorder="1"/>
    <xf numFmtId="10" fontId="1" fillId="0" borderId="4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0</xdr:row>
      <xdr:rowOff>50800</xdr:rowOff>
    </xdr:from>
    <xdr:to>
      <xdr:col>23</xdr:col>
      <xdr:colOff>151984</xdr:colOff>
      <xdr:row>20</xdr:row>
      <xdr:rowOff>203200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5C18218-5CDC-95F2-579E-0DADCDE55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50800"/>
          <a:ext cx="11099384" cy="49784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254000</xdr:colOff>
      <xdr:row>5</xdr:row>
      <xdr:rowOff>203200</xdr:rowOff>
    </xdr:from>
    <xdr:to>
      <xdr:col>9</xdr:col>
      <xdr:colOff>596900</xdr:colOff>
      <xdr:row>29</xdr:row>
      <xdr:rowOff>107156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2E42E5B-9F3F-55D8-482E-AA97749D4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1409700"/>
          <a:ext cx="3644900" cy="56951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8FD81992-E52B-914A-9877-EC2BC2B5A478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6" dT="2025-07-18T05:53:08.09" personId="{8FD81992-E52B-914A-9877-EC2BC2B5A478}" id="{C465992F-3CE6-CE46-8C12-F3EA1445EDD5}">
    <text>Assets held for sale 189</text>
  </threadedComment>
  <threadedComment ref="AB61" dT="2025-07-09T08:27:08.82" personId="{8FD81992-E52B-914A-9877-EC2BC2B5A478}" id="{8187BE97-19BF-DA4C-AB47-39AEC2634F3F}">
    <text xml:space="preserve">Hentet inn 492,5 mill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4:K22"/>
  <sheetViews>
    <sheetView showGridLines="0" topLeftCell="C1" workbookViewId="0">
      <selection activeCell="N27" sqref="N27"/>
    </sheetView>
  </sheetViews>
  <sheetFormatPr baseColWidth="10" defaultRowHeight="19" x14ac:dyDescent="0.25"/>
  <cols>
    <col min="1" max="16384" width="10.83203125" style="2"/>
  </cols>
  <sheetData>
    <row r="4" spans="1:4" x14ac:dyDescent="0.25">
      <c r="A4" s="1" t="s">
        <v>96</v>
      </c>
    </row>
    <row r="5" spans="1:4" x14ac:dyDescent="0.25">
      <c r="A5" s="2" t="s">
        <v>97</v>
      </c>
    </row>
    <row r="6" spans="1:4" x14ac:dyDescent="0.25">
      <c r="A6" s="2" t="s">
        <v>98</v>
      </c>
      <c r="D6" s="2" t="s">
        <v>100</v>
      </c>
    </row>
    <row r="7" spans="1:4" x14ac:dyDescent="0.25">
      <c r="A7" s="1"/>
    </row>
    <row r="8" spans="1:4" x14ac:dyDescent="0.25">
      <c r="A8" s="1"/>
    </row>
    <row r="22" spans="11:11" x14ac:dyDescent="0.25">
      <c r="K22" s="2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EN69"/>
  <sheetViews>
    <sheetView showGridLines="0" workbookViewId="0">
      <pane xSplit="3" ySplit="3" topLeftCell="M4" activePane="bottomRight" state="frozen"/>
      <selection pane="topRight" activeCell="D1" sqref="D1"/>
      <selection pane="bottomLeft" activeCell="A4" sqref="A4"/>
      <selection pane="bottomRight" activeCell="U13" sqref="U13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42.164062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83203125" style="2"/>
    <col min="17" max="17" width="10.83203125" style="4"/>
    <col min="18" max="31" width="10.83203125" style="2"/>
    <col min="32" max="32" width="10.83203125" style="4"/>
    <col min="33" max="43" width="10.83203125" style="2"/>
    <col min="44" max="44" width="13.6640625" style="2" bestFit="1" customWidth="1"/>
    <col min="45" max="45" width="13.33203125" style="2" bestFit="1" customWidth="1"/>
    <col min="46" max="16384" width="10.83203125" style="2"/>
  </cols>
  <sheetData>
    <row r="1" spans="1:144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AB1" s="1"/>
    </row>
    <row r="3" spans="1:144" x14ac:dyDescent="0.25">
      <c r="A3" s="1" t="s">
        <v>0</v>
      </c>
      <c r="C3" s="2" t="s">
        <v>38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37</v>
      </c>
      <c r="Q3" s="17" t="s">
        <v>31</v>
      </c>
      <c r="R3" s="7" t="s">
        <v>35</v>
      </c>
      <c r="S3" s="7" t="s">
        <v>36</v>
      </c>
      <c r="V3" s="7" t="s">
        <v>118</v>
      </c>
      <c r="W3" s="7" t="s">
        <v>119</v>
      </c>
      <c r="X3" s="7" t="s">
        <v>115</v>
      </c>
      <c r="Y3" s="7" t="s">
        <v>116</v>
      </c>
      <c r="Z3" s="7" t="s">
        <v>32</v>
      </c>
      <c r="AA3" s="7" t="s">
        <v>33</v>
      </c>
      <c r="AB3" s="7" t="s">
        <v>34</v>
      </c>
      <c r="AC3" s="7" t="s">
        <v>15</v>
      </c>
      <c r="AD3" s="7" t="s">
        <v>16</v>
      </c>
      <c r="AE3" s="7" t="s">
        <v>17</v>
      </c>
      <c r="AF3" s="17" t="s">
        <v>18</v>
      </c>
      <c r="AG3" s="7" t="s">
        <v>19</v>
      </c>
      <c r="AH3" s="7" t="s">
        <v>20</v>
      </c>
      <c r="AI3" s="7" t="s">
        <v>21</v>
      </c>
      <c r="AJ3" s="7" t="s">
        <v>22</v>
      </c>
      <c r="AK3" s="7" t="s">
        <v>23</v>
      </c>
      <c r="AL3" s="7" t="s">
        <v>24</v>
      </c>
      <c r="AM3" s="7" t="s">
        <v>25</v>
      </c>
      <c r="AN3" s="7" t="s">
        <v>26</v>
      </c>
      <c r="AO3" s="7" t="s">
        <v>27</v>
      </c>
      <c r="AP3" s="7" t="s">
        <v>28</v>
      </c>
    </row>
    <row r="4" spans="1:144" x14ac:dyDescent="0.25">
      <c r="A4" s="2" t="s">
        <v>1</v>
      </c>
      <c r="B4" s="4">
        <v>113</v>
      </c>
      <c r="C4" s="1" t="s">
        <v>47</v>
      </c>
      <c r="D4" s="12">
        <v>1970.5</v>
      </c>
      <c r="E4" s="12">
        <v>1644.7</v>
      </c>
      <c r="F4" s="12">
        <v>1520.9</v>
      </c>
      <c r="G4" s="12">
        <v>1972.9</v>
      </c>
      <c r="H4" s="12">
        <v>1766.3</v>
      </c>
      <c r="I4" s="12">
        <v>1758.8</v>
      </c>
      <c r="J4" s="12">
        <v>1560.5</v>
      </c>
      <c r="K4" s="12">
        <v>1824</v>
      </c>
      <c r="L4" s="12">
        <v>1766.3</v>
      </c>
      <c r="M4" s="12">
        <v>1681.3</v>
      </c>
      <c r="N4" s="12">
        <v>1326</v>
      </c>
      <c r="O4" s="12">
        <v>1641.9</v>
      </c>
      <c r="P4" s="12">
        <v>1593.6</v>
      </c>
      <c r="Q4" s="13">
        <v>1490.5</v>
      </c>
      <c r="R4" s="12"/>
      <c r="S4" s="12"/>
      <c r="V4" s="12">
        <v>2230</v>
      </c>
      <c r="W4" s="12">
        <v>2426.2179999999998</v>
      </c>
      <c r="X4" s="12">
        <v>2733.5010000000002</v>
      </c>
      <c r="Y4" s="12">
        <v>3083.3040000000001</v>
      </c>
      <c r="Z4" s="12">
        <v>3335</v>
      </c>
      <c r="AA4" s="12">
        <v>3379</v>
      </c>
      <c r="AB4" s="12">
        <v>4811.8389999999999</v>
      </c>
      <c r="AC4" s="12">
        <v>6833.7460000000001</v>
      </c>
      <c r="AD4" s="12">
        <v>7113.82</v>
      </c>
      <c r="AE4" s="12">
        <v>6415.7439999999997</v>
      </c>
      <c r="AF4" s="13">
        <f>AE4*0.9</f>
        <v>5774.1696000000002</v>
      </c>
      <c r="AG4" s="12">
        <f>AF4*1.09</f>
        <v>6293.8448640000006</v>
      </c>
      <c r="AH4" s="12">
        <f t="shared" ref="AH4:AP4" si="0">AG4*1.09</f>
        <v>6860.2909017600014</v>
      </c>
      <c r="AI4" s="12">
        <f t="shared" si="0"/>
        <v>7477.7170829184024</v>
      </c>
      <c r="AJ4" s="12">
        <f t="shared" si="0"/>
        <v>8150.7116203810592</v>
      </c>
      <c r="AK4" s="12">
        <f t="shared" si="0"/>
        <v>8884.2756662153552</v>
      </c>
      <c r="AL4" s="12">
        <f t="shared" si="0"/>
        <v>9683.8604761747374</v>
      </c>
      <c r="AM4" s="12">
        <f t="shared" si="0"/>
        <v>10555.407919030464</v>
      </c>
      <c r="AN4" s="12">
        <f t="shared" si="0"/>
        <v>11505.394631743206</v>
      </c>
      <c r="AO4" s="12">
        <f t="shared" si="0"/>
        <v>12540.880148600096</v>
      </c>
      <c r="AP4" s="12">
        <f t="shared" si="0"/>
        <v>13669.559361974105</v>
      </c>
    </row>
    <row r="5" spans="1:144" x14ac:dyDescent="0.25">
      <c r="A5" s="2" t="s">
        <v>2</v>
      </c>
      <c r="B5" s="5">
        <v>27.306999999999999</v>
      </c>
      <c r="C5" s="2" t="s">
        <v>48</v>
      </c>
      <c r="D5" s="14">
        <v>-1727.5</v>
      </c>
      <c r="E5" s="14">
        <v>-1473.6</v>
      </c>
      <c r="F5" s="14">
        <v>-1393.9</v>
      </c>
      <c r="G5" s="14">
        <v>-1752.6</v>
      </c>
      <c r="H5" s="14">
        <v>-1586.2</v>
      </c>
      <c r="I5" s="14">
        <v>-1637.1</v>
      </c>
      <c r="J5" s="14">
        <v>-1441.8</v>
      </c>
      <c r="K5" s="14">
        <v>-1633</v>
      </c>
      <c r="L5" s="14">
        <v>-1586.2</v>
      </c>
      <c r="M5" s="14">
        <v>-1571.6</v>
      </c>
      <c r="N5" s="14">
        <v>-1224.8</v>
      </c>
      <c r="O5" s="14">
        <v>-1492.5</v>
      </c>
      <c r="P5" s="14">
        <v>-1446</v>
      </c>
      <c r="Q5" s="15">
        <v>-1396.7</v>
      </c>
      <c r="R5" s="14"/>
      <c r="S5" s="14"/>
      <c r="V5" s="14">
        <f>-304-212.543-1537.9</f>
        <v>-2054.4430000000002</v>
      </c>
      <c r="W5" s="14">
        <f>-387.311-203.347-1612.596</f>
        <v>-2203.2539999999999</v>
      </c>
      <c r="X5" s="14">
        <f>-457.262-216.441-1767.168</f>
        <v>-2440.8710000000001</v>
      </c>
      <c r="Y5" s="14">
        <f>-512.288-226.87-2017.075</f>
        <v>-2756.2330000000002</v>
      </c>
      <c r="Z5" s="14">
        <f>-556.803-171.737-2215.079</f>
        <v>-2943.6190000000001</v>
      </c>
      <c r="AA5" s="14">
        <f>-637.286-168.285-2166.451</f>
        <v>-2972.0219999999999</v>
      </c>
      <c r="AB5" s="14">
        <f>-987.377-299.714-2963.271</f>
        <v>-4250.3620000000001</v>
      </c>
      <c r="AC5" s="14">
        <f>-1699.746-425.25-3963.482</f>
        <v>-6088.4780000000001</v>
      </c>
      <c r="AD5" s="14">
        <f>-1588.977-410.948-4439.502</f>
        <v>-6439.4270000000006</v>
      </c>
      <c r="AE5" s="14">
        <f>-1241.735-4285.279-348</f>
        <v>-5875.0140000000001</v>
      </c>
      <c r="AF5" s="15">
        <f>AE5*0.89</f>
        <v>-5228.7624599999999</v>
      </c>
      <c r="AG5" s="14">
        <f>AF5*1.09</f>
        <v>-5699.3510814000001</v>
      </c>
      <c r="AH5" s="14">
        <f>AG5*1.085</f>
        <v>-6183.7959233189995</v>
      </c>
      <c r="AI5" s="14">
        <f t="shared" ref="AI5:AP5" si="1">AH5*1.085</f>
        <v>-6709.4185768011139</v>
      </c>
      <c r="AJ5" s="14">
        <f t="shared" si="1"/>
        <v>-7279.7191558292079</v>
      </c>
      <c r="AK5" s="14">
        <f t="shared" si="1"/>
        <v>-7898.4952840746901</v>
      </c>
      <c r="AL5" s="14">
        <f t="shared" si="1"/>
        <v>-8569.8673832210388</v>
      </c>
      <c r="AM5" s="14">
        <f t="shared" si="1"/>
        <v>-9298.306110794827</v>
      </c>
      <c r="AN5" s="14">
        <f t="shared" si="1"/>
        <v>-10088.662130212388</v>
      </c>
      <c r="AO5" s="14">
        <f t="shared" si="1"/>
        <v>-10946.19841128044</v>
      </c>
      <c r="AP5" s="14">
        <f t="shared" si="1"/>
        <v>-11876.625276239278</v>
      </c>
    </row>
    <row r="6" spans="1:144" x14ac:dyDescent="0.25">
      <c r="A6" s="2" t="s">
        <v>39</v>
      </c>
      <c r="B6" s="5">
        <f>B4*B5</f>
        <v>3085.6909999999998</v>
      </c>
      <c r="C6" s="2" t="s">
        <v>49</v>
      </c>
      <c r="D6" s="14">
        <v>-45.8</v>
      </c>
      <c r="E6" s="14">
        <v>-34.700000000000003</v>
      </c>
      <c r="F6" s="14">
        <v>-37</v>
      </c>
      <c r="G6" s="14">
        <v>-42.3</v>
      </c>
      <c r="H6" s="14">
        <v>-43.9</v>
      </c>
      <c r="I6" s="14">
        <v>-45.1</v>
      </c>
      <c r="J6" s="14">
        <v>-43.9</v>
      </c>
      <c r="K6" s="14">
        <v>-43.3</v>
      </c>
      <c r="L6" s="14">
        <v>-43.9</v>
      </c>
      <c r="M6" s="14">
        <v>-43.8</v>
      </c>
      <c r="N6" s="14">
        <v>-43.5</v>
      </c>
      <c r="O6" s="14">
        <v>-42.8</v>
      </c>
      <c r="P6" s="14">
        <v>-43.1</v>
      </c>
      <c r="Q6" s="15">
        <v>-42.6</v>
      </c>
      <c r="R6" s="14"/>
      <c r="S6" s="14"/>
      <c r="V6" s="14">
        <v>-28.6</v>
      </c>
      <c r="W6" s="14">
        <v>-10.58</v>
      </c>
      <c r="X6" s="14">
        <v>-5.7</v>
      </c>
      <c r="Y6" s="14">
        <v>-6</v>
      </c>
      <c r="Z6" s="14">
        <v>-73.304000000000002</v>
      </c>
      <c r="AA6" s="14">
        <v>-73.665999999999997</v>
      </c>
      <c r="AB6" s="14">
        <v>-123.572</v>
      </c>
      <c r="AC6" s="14">
        <v>-148.79300000000001</v>
      </c>
      <c r="AD6" s="14">
        <v>-178</v>
      </c>
      <c r="AE6" s="14">
        <v>-174</v>
      </c>
      <c r="AF6" s="15">
        <f>AE6*0.9</f>
        <v>-156.6</v>
      </c>
      <c r="AG6" s="14">
        <f>AF6*1.08</f>
        <v>-169.12800000000001</v>
      </c>
      <c r="AH6" s="14">
        <f t="shared" ref="AH6:AP6" si="2">AG6*1.08</f>
        <v>-182.65824000000003</v>
      </c>
      <c r="AI6" s="14">
        <f t="shared" si="2"/>
        <v>-197.27089920000006</v>
      </c>
      <c r="AJ6" s="14">
        <f t="shared" si="2"/>
        <v>-213.05257113600007</v>
      </c>
      <c r="AK6" s="14">
        <f t="shared" si="2"/>
        <v>-230.0967768268801</v>
      </c>
      <c r="AL6" s="14">
        <f t="shared" si="2"/>
        <v>-248.50451897303051</v>
      </c>
      <c r="AM6" s="14">
        <f t="shared" si="2"/>
        <v>-268.38488049087294</v>
      </c>
      <c r="AN6" s="14">
        <f t="shared" si="2"/>
        <v>-289.85567093014282</v>
      </c>
      <c r="AO6" s="14">
        <f t="shared" si="2"/>
        <v>-313.04412460455427</v>
      </c>
      <c r="AP6" s="14">
        <f t="shared" si="2"/>
        <v>-338.08765457291861</v>
      </c>
    </row>
    <row r="7" spans="1:144" x14ac:dyDescent="0.25">
      <c r="A7" s="2" t="s">
        <v>40</v>
      </c>
      <c r="B7" s="5">
        <v>241</v>
      </c>
      <c r="C7" s="1" t="s">
        <v>50</v>
      </c>
      <c r="D7" s="12">
        <f t="shared" ref="D7:L7" si="3">SUM(D4:D6)</f>
        <v>197.2</v>
      </c>
      <c r="E7" s="12">
        <f t="shared" si="3"/>
        <v>136.40000000000015</v>
      </c>
      <c r="F7" s="12">
        <f t="shared" si="3"/>
        <v>90</v>
      </c>
      <c r="G7" s="12">
        <f t="shared" si="3"/>
        <v>178.00000000000017</v>
      </c>
      <c r="H7" s="12">
        <f t="shared" si="3"/>
        <v>136.1999999999999</v>
      </c>
      <c r="I7" s="12">
        <f t="shared" si="3"/>
        <v>76.600000000000051</v>
      </c>
      <c r="J7" s="12">
        <f t="shared" si="3"/>
        <v>74.80000000000004</v>
      </c>
      <c r="K7" s="12">
        <f t="shared" si="3"/>
        <v>147.69999999999999</v>
      </c>
      <c r="L7" s="12">
        <f t="shared" si="3"/>
        <v>136.1999999999999</v>
      </c>
      <c r="M7" s="12">
        <f>SUM(M4:M6)</f>
        <v>65.900000000000048</v>
      </c>
      <c r="N7" s="12">
        <f>SUM(N4:N6)</f>
        <v>57.700000000000045</v>
      </c>
      <c r="O7" s="12">
        <f>SUM(O4:O6)</f>
        <v>106.60000000000009</v>
      </c>
      <c r="P7" s="12">
        <f>SUM(P4:P6)</f>
        <v>104.49999999999991</v>
      </c>
      <c r="Q7" s="13">
        <f t="shared" ref="Q7:S7" si="4">SUM(Q4:Q6)</f>
        <v>51.199999999999953</v>
      </c>
      <c r="R7" s="12">
        <f t="shared" si="4"/>
        <v>0</v>
      </c>
      <c r="S7" s="12">
        <f t="shared" si="4"/>
        <v>0</v>
      </c>
      <c r="V7" s="12">
        <f t="shared" ref="V7:AE7" si="5">SUM(V4:V6)</f>
        <v>146.95699999999979</v>
      </c>
      <c r="W7" s="12">
        <f t="shared" si="5"/>
        <v>212.38399999999993</v>
      </c>
      <c r="X7" s="12">
        <f t="shared" si="5"/>
        <v>286.93000000000012</v>
      </c>
      <c r="Y7" s="12">
        <f t="shared" si="5"/>
        <v>321.07099999999991</v>
      </c>
      <c r="Z7" s="12">
        <f t="shared" si="5"/>
        <v>318.07699999999988</v>
      </c>
      <c r="AA7" s="12">
        <f t="shared" si="5"/>
        <v>333.31200000000007</v>
      </c>
      <c r="AB7" s="12">
        <f t="shared" si="5"/>
        <v>437.90499999999986</v>
      </c>
      <c r="AC7" s="12">
        <f t="shared" si="5"/>
        <v>596.47500000000002</v>
      </c>
      <c r="AD7" s="12">
        <f t="shared" si="5"/>
        <v>496.39299999999912</v>
      </c>
      <c r="AE7" s="12">
        <f t="shared" si="5"/>
        <v>366.72999999999956</v>
      </c>
      <c r="AF7" s="13">
        <f t="shared" ref="AF7:AP7" si="6">SUM(AF4:AF6)</f>
        <v>388.80714000000023</v>
      </c>
      <c r="AG7" s="12">
        <f t="shared" si="6"/>
        <v>425.36578260000044</v>
      </c>
      <c r="AH7" s="12">
        <f t="shared" si="6"/>
        <v>493.83673844100184</v>
      </c>
      <c r="AI7" s="12">
        <f t="shared" si="6"/>
        <v>571.02760691728849</v>
      </c>
      <c r="AJ7" s="12">
        <f t="shared" si="6"/>
        <v>657.9398934158512</v>
      </c>
      <c r="AK7" s="12">
        <f t="shared" si="6"/>
        <v>755.68360531378494</v>
      </c>
      <c r="AL7" s="12">
        <f t="shared" si="6"/>
        <v>865.48857398066809</v>
      </c>
      <c r="AM7" s="12">
        <f t="shared" si="6"/>
        <v>988.71692774476378</v>
      </c>
      <c r="AN7" s="12">
        <f t="shared" si="6"/>
        <v>1126.876830600675</v>
      </c>
      <c r="AO7" s="12">
        <f t="shared" si="6"/>
        <v>1281.6376127151011</v>
      </c>
      <c r="AP7" s="12">
        <f t="shared" si="6"/>
        <v>1454.8464311619084</v>
      </c>
    </row>
    <row r="8" spans="1:144" x14ac:dyDescent="0.25">
      <c r="A8" s="2" t="s">
        <v>41</v>
      </c>
      <c r="B8" s="5">
        <f>Q38+Q39</f>
        <v>887.8</v>
      </c>
      <c r="C8" s="2" t="s">
        <v>51</v>
      </c>
      <c r="D8" s="14">
        <v>-42.7</v>
      </c>
      <c r="E8" s="14">
        <v>-31.8</v>
      </c>
      <c r="F8" s="14">
        <v>-39.9</v>
      </c>
      <c r="G8" s="14">
        <v>-46.4</v>
      </c>
      <c r="H8" s="14">
        <v>-41.4</v>
      </c>
      <c r="I8" s="14">
        <v>-43.1</v>
      </c>
      <c r="J8" s="14">
        <v>-58.9</v>
      </c>
      <c r="K8" s="14">
        <v>-41.8</v>
      </c>
      <c r="L8" s="14">
        <v>-41.4</v>
      </c>
      <c r="M8" s="14">
        <v>-41.9</v>
      </c>
      <c r="N8" s="14">
        <v>-41.6</v>
      </c>
      <c r="O8" s="14">
        <v>-41.8</v>
      </c>
      <c r="P8" s="14">
        <v>-40.5</v>
      </c>
      <c r="Q8" s="15">
        <v>-40.1</v>
      </c>
      <c r="R8" s="14"/>
      <c r="S8" s="14"/>
      <c r="V8" s="14">
        <v>-11.56</v>
      </c>
      <c r="W8" s="14">
        <v>-11.8</v>
      </c>
      <c r="X8" s="14">
        <v>-11.7</v>
      </c>
      <c r="Y8" s="14">
        <v>-11.9</v>
      </c>
      <c r="Z8" s="14">
        <v>-5</v>
      </c>
      <c r="AA8" s="14">
        <f>-12.301+1.6</f>
        <v>-10.701000000000001</v>
      </c>
      <c r="AB8" s="14">
        <v>-75.247</v>
      </c>
      <c r="AC8" s="14">
        <v>-149.33099999999999</v>
      </c>
      <c r="AD8" s="14">
        <v>-186.53700000000001</v>
      </c>
      <c r="AE8" s="14">
        <v>-166</v>
      </c>
      <c r="AF8" s="15">
        <f>AE8*1.01</f>
        <v>-167.66</v>
      </c>
      <c r="AG8" s="14">
        <f>AF8*1.02</f>
        <v>-171.01320000000001</v>
      </c>
      <c r="AH8" s="14">
        <f t="shared" ref="AH8:AP8" si="7">AG8*1.02</f>
        <v>-174.43346400000001</v>
      </c>
      <c r="AI8" s="14">
        <f t="shared" si="7"/>
        <v>-177.92213328000003</v>
      </c>
      <c r="AJ8" s="14">
        <f t="shared" si="7"/>
        <v>-181.48057594560004</v>
      </c>
      <c r="AK8" s="14">
        <f t="shared" si="7"/>
        <v>-185.11018746451205</v>
      </c>
      <c r="AL8" s="14">
        <f t="shared" si="7"/>
        <v>-188.8123912138023</v>
      </c>
      <c r="AM8" s="14">
        <f t="shared" si="7"/>
        <v>-192.58863903807836</v>
      </c>
      <c r="AN8" s="14">
        <f t="shared" si="7"/>
        <v>-196.44041181883992</v>
      </c>
      <c r="AO8" s="14">
        <f t="shared" si="7"/>
        <v>-200.36922005521672</v>
      </c>
      <c r="AP8" s="14">
        <f t="shared" si="7"/>
        <v>-204.37660445632105</v>
      </c>
    </row>
    <row r="9" spans="1:144" x14ac:dyDescent="0.25">
      <c r="A9" s="3" t="s">
        <v>42</v>
      </c>
      <c r="B9" s="6">
        <f>B6-B7+B8</f>
        <v>3732.491</v>
      </c>
      <c r="C9" s="1" t="s">
        <v>52</v>
      </c>
      <c r="D9" s="12">
        <f t="shared" ref="D9:L9" si="8">SUM(D7:D8)</f>
        <v>154.5</v>
      </c>
      <c r="E9" s="12">
        <f t="shared" si="8"/>
        <v>104.60000000000015</v>
      </c>
      <c r="F9" s="12">
        <f t="shared" si="8"/>
        <v>50.1</v>
      </c>
      <c r="G9" s="12">
        <f t="shared" si="8"/>
        <v>131.60000000000016</v>
      </c>
      <c r="H9" s="12">
        <f t="shared" si="8"/>
        <v>94.799999999999898</v>
      </c>
      <c r="I9" s="12">
        <f t="shared" si="8"/>
        <v>33.50000000000005</v>
      </c>
      <c r="J9" s="12">
        <f t="shared" si="8"/>
        <v>15.900000000000041</v>
      </c>
      <c r="K9" s="12">
        <f t="shared" si="8"/>
        <v>105.89999999999999</v>
      </c>
      <c r="L9" s="12">
        <f t="shared" si="8"/>
        <v>94.799999999999898</v>
      </c>
      <c r="M9" s="12">
        <f>SUM(M7:M8)</f>
        <v>24.00000000000005</v>
      </c>
      <c r="N9" s="12">
        <f>SUM(N7:N8)</f>
        <v>16.100000000000044</v>
      </c>
      <c r="O9" s="12">
        <f>SUM(O7:O8)</f>
        <v>64.800000000000097</v>
      </c>
      <c r="P9" s="12">
        <f>SUM(P7:P8)</f>
        <v>63.999999999999915</v>
      </c>
      <c r="Q9" s="13">
        <f t="shared" ref="Q9:S9" si="9">SUM(Q7:Q8)</f>
        <v>11.099999999999952</v>
      </c>
      <c r="R9" s="12">
        <f t="shared" si="9"/>
        <v>0</v>
      </c>
      <c r="S9" s="12">
        <f t="shared" si="9"/>
        <v>0</v>
      </c>
      <c r="V9" s="12">
        <f t="shared" ref="V9:AE9" si="10">SUM(V7:V8)</f>
        <v>135.39699999999979</v>
      </c>
      <c r="W9" s="12">
        <f t="shared" si="10"/>
        <v>200.58399999999992</v>
      </c>
      <c r="X9" s="12">
        <f t="shared" si="10"/>
        <v>275.23000000000013</v>
      </c>
      <c r="Y9" s="12">
        <f t="shared" si="10"/>
        <v>309.17099999999994</v>
      </c>
      <c r="Z9" s="12">
        <f t="shared" si="10"/>
        <v>313.07699999999988</v>
      </c>
      <c r="AA9" s="12">
        <f t="shared" si="10"/>
        <v>322.61100000000005</v>
      </c>
      <c r="AB9" s="12">
        <f t="shared" si="10"/>
        <v>362.65799999999984</v>
      </c>
      <c r="AC9" s="12">
        <f t="shared" si="10"/>
        <v>447.14400000000001</v>
      </c>
      <c r="AD9" s="12">
        <f t="shared" si="10"/>
        <v>309.85599999999909</v>
      </c>
      <c r="AE9" s="12">
        <f t="shared" si="10"/>
        <v>200.72999999999956</v>
      </c>
      <c r="AF9" s="13">
        <f t="shared" ref="AF9:AP9" si="11">SUM(AF7:AF8)</f>
        <v>221.14714000000023</v>
      </c>
      <c r="AG9" s="12">
        <f t="shared" si="11"/>
        <v>254.35258260000043</v>
      </c>
      <c r="AH9" s="12">
        <f t="shared" si="11"/>
        <v>319.40327444100183</v>
      </c>
      <c r="AI9" s="12">
        <f t="shared" si="11"/>
        <v>393.10547363728847</v>
      </c>
      <c r="AJ9" s="12">
        <f t="shared" si="11"/>
        <v>476.45931747025116</v>
      </c>
      <c r="AK9" s="12">
        <f t="shared" si="11"/>
        <v>570.57341784927291</v>
      </c>
      <c r="AL9" s="12">
        <f t="shared" si="11"/>
        <v>676.67618276686585</v>
      </c>
      <c r="AM9" s="12">
        <f t="shared" si="11"/>
        <v>796.12828870668545</v>
      </c>
      <c r="AN9" s="12">
        <f t="shared" si="11"/>
        <v>930.43641878183507</v>
      </c>
      <c r="AO9" s="12">
        <f t="shared" si="11"/>
        <v>1081.2683926598843</v>
      </c>
      <c r="AP9" s="12">
        <f t="shared" si="11"/>
        <v>1250.4698267055874</v>
      </c>
    </row>
    <row r="10" spans="1:144" x14ac:dyDescent="0.25">
      <c r="C10" s="2" t="s">
        <v>53</v>
      </c>
      <c r="D10" s="14">
        <v>4.2</v>
      </c>
      <c r="E10" s="14">
        <v>66.5</v>
      </c>
      <c r="F10" s="14">
        <v>16.3</v>
      </c>
      <c r="G10" s="14">
        <v>11.6</v>
      </c>
      <c r="H10" s="14">
        <v>3.6</v>
      </c>
      <c r="I10" s="14">
        <v>23.2</v>
      </c>
      <c r="J10" s="14">
        <v>34.299999999999997</v>
      </c>
      <c r="K10" s="14">
        <v>14.4</v>
      </c>
      <c r="L10" s="14">
        <v>3.6</v>
      </c>
      <c r="M10" s="14">
        <v>3</v>
      </c>
      <c r="N10" s="14">
        <v>2.8</v>
      </c>
      <c r="O10" s="14">
        <v>3.8</v>
      </c>
      <c r="P10" s="14">
        <v>2.5</v>
      </c>
      <c r="Q10" s="15">
        <v>2.2000000000000002</v>
      </c>
      <c r="R10" s="14"/>
      <c r="S10" s="14"/>
      <c r="V10" s="14">
        <v>1.1000000000000001</v>
      </c>
      <c r="W10" s="14">
        <v>2.5</v>
      </c>
      <c r="X10" s="14">
        <v>0.61199999999999999</v>
      </c>
      <c r="Y10" s="14">
        <v>0.97899999999999998</v>
      </c>
      <c r="Z10" s="14">
        <v>15.518000000000001</v>
      </c>
      <c r="AA10" s="14">
        <v>15.548</v>
      </c>
      <c r="AB10" s="14">
        <v>20.606999999999999</v>
      </c>
      <c r="AC10" s="14">
        <v>94.962999999999994</v>
      </c>
      <c r="AD10" s="14">
        <v>76</v>
      </c>
      <c r="AE10" s="14">
        <v>12.56</v>
      </c>
      <c r="AF10" s="15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</row>
    <row r="11" spans="1:144" x14ac:dyDescent="0.25">
      <c r="C11" s="2" t="s">
        <v>54</v>
      </c>
      <c r="D11" s="14">
        <v>-25.4</v>
      </c>
      <c r="E11" s="14">
        <v>-17.899999999999999</v>
      </c>
      <c r="F11" s="14">
        <v>-29.2</v>
      </c>
      <c r="G11" s="14">
        <v>-6.5</v>
      </c>
      <c r="H11" s="14">
        <v>-16.3</v>
      </c>
      <c r="I11" s="14">
        <v>-23.6</v>
      </c>
      <c r="J11" s="14">
        <v>-11.5</v>
      </c>
      <c r="K11" s="14">
        <v>-21.3</v>
      </c>
      <c r="L11" s="14">
        <v>-16.3</v>
      </c>
      <c r="M11" s="14">
        <v>-15.1</v>
      </c>
      <c r="N11" s="14">
        <v>-14</v>
      </c>
      <c r="O11" s="14">
        <v>-14.5</v>
      </c>
      <c r="P11" s="14">
        <v>-14.9</v>
      </c>
      <c r="Q11" s="15">
        <v>-9.6</v>
      </c>
      <c r="R11" s="14"/>
      <c r="S11" s="14"/>
      <c r="V11" s="14">
        <v>-20.177</v>
      </c>
      <c r="W11" s="14">
        <v>-11.8</v>
      </c>
      <c r="X11" s="14">
        <v>-9.8000000000000007</v>
      </c>
      <c r="Y11" s="14">
        <v>-6.2</v>
      </c>
      <c r="Z11" s="14">
        <v>-15.4</v>
      </c>
      <c r="AA11" s="14">
        <v>-6.3689999999999998</v>
      </c>
      <c r="AB11" s="14">
        <v>-13.77</v>
      </c>
      <c r="AC11" s="14">
        <v>-58.430999999999997</v>
      </c>
      <c r="AD11" s="14">
        <v>-81.724999999999994</v>
      </c>
      <c r="AE11" s="14">
        <v>-59.271999999999998</v>
      </c>
      <c r="AF11" s="15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</row>
    <row r="12" spans="1:144" x14ac:dyDescent="0.25">
      <c r="C12" s="2" t="s">
        <v>55</v>
      </c>
      <c r="D12" s="14">
        <f t="shared" ref="D12:L12" si="12">SUM(D9:D11)</f>
        <v>133.29999999999998</v>
      </c>
      <c r="E12" s="14">
        <f t="shared" si="12"/>
        <v>153.20000000000013</v>
      </c>
      <c r="F12" s="14">
        <f t="shared" si="12"/>
        <v>37.200000000000003</v>
      </c>
      <c r="G12" s="14">
        <f t="shared" si="12"/>
        <v>136.70000000000016</v>
      </c>
      <c r="H12" s="14">
        <f t="shared" si="12"/>
        <v>82.099999999999895</v>
      </c>
      <c r="I12" s="14">
        <f t="shared" si="12"/>
        <v>33.100000000000044</v>
      </c>
      <c r="J12" s="14">
        <f t="shared" si="12"/>
        <v>38.700000000000038</v>
      </c>
      <c r="K12" s="14">
        <f t="shared" si="12"/>
        <v>99</v>
      </c>
      <c r="L12" s="14">
        <f t="shared" si="12"/>
        <v>82.099999999999895</v>
      </c>
      <c r="M12" s="14">
        <f>SUM(M9:M11)</f>
        <v>11.90000000000005</v>
      </c>
      <c r="N12" s="14">
        <f>SUM(N9:N11)</f>
        <v>4.9000000000000448</v>
      </c>
      <c r="O12" s="14">
        <f>SUM(O9:O11)</f>
        <v>54.100000000000094</v>
      </c>
      <c r="P12" s="14">
        <f>SUM(P9:P11)</f>
        <v>51.599999999999916</v>
      </c>
      <c r="Q12" s="15">
        <f t="shared" ref="Q12:S12" si="13">SUM(Q9:Q11)</f>
        <v>3.6999999999999513</v>
      </c>
      <c r="R12" s="14">
        <f t="shared" si="13"/>
        <v>0</v>
      </c>
      <c r="S12" s="14">
        <f t="shared" si="13"/>
        <v>0</v>
      </c>
      <c r="V12" s="14">
        <f t="shared" ref="V12:AE12" si="14">SUM(V9:V11)</f>
        <v>116.31999999999979</v>
      </c>
      <c r="W12" s="14">
        <f t="shared" si="14"/>
        <v>191.28399999999991</v>
      </c>
      <c r="X12" s="14">
        <f t="shared" si="14"/>
        <v>266.04200000000014</v>
      </c>
      <c r="Y12" s="14">
        <f t="shared" si="14"/>
        <v>303.94999999999993</v>
      </c>
      <c r="Z12" s="14">
        <f t="shared" si="14"/>
        <v>313.19499999999994</v>
      </c>
      <c r="AA12" s="14">
        <f t="shared" si="14"/>
        <v>331.79000000000008</v>
      </c>
      <c r="AB12" s="14">
        <f t="shared" si="14"/>
        <v>369.49499999999989</v>
      </c>
      <c r="AC12" s="14">
        <f t="shared" si="14"/>
        <v>483.67599999999999</v>
      </c>
      <c r="AD12" s="14">
        <f t="shared" si="14"/>
        <v>304.13099999999906</v>
      </c>
      <c r="AE12" s="14">
        <f t="shared" si="14"/>
        <v>154.01799999999957</v>
      </c>
      <c r="AF12" s="15">
        <f t="shared" ref="AF12:AP12" si="15">SUM(AF9:AF11)</f>
        <v>221.14714000000023</v>
      </c>
      <c r="AG12" s="14">
        <f t="shared" si="15"/>
        <v>254.35258260000043</v>
      </c>
      <c r="AH12" s="14">
        <f t="shared" si="15"/>
        <v>319.40327444100183</v>
      </c>
      <c r="AI12" s="14">
        <f t="shared" si="15"/>
        <v>393.10547363728847</v>
      </c>
      <c r="AJ12" s="14">
        <f t="shared" si="15"/>
        <v>476.45931747025116</v>
      </c>
      <c r="AK12" s="14">
        <f t="shared" si="15"/>
        <v>570.57341784927291</v>
      </c>
      <c r="AL12" s="14">
        <f t="shared" si="15"/>
        <v>676.67618276686585</v>
      </c>
      <c r="AM12" s="14">
        <f t="shared" si="15"/>
        <v>796.12828870668545</v>
      </c>
      <c r="AN12" s="14">
        <f t="shared" si="15"/>
        <v>930.43641878183507</v>
      </c>
      <c r="AO12" s="14">
        <f t="shared" si="15"/>
        <v>1081.2683926598843</v>
      </c>
      <c r="AP12" s="14">
        <f t="shared" si="15"/>
        <v>1250.4698267055874</v>
      </c>
    </row>
    <row r="13" spans="1:144" x14ac:dyDescent="0.25">
      <c r="C13" s="2" t="s">
        <v>56</v>
      </c>
      <c r="D13" s="14">
        <v>-29.2</v>
      </c>
      <c r="E13" s="14">
        <v>-22.9</v>
      </c>
      <c r="F13" s="14">
        <v>-16</v>
      </c>
      <c r="G13" s="14">
        <v>-17.7</v>
      </c>
      <c r="H13" s="14">
        <v>-18.2</v>
      </c>
      <c r="I13" s="14">
        <v>-13.2</v>
      </c>
      <c r="J13" s="14">
        <v>-12.4</v>
      </c>
      <c r="K13" s="14">
        <v>-7.5</v>
      </c>
      <c r="L13" s="14">
        <v>-18.2</v>
      </c>
      <c r="M13" s="14">
        <v>-6.4</v>
      </c>
      <c r="N13" s="14">
        <v>-1.7</v>
      </c>
      <c r="O13" s="14">
        <v>-16.3</v>
      </c>
      <c r="P13" s="14">
        <v>-12.1</v>
      </c>
      <c r="Q13" s="15">
        <v>-3</v>
      </c>
      <c r="R13" s="14"/>
      <c r="S13" s="14"/>
      <c r="V13" s="14">
        <v>-24</v>
      </c>
      <c r="W13" s="14">
        <v>-47.2</v>
      </c>
      <c r="X13" s="14">
        <v>-64.3</v>
      </c>
      <c r="Y13" s="14">
        <v>-71.7</v>
      </c>
      <c r="Z13" s="14">
        <v>-71.451999999999998</v>
      </c>
      <c r="AA13" s="14">
        <v>-74</v>
      </c>
      <c r="AB13" s="14">
        <v>-75.317999999999998</v>
      </c>
      <c r="AC13" s="14">
        <v>-91.489000000000004</v>
      </c>
      <c r="AD13" s="14">
        <v>-62.292999999999999</v>
      </c>
      <c r="AE13" s="14">
        <v>-42.667999999999999</v>
      </c>
      <c r="AF13" s="15">
        <f>AF12*-0.205</f>
        <v>-45.335163700000045</v>
      </c>
      <c r="AG13" s="14">
        <f t="shared" ref="AG13:AP13" si="16">AG12*-0.205</f>
        <v>-52.142279433000084</v>
      </c>
      <c r="AH13" s="14">
        <f t="shared" si="16"/>
        <v>-65.477671260405373</v>
      </c>
      <c r="AI13" s="14">
        <f t="shared" si="16"/>
        <v>-80.586622095644131</v>
      </c>
      <c r="AJ13" s="14">
        <f t="shared" si="16"/>
        <v>-97.674160081401482</v>
      </c>
      <c r="AK13" s="14">
        <f t="shared" si="16"/>
        <v>-116.96755065910094</v>
      </c>
      <c r="AL13" s="14">
        <f t="shared" si="16"/>
        <v>-138.71861746720748</v>
      </c>
      <c r="AM13" s="14">
        <f t="shared" si="16"/>
        <v>-163.20629918487052</v>
      </c>
      <c r="AN13" s="14">
        <f t="shared" si="16"/>
        <v>-190.73946585027619</v>
      </c>
      <c r="AO13" s="14">
        <f t="shared" si="16"/>
        <v>-221.66002049527626</v>
      </c>
      <c r="AP13" s="14">
        <f t="shared" si="16"/>
        <v>-256.3463144746454</v>
      </c>
    </row>
    <row r="14" spans="1:144" x14ac:dyDescent="0.25">
      <c r="C14" s="1" t="s">
        <v>57</v>
      </c>
      <c r="D14" s="12">
        <f t="shared" ref="D14:L14" si="17">SUM(D12:D13)</f>
        <v>104.09999999999998</v>
      </c>
      <c r="E14" s="12">
        <f t="shared" si="17"/>
        <v>130.30000000000013</v>
      </c>
      <c r="F14" s="12">
        <f t="shared" si="17"/>
        <v>21.200000000000003</v>
      </c>
      <c r="G14" s="12">
        <f t="shared" si="17"/>
        <v>119.00000000000016</v>
      </c>
      <c r="H14" s="12">
        <f t="shared" si="17"/>
        <v>63.899999999999892</v>
      </c>
      <c r="I14" s="12">
        <f t="shared" si="17"/>
        <v>19.900000000000045</v>
      </c>
      <c r="J14" s="12">
        <f t="shared" si="17"/>
        <v>26.30000000000004</v>
      </c>
      <c r="K14" s="12">
        <f t="shared" si="17"/>
        <v>91.5</v>
      </c>
      <c r="L14" s="12">
        <f t="shared" si="17"/>
        <v>63.899999999999892</v>
      </c>
      <c r="M14" s="12">
        <f>SUM(M12:M13)</f>
        <v>5.5000000000000497</v>
      </c>
      <c r="N14" s="12">
        <f>SUM(N12:N13)</f>
        <v>3.2000000000000446</v>
      </c>
      <c r="O14" s="12">
        <f>SUM(O12:O13)</f>
        <v>37.800000000000097</v>
      </c>
      <c r="P14" s="12">
        <f>SUM(P12:P13)</f>
        <v>39.499999999999915</v>
      </c>
      <c r="Q14" s="13">
        <f t="shared" ref="Q14:Y14" si="18">SUM(Q12:Q13)</f>
        <v>0.69999999999995133</v>
      </c>
      <c r="R14" s="12">
        <f t="shared" si="18"/>
        <v>0</v>
      </c>
      <c r="S14" s="12">
        <f t="shared" si="18"/>
        <v>0</v>
      </c>
      <c r="T14" s="12"/>
      <c r="U14" s="12"/>
      <c r="V14" s="12">
        <f t="shared" si="18"/>
        <v>92.319999999999794</v>
      </c>
      <c r="W14" s="12">
        <f t="shared" si="18"/>
        <v>144.08399999999989</v>
      </c>
      <c r="X14" s="12">
        <f t="shared" si="18"/>
        <v>201.74200000000013</v>
      </c>
      <c r="Y14" s="12">
        <f t="shared" si="18"/>
        <v>232.24999999999994</v>
      </c>
      <c r="Z14" s="12">
        <f t="shared" ref="Z14:AE14" si="19">SUM(Z12:Z13)</f>
        <v>241.74299999999994</v>
      </c>
      <c r="AA14" s="12">
        <f t="shared" si="19"/>
        <v>257.79000000000008</v>
      </c>
      <c r="AB14" s="12">
        <f t="shared" si="19"/>
        <v>294.17699999999991</v>
      </c>
      <c r="AC14" s="12">
        <f t="shared" si="19"/>
        <v>392.18700000000001</v>
      </c>
      <c r="AD14" s="12">
        <f t="shared" si="19"/>
        <v>241.83799999999906</v>
      </c>
      <c r="AE14" s="12">
        <f t="shared" si="19"/>
        <v>111.34999999999957</v>
      </c>
      <c r="AF14" s="13">
        <f t="shared" ref="AF14:AP14" si="20">SUM(AF12:AF13)</f>
        <v>175.8119763000002</v>
      </c>
      <c r="AG14" s="12">
        <f t="shared" si="20"/>
        <v>202.21030316700035</v>
      </c>
      <c r="AH14" s="12">
        <f t="shared" si="20"/>
        <v>253.92560318059645</v>
      </c>
      <c r="AI14" s="12">
        <f t="shared" si="20"/>
        <v>312.51885154164432</v>
      </c>
      <c r="AJ14" s="12">
        <f t="shared" si="20"/>
        <v>378.78515738884971</v>
      </c>
      <c r="AK14" s="12">
        <f t="shared" si="20"/>
        <v>453.60586719017198</v>
      </c>
      <c r="AL14" s="12">
        <f t="shared" si="20"/>
        <v>537.95756529965843</v>
      </c>
      <c r="AM14" s="12">
        <f t="shared" si="20"/>
        <v>632.92198952181491</v>
      </c>
      <c r="AN14" s="12">
        <f t="shared" si="20"/>
        <v>739.69695293155883</v>
      </c>
      <c r="AO14" s="12">
        <f t="shared" si="20"/>
        <v>859.608372164608</v>
      </c>
      <c r="AP14" s="12">
        <f t="shared" si="20"/>
        <v>994.12351223094197</v>
      </c>
      <c r="AQ14" s="12">
        <f>AP14*(1+$AS$18)</f>
        <v>984.18227710863255</v>
      </c>
      <c r="AR14" s="12">
        <f t="shared" ref="AR14:DC14" si="21">AQ14*(1+$AS$18)</f>
        <v>974.34045433754625</v>
      </c>
      <c r="AS14" s="12">
        <f t="shared" si="21"/>
        <v>964.59704979417074</v>
      </c>
      <c r="AT14" s="12">
        <f t="shared" si="21"/>
        <v>954.95107929622907</v>
      </c>
      <c r="AU14" s="12">
        <f t="shared" si="21"/>
        <v>945.40156850326673</v>
      </c>
      <c r="AV14" s="12">
        <f t="shared" si="21"/>
        <v>935.94755281823404</v>
      </c>
      <c r="AW14" s="12">
        <f t="shared" si="21"/>
        <v>926.58807729005173</v>
      </c>
      <c r="AX14" s="12">
        <f t="shared" si="21"/>
        <v>917.32219651715116</v>
      </c>
      <c r="AY14" s="12">
        <f t="shared" si="21"/>
        <v>908.14897455197968</v>
      </c>
      <c r="AZ14" s="12">
        <f t="shared" si="21"/>
        <v>899.0674848064599</v>
      </c>
      <c r="BA14" s="12">
        <f t="shared" si="21"/>
        <v>890.0768099583953</v>
      </c>
      <c r="BB14" s="12">
        <f t="shared" si="21"/>
        <v>881.17604185881135</v>
      </c>
      <c r="BC14" s="12">
        <f t="shared" si="21"/>
        <v>872.36428144022318</v>
      </c>
      <c r="BD14" s="12">
        <f t="shared" si="21"/>
        <v>863.640638625821</v>
      </c>
      <c r="BE14" s="12">
        <f t="shared" si="21"/>
        <v>855.00423223956273</v>
      </c>
      <c r="BF14" s="12">
        <f t="shared" si="21"/>
        <v>846.45418991716713</v>
      </c>
      <c r="BG14" s="12">
        <f t="shared" si="21"/>
        <v>837.98964801799548</v>
      </c>
      <c r="BH14" s="12">
        <f t="shared" si="21"/>
        <v>829.60975153781555</v>
      </c>
      <c r="BI14" s="12">
        <f t="shared" si="21"/>
        <v>821.31365402243739</v>
      </c>
      <c r="BJ14" s="12">
        <f t="shared" si="21"/>
        <v>813.10051748221304</v>
      </c>
      <c r="BK14" s="12">
        <f t="shared" si="21"/>
        <v>804.96951230739091</v>
      </c>
      <c r="BL14" s="12">
        <f t="shared" si="21"/>
        <v>796.91981718431703</v>
      </c>
      <c r="BM14" s="12">
        <f t="shared" si="21"/>
        <v>788.95061901247379</v>
      </c>
      <c r="BN14" s="12">
        <f t="shared" si="21"/>
        <v>781.06111282234906</v>
      </c>
      <c r="BO14" s="12">
        <f t="shared" si="21"/>
        <v>773.25050169412555</v>
      </c>
      <c r="BP14" s="12">
        <f t="shared" si="21"/>
        <v>765.51799667718433</v>
      </c>
      <c r="BQ14" s="12">
        <f t="shared" si="21"/>
        <v>757.86281671041252</v>
      </c>
      <c r="BR14" s="12">
        <f t="shared" si="21"/>
        <v>750.28418854330835</v>
      </c>
      <c r="BS14" s="12">
        <f t="shared" si="21"/>
        <v>742.78134665787525</v>
      </c>
      <c r="BT14" s="12">
        <f t="shared" si="21"/>
        <v>735.35353319129649</v>
      </c>
      <c r="BU14" s="12">
        <f t="shared" si="21"/>
        <v>727.99999785938348</v>
      </c>
      <c r="BV14" s="12">
        <f t="shared" si="21"/>
        <v>720.71999788078961</v>
      </c>
      <c r="BW14" s="12">
        <f t="shared" si="21"/>
        <v>713.51279790198168</v>
      </c>
      <c r="BX14" s="12">
        <f t="shared" si="21"/>
        <v>706.3776699229619</v>
      </c>
      <c r="BY14" s="12">
        <f t="shared" si="21"/>
        <v>699.31389322373229</v>
      </c>
      <c r="BZ14" s="12">
        <f t="shared" si="21"/>
        <v>692.32075429149495</v>
      </c>
      <c r="CA14" s="12">
        <f t="shared" si="21"/>
        <v>685.39754674858</v>
      </c>
      <c r="CB14" s="12">
        <f t="shared" si="21"/>
        <v>678.54357128109416</v>
      </c>
      <c r="CC14" s="12">
        <f t="shared" si="21"/>
        <v>671.75813556828325</v>
      </c>
      <c r="CD14" s="12">
        <f t="shared" si="21"/>
        <v>665.04055421260045</v>
      </c>
      <c r="CE14" s="12">
        <f t="shared" si="21"/>
        <v>658.39014867047445</v>
      </c>
      <c r="CF14" s="12">
        <f t="shared" si="21"/>
        <v>651.80624718376964</v>
      </c>
      <c r="CG14" s="12">
        <f t="shared" si="21"/>
        <v>645.28818471193199</v>
      </c>
      <c r="CH14" s="12">
        <f t="shared" si="21"/>
        <v>638.83530286481266</v>
      </c>
      <c r="CI14" s="12">
        <f t="shared" si="21"/>
        <v>632.44694983616455</v>
      </c>
      <c r="CJ14" s="12">
        <f t="shared" si="21"/>
        <v>626.12248033780293</v>
      </c>
      <c r="CK14" s="12">
        <f t="shared" si="21"/>
        <v>619.86125553442491</v>
      </c>
      <c r="CL14" s="12">
        <f t="shared" si="21"/>
        <v>613.66264297908072</v>
      </c>
      <c r="CM14" s="12">
        <f t="shared" si="21"/>
        <v>607.52601654928992</v>
      </c>
      <c r="CN14" s="12">
        <f t="shared" si="21"/>
        <v>601.45075638379706</v>
      </c>
      <c r="CO14" s="12">
        <f t="shared" si="21"/>
        <v>595.43624881995913</v>
      </c>
      <c r="CP14" s="12">
        <f t="shared" si="21"/>
        <v>589.48188633175948</v>
      </c>
      <c r="CQ14" s="12">
        <f t="shared" si="21"/>
        <v>583.58706746844189</v>
      </c>
      <c r="CR14" s="12">
        <f t="shared" si="21"/>
        <v>577.75119679375746</v>
      </c>
      <c r="CS14" s="12">
        <f t="shared" si="21"/>
        <v>571.97368482581987</v>
      </c>
      <c r="CT14" s="12">
        <f t="shared" si="21"/>
        <v>566.25394797756167</v>
      </c>
      <c r="CU14" s="12">
        <f t="shared" si="21"/>
        <v>560.59140849778601</v>
      </c>
      <c r="CV14" s="12">
        <f t="shared" si="21"/>
        <v>554.98549441280818</v>
      </c>
      <c r="CW14" s="12">
        <f t="shared" si="21"/>
        <v>549.43563946868005</v>
      </c>
      <c r="CX14" s="12">
        <f t="shared" si="21"/>
        <v>543.94128307399319</v>
      </c>
      <c r="CY14" s="12">
        <f t="shared" si="21"/>
        <v>538.50187024325328</v>
      </c>
      <c r="CZ14" s="12">
        <f t="shared" si="21"/>
        <v>533.11685154082079</v>
      </c>
      <c r="DA14" s="12">
        <f t="shared" si="21"/>
        <v>527.7856830254126</v>
      </c>
      <c r="DB14" s="12">
        <f t="shared" si="21"/>
        <v>522.50782619515849</v>
      </c>
      <c r="DC14" s="12">
        <f t="shared" si="21"/>
        <v>517.28274793320691</v>
      </c>
      <c r="DD14" s="12">
        <f t="shared" ref="DD14:EN14" si="22">DC14*(1+$AS$18)</f>
        <v>512.10992045387479</v>
      </c>
      <c r="DE14" s="12">
        <f t="shared" si="22"/>
        <v>506.98882124933601</v>
      </c>
      <c r="DF14" s="12">
        <f t="shared" si="22"/>
        <v>501.91893303684265</v>
      </c>
      <c r="DG14" s="12">
        <f t="shared" si="22"/>
        <v>496.89974370647423</v>
      </c>
      <c r="DH14" s="12">
        <f t="shared" si="22"/>
        <v>491.9307462694095</v>
      </c>
      <c r="DI14" s="12">
        <f t="shared" si="22"/>
        <v>487.01143880671538</v>
      </c>
      <c r="DJ14" s="12">
        <f t="shared" si="22"/>
        <v>482.1413244186482</v>
      </c>
      <c r="DK14" s="12">
        <f t="shared" si="22"/>
        <v>477.31991117446171</v>
      </c>
      <c r="DL14" s="12">
        <f t="shared" si="22"/>
        <v>472.54671206271706</v>
      </c>
      <c r="DM14" s="12">
        <f t="shared" si="22"/>
        <v>467.82124494208989</v>
      </c>
      <c r="DN14" s="12">
        <f t="shared" si="22"/>
        <v>463.14303249266897</v>
      </c>
      <c r="DO14" s="12">
        <f t="shared" si="22"/>
        <v>458.5116021677423</v>
      </c>
      <c r="DP14" s="12">
        <f t="shared" si="22"/>
        <v>453.92648614606486</v>
      </c>
      <c r="DQ14" s="12">
        <f t="shared" si="22"/>
        <v>449.38722128460421</v>
      </c>
      <c r="DR14" s="12">
        <f t="shared" si="22"/>
        <v>444.89334907175817</v>
      </c>
      <c r="DS14" s="12">
        <f t="shared" si="22"/>
        <v>440.44441558104057</v>
      </c>
      <c r="DT14" s="12">
        <f t="shared" si="22"/>
        <v>436.03997142523019</v>
      </c>
      <c r="DU14" s="12">
        <f t="shared" si="22"/>
        <v>431.67957171097788</v>
      </c>
      <c r="DV14" s="12">
        <f t="shared" si="22"/>
        <v>427.36277599386813</v>
      </c>
      <c r="DW14" s="12">
        <f t="shared" si="22"/>
        <v>423.08914823392945</v>
      </c>
      <c r="DX14" s="12">
        <f t="shared" si="22"/>
        <v>418.85825675159015</v>
      </c>
      <c r="DY14" s="12">
        <f t="shared" si="22"/>
        <v>414.66967418407427</v>
      </c>
      <c r="DZ14" s="12">
        <f t="shared" si="22"/>
        <v>410.52297744223353</v>
      </c>
      <c r="EA14" s="12">
        <f t="shared" si="22"/>
        <v>406.41774766781117</v>
      </c>
      <c r="EB14" s="12">
        <f t="shared" si="22"/>
        <v>402.35357019113303</v>
      </c>
      <c r="EC14" s="12">
        <f t="shared" si="22"/>
        <v>398.3300344892217</v>
      </c>
      <c r="ED14" s="12">
        <f t="shared" si="22"/>
        <v>394.3467341443295</v>
      </c>
      <c r="EE14" s="12">
        <f t="shared" si="22"/>
        <v>390.40326680288621</v>
      </c>
      <c r="EF14" s="12">
        <f t="shared" si="22"/>
        <v>386.49923413485732</v>
      </c>
      <c r="EG14" s="12">
        <f t="shared" si="22"/>
        <v>382.63424179350875</v>
      </c>
      <c r="EH14" s="12">
        <f t="shared" si="22"/>
        <v>378.80789937557364</v>
      </c>
      <c r="EI14" s="12">
        <f t="shared" si="22"/>
        <v>375.01982038181791</v>
      </c>
      <c r="EJ14" s="12">
        <f t="shared" si="22"/>
        <v>371.26962217799974</v>
      </c>
      <c r="EK14" s="12">
        <f t="shared" si="22"/>
        <v>367.55692595621974</v>
      </c>
      <c r="EL14" s="12">
        <f t="shared" si="22"/>
        <v>363.88135669665752</v>
      </c>
      <c r="EM14" s="12">
        <f t="shared" si="22"/>
        <v>360.24254312969094</v>
      </c>
      <c r="EN14" s="12">
        <f t="shared" si="22"/>
        <v>356.64011769839402</v>
      </c>
    </row>
    <row r="15" spans="1:144" x14ac:dyDescent="0.25">
      <c r="C15" s="2" t="s">
        <v>58</v>
      </c>
      <c r="D15" s="9">
        <v>27.349</v>
      </c>
      <c r="E15" s="9">
        <v>27.349</v>
      </c>
      <c r="F15" s="9">
        <v>27.349</v>
      </c>
      <c r="G15" s="9">
        <v>27.349</v>
      </c>
      <c r="H15" s="9">
        <v>27.349</v>
      </c>
      <c r="I15" s="9">
        <v>27.349</v>
      </c>
      <c r="J15" s="9">
        <v>27.349</v>
      </c>
      <c r="K15" s="9">
        <v>27.349</v>
      </c>
      <c r="L15" s="9">
        <v>27.349</v>
      </c>
      <c r="M15" s="9">
        <v>27.306999999999999</v>
      </c>
      <c r="N15" s="9">
        <v>27.306999999999999</v>
      </c>
      <c r="O15" s="9">
        <v>27.306999999999999</v>
      </c>
      <c r="P15" s="9">
        <v>27.306999999999999</v>
      </c>
      <c r="Q15" s="8">
        <v>27.306999999999999</v>
      </c>
      <c r="R15" s="9">
        <v>27.306999999999999</v>
      </c>
      <c r="S15" s="9">
        <v>27.306999999999999</v>
      </c>
      <c r="V15" s="2">
        <v>18.388999999999999</v>
      </c>
      <c r="W15" s="2">
        <v>18.914000000000001</v>
      </c>
      <c r="X15" s="2">
        <v>19.138999999999999</v>
      </c>
      <c r="Y15" s="9">
        <v>19.253</v>
      </c>
      <c r="Z15" s="9">
        <v>19.254000000000001</v>
      </c>
      <c r="AA15" s="9">
        <v>19.28</v>
      </c>
      <c r="AB15" s="9">
        <v>23.725999999999999</v>
      </c>
      <c r="AC15" s="9">
        <v>27.408999999999999</v>
      </c>
      <c r="AD15" s="9">
        <v>27.306999999999999</v>
      </c>
      <c r="AE15" s="9">
        <v>27.306999999999999</v>
      </c>
      <c r="AF15" s="8">
        <v>27.306999999999999</v>
      </c>
      <c r="AG15" s="9">
        <v>27.306999999999999</v>
      </c>
      <c r="AH15" s="9">
        <v>27.306999999999999</v>
      </c>
      <c r="AI15" s="9">
        <v>27.306999999999999</v>
      </c>
      <c r="AJ15" s="9">
        <v>27.306999999999999</v>
      </c>
      <c r="AK15" s="9">
        <v>27.306999999999999</v>
      </c>
      <c r="AL15" s="9">
        <v>27.306999999999999</v>
      </c>
      <c r="AM15" s="9">
        <v>27.306999999999999</v>
      </c>
      <c r="AN15" s="9">
        <v>27.306999999999999</v>
      </c>
      <c r="AO15" s="9">
        <v>27.306999999999999</v>
      </c>
      <c r="AP15" s="9">
        <v>27.306999999999999</v>
      </c>
    </row>
    <row r="16" spans="1:144" x14ac:dyDescent="0.25">
      <c r="C16" s="2" t="s">
        <v>59</v>
      </c>
      <c r="D16" s="19">
        <f t="shared" ref="D16:O16" si="23">D14/D15</f>
        <v>3.8063548941460374</v>
      </c>
      <c r="E16" s="19">
        <f t="shared" si="23"/>
        <v>4.7643423891184362</v>
      </c>
      <c r="F16" s="19">
        <f t="shared" si="23"/>
        <v>0.77516545394712799</v>
      </c>
      <c r="G16" s="19">
        <f t="shared" si="23"/>
        <v>4.3511645764013362</v>
      </c>
      <c r="H16" s="19">
        <f t="shared" si="23"/>
        <v>2.3364656843028957</v>
      </c>
      <c r="I16" s="19">
        <f t="shared" si="23"/>
        <v>0.72763172328056036</v>
      </c>
      <c r="J16" s="19">
        <f t="shared" si="23"/>
        <v>0.96164393579290064</v>
      </c>
      <c r="K16" s="19">
        <f t="shared" si="23"/>
        <v>3.345643350762368</v>
      </c>
      <c r="L16" s="19">
        <f t="shared" si="23"/>
        <v>2.3364656843028957</v>
      </c>
      <c r="M16" s="19">
        <f t="shared" si="23"/>
        <v>0.20141355696341781</v>
      </c>
      <c r="N16" s="19">
        <f t="shared" si="23"/>
        <v>0.11718606950598912</v>
      </c>
      <c r="O16" s="19">
        <f t="shared" si="23"/>
        <v>1.3842604460394807</v>
      </c>
      <c r="P16" s="19">
        <f>P14/P15</f>
        <v>1.4465155454645298</v>
      </c>
      <c r="Q16" s="22">
        <f t="shared" ref="Q16:S16" si="24">Q14/Q15</f>
        <v>2.5634452704432979E-2</v>
      </c>
      <c r="R16" s="19">
        <f t="shared" si="24"/>
        <v>0</v>
      </c>
      <c r="S16" s="19">
        <f t="shared" si="24"/>
        <v>0</v>
      </c>
      <c r="V16" s="19">
        <f t="shared" ref="V16:AC16" si="25">V14/V15</f>
        <v>5.0203926260264176</v>
      </c>
      <c r="W16" s="19">
        <f t="shared" si="25"/>
        <v>7.6178492122237431</v>
      </c>
      <c r="X16" s="19">
        <f t="shared" si="25"/>
        <v>10.540885103714935</v>
      </c>
      <c r="Y16" s="19">
        <f t="shared" si="25"/>
        <v>12.063055108294808</v>
      </c>
      <c r="Z16" s="19">
        <f t="shared" si="25"/>
        <v>12.555468993455902</v>
      </c>
      <c r="AA16" s="19">
        <f t="shared" si="25"/>
        <v>13.370850622406643</v>
      </c>
      <c r="AB16" s="19">
        <f t="shared" si="25"/>
        <v>12.398929444491271</v>
      </c>
      <c r="AC16" s="19">
        <f t="shared" si="25"/>
        <v>14.308694224524793</v>
      </c>
      <c r="AD16" s="19">
        <f>AD14/AD15</f>
        <v>8.8562639616215275</v>
      </c>
      <c r="AE16" s="19">
        <f>AE14/AE15</f>
        <v>4.0777090123411419</v>
      </c>
      <c r="AF16" s="22">
        <f t="shared" ref="AF16:AP16" si="26">AF14/AF15</f>
        <v>6.4383482733365147</v>
      </c>
      <c r="AG16" s="19">
        <f t="shared" si="26"/>
        <v>7.4050720755484072</v>
      </c>
      <c r="AH16" s="19">
        <f t="shared" si="26"/>
        <v>9.2989198073972421</v>
      </c>
      <c r="AI16" s="19">
        <f t="shared" si="26"/>
        <v>11.444642455840786</v>
      </c>
      <c r="AJ16" s="19">
        <f t="shared" si="26"/>
        <v>13.871357431751921</v>
      </c>
      <c r="AK16" s="19">
        <f t="shared" si="26"/>
        <v>16.611340212772255</v>
      </c>
      <c r="AL16" s="19">
        <f t="shared" si="26"/>
        <v>19.700353949524242</v>
      </c>
      <c r="AM16" s="19">
        <f t="shared" si="26"/>
        <v>23.178012579991027</v>
      </c>
      <c r="AN16" s="19">
        <f t="shared" si="26"/>
        <v>27.088180793626503</v>
      </c>
      <c r="AO16" s="19">
        <f t="shared" si="26"/>
        <v>31.479414515128283</v>
      </c>
      <c r="AP16" s="19">
        <f t="shared" si="26"/>
        <v>36.405445938072361</v>
      </c>
    </row>
    <row r="17" spans="3:45" x14ac:dyDescent="0.25">
      <c r="E17" s="9"/>
      <c r="F17" s="9"/>
      <c r="G17" s="9"/>
      <c r="H17" s="9"/>
      <c r="I17" s="9"/>
      <c r="J17" s="9"/>
      <c r="K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R17" s="2" t="s">
        <v>108</v>
      </c>
      <c r="AS17" s="25">
        <v>0.09</v>
      </c>
    </row>
    <row r="18" spans="3:45" x14ac:dyDescent="0.25">
      <c r="C18" s="1" t="s">
        <v>43</v>
      </c>
      <c r="D18" s="10"/>
      <c r="E18" s="10"/>
      <c r="F18" s="10"/>
      <c r="G18" s="10"/>
      <c r="H18" s="21">
        <f t="shared" ref="H18:O18" si="27">(H4-D4)/D4</f>
        <v>-0.10362852068003048</v>
      </c>
      <c r="I18" s="21">
        <f t="shared" si="27"/>
        <v>6.9374353985529214E-2</v>
      </c>
      <c r="J18" s="21">
        <f t="shared" si="27"/>
        <v>2.6037214807022098E-2</v>
      </c>
      <c r="K18" s="21">
        <f t="shared" si="27"/>
        <v>-7.5472654468042008E-2</v>
      </c>
      <c r="L18" s="21">
        <f t="shared" si="27"/>
        <v>0</v>
      </c>
      <c r="M18" s="21">
        <f t="shared" si="27"/>
        <v>-4.4064134637252672E-2</v>
      </c>
      <c r="N18" s="21">
        <f t="shared" si="27"/>
        <v>-0.15027234860621597</v>
      </c>
      <c r="O18" s="21">
        <f t="shared" si="27"/>
        <v>-9.983552631578943E-2</v>
      </c>
      <c r="P18" s="21">
        <f>(P4-L4)/L4</f>
        <v>-9.7775009907716717E-2</v>
      </c>
      <c r="Q18" s="23">
        <f t="shared" ref="Q18:S18" si="28">(Q4-M4)/M4</f>
        <v>-0.11348361387021945</v>
      </c>
      <c r="R18" s="21">
        <f t="shared" si="28"/>
        <v>-1</v>
      </c>
      <c r="S18" s="21">
        <f t="shared" si="28"/>
        <v>-1</v>
      </c>
      <c r="V18" s="21"/>
      <c r="W18" s="21">
        <f t="shared" ref="W18:W19" si="29">(W4-V4)/V4</f>
        <v>8.7990134529147918E-2</v>
      </c>
      <c r="X18" s="21">
        <f t="shared" ref="X18:X19" si="30">(X4-W4)/W4</f>
        <v>0.12665102641230111</v>
      </c>
      <c r="Y18" s="21">
        <f t="shared" ref="Y18:Y19" si="31">(Y4-X4)/X4</f>
        <v>0.12796885752008133</v>
      </c>
      <c r="Z18" s="21">
        <f t="shared" ref="Z18:Z19" si="32">(Z4-Y4)/Y4</f>
        <v>8.1631911741430585E-2</v>
      </c>
      <c r="AA18" s="21">
        <f t="shared" ref="AA18:AD18" si="33">(AA4-Z4)/Z4</f>
        <v>1.3193403298350824E-2</v>
      </c>
      <c r="AB18" s="21">
        <f t="shared" si="33"/>
        <v>0.4240423202130808</v>
      </c>
      <c r="AC18" s="21">
        <f t="shared" si="33"/>
        <v>0.42019423343133472</v>
      </c>
      <c r="AD18" s="21">
        <f t="shared" si="33"/>
        <v>4.098396399280857E-2</v>
      </c>
      <c r="AE18" s="21">
        <f>(AE4-AD4)/AD4</f>
        <v>-9.8129556272157581E-2</v>
      </c>
      <c r="AF18" s="23">
        <f t="shared" ref="AF18:AP18" si="34">(AF4-AE4)/AE4</f>
        <v>-9.9999999999999922E-2</v>
      </c>
      <c r="AG18" s="21">
        <f t="shared" si="34"/>
        <v>9.0000000000000066E-2</v>
      </c>
      <c r="AH18" s="21">
        <f t="shared" si="34"/>
        <v>9.0000000000000108E-2</v>
      </c>
      <c r="AI18" s="21">
        <f t="shared" si="34"/>
        <v>9.0000000000000135E-2</v>
      </c>
      <c r="AJ18" s="21">
        <f t="shared" si="34"/>
        <v>9.000000000000008E-2</v>
      </c>
      <c r="AK18" s="21">
        <f t="shared" si="34"/>
        <v>9.000000000000008E-2</v>
      </c>
      <c r="AL18" s="21">
        <f t="shared" si="34"/>
        <v>9.0000000000000038E-2</v>
      </c>
      <c r="AM18" s="21">
        <f t="shared" si="34"/>
        <v>0.09</v>
      </c>
      <c r="AN18" s="21">
        <f t="shared" si="34"/>
        <v>9.0000000000000011E-2</v>
      </c>
      <c r="AO18" s="21">
        <f t="shared" si="34"/>
        <v>9.0000000000000149E-2</v>
      </c>
      <c r="AP18" s="21">
        <f t="shared" si="34"/>
        <v>9.0000000000000038E-2</v>
      </c>
      <c r="AR18" s="2" t="s">
        <v>109</v>
      </c>
      <c r="AS18" s="25">
        <v>-0.01</v>
      </c>
    </row>
    <row r="19" spans="3:45" x14ac:dyDescent="0.25">
      <c r="C19" s="1" t="s">
        <v>95</v>
      </c>
      <c r="D19" s="10"/>
      <c r="E19" s="10"/>
      <c r="F19" s="10"/>
      <c r="G19" s="10"/>
      <c r="H19" s="21">
        <f t="shared" ref="H19:O19" si="35">(H5-D5)/D5</f>
        <v>-8.1794500723588973E-2</v>
      </c>
      <c r="I19" s="21">
        <f t="shared" si="35"/>
        <v>0.1109527687296417</v>
      </c>
      <c r="J19" s="21">
        <f t="shared" si="35"/>
        <v>3.4364014635196109E-2</v>
      </c>
      <c r="K19" s="21">
        <f t="shared" si="35"/>
        <v>-6.8241469816272923E-2</v>
      </c>
      <c r="L19" s="21">
        <f t="shared" si="35"/>
        <v>0</v>
      </c>
      <c r="M19" s="21">
        <f t="shared" si="35"/>
        <v>-4.0009773379756891E-2</v>
      </c>
      <c r="N19" s="21">
        <f t="shared" si="35"/>
        <v>-0.15050631155500069</v>
      </c>
      <c r="O19" s="21">
        <f t="shared" si="35"/>
        <v>-8.6037966932026949E-2</v>
      </c>
      <c r="P19" s="21">
        <f>(P5-L5)/L5</f>
        <v>-8.8387340814525303E-2</v>
      </c>
      <c r="Q19" s="23">
        <f t="shared" ref="Q19:S19" si="36">(Q5-M5)/M5</f>
        <v>-0.1112878595062356</v>
      </c>
      <c r="R19" s="21">
        <f t="shared" si="36"/>
        <v>-1</v>
      </c>
      <c r="S19" s="21">
        <f t="shared" si="36"/>
        <v>-1</v>
      </c>
      <c r="V19" s="21"/>
      <c r="W19" s="21">
        <f t="shared" si="29"/>
        <v>7.2433744815504575E-2</v>
      </c>
      <c r="X19" s="21">
        <f t="shared" si="30"/>
        <v>0.10784820996580521</v>
      </c>
      <c r="Y19" s="21">
        <f t="shared" si="31"/>
        <v>0.12920060093302763</v>
      </c>
      <c r="Z19" s="21">
        <f t="shared" si="32"/>
        <v>6.7986269665880922E-2</v>
      </c>
      <c r="AA19" s="21">
        <f t="shared" ref="AA19:AD19" si="37">(AA5-Z5)/Z5</f>
        <v>9.6490068857415963E-3</v>
      </c>
      <c r="AB19" s="21">
        <f t="shared" si="37"/>
        <v>0.43012467606229032</v>
      </c>
      <c r="AC19" s="21">
        <f t="shared" si="37"/>
        <v>0.4324610468473038</v>
      </c>
      <c r="AD19" s="21">
        <f t="shared" si="37"/>
        <v>5.7641499238397599E-2</v>
      </c>
      <c r="AE19" s="21">
        <f>(AE5-AD5)/AD5</f>
        <v>-8.7649568820331439E-2</v>
      </c>
      <c r="AF19" s="23">
        <f t="shared" ref="AF19:AP19" si="38">(AF5-AE5)/AE5</f>
        <v>-0.11000000000000003</v>
      </c>
      <c r="AG19" s="21">
        <f t="shared" si="38"/>
        <v>9.0000000000000038E-2</v>
      </c>
      <c r="AH19" s="21">
        <f t="shared" si="38"/>
        <v>8.4999999999999895E-2</v>
      </c>
      <c r="AI19" s="21">
        <f t="shared" si="38"/>
        <v>8.4999999999999909E-2</v>
      </c>
      <c r="AJ19" s="21">
        <f t="shared" si="38"/>
        <v>8.4999999999999909E-2</v>
      </c>
      <c r="AK19" s="21">
        <f t="shared" si="38"/>
        <v>8.4999999999999923E-2</v>
      </c>
      <c r="AL19" s="21">
        <f t="shared" si="38"/>
        <v>8.500000000000002E-2</v>
      </c>
      <c r="AM19" s="21">
        <f t="shared" si="38"/>
        <v>8.4999999999999978E-2</v>
      </c>
      <c r="AN19" s="21">
        <f t="shared" si="38"/>
        <v>8.5000000000000048E-2</v>
      </c>
      <c r="AO19" s="21">
        <f t="shared" si="38"/>
        <v>8.4999999999999964E-2</v>
      </c>
      <c r="AP19" s="21">
        <f t="shared" si="38"/>
        <v>8.5000000000000006E-2</v>
      </c>
      <c r="AR19" s="33" t="s">
        <v>110</v>
      </c>
      <c r="AS19" s="34">
        <f>NPV(AS17,AF14:EN14)</f>
        <v>6780.3050319600961</v>
      </c>
    </row>
    <row r="20" spans="3:45" x14ac:dyDescent="0.25">
      <c r="C20" s="2" t="s">
        <v>99</v>
      </c>
      <c r="D20" s="10">
        <f t="shared" ref="D20:O20" si="39">D7/D4</f>
        <v>0.10007612281146916</v>
      </c>
      <c r="E20" s="10">
        <f t="shared" si="39"/>
        <v>8.2933057700492585E-2</v>
      </c>
      <c r="F20" s="10">
        <f t="shared" si="39"/>
        <v>5.9175488197777626E-2</v>
      </c>
      <c r="G20" s="10">
        <f t="shared" si="39"/>
        <v>9.0222515079324939E-2</v>
      </c>
      <c r="H20" s="10">
        <f t="shared" si="39"/>
        <v>7.7110343656230484E-2</v>
      </c>
      <c r="I20" s="10">
        <f t="shared" si="39"/>
        <v>4.3552422105981384E-2</v>
      </c>
      <c r="J20" s="10">
        <f t="shared" si="39"/>
        <v>4.7933354694008355E-2</v>
      </c>
      <c r="K20" s="10">
        <f t="shared" si="39"/>
        <v>8.0975877192982451E-2</v>
      </c>
      <c r="L20" s="10">
        <f t="shared" si="39"/>
        <v>7.7110343656230484E-2</v>
      </c>
      <c r="M20" s="10">
        <f t="shared" si="39"/>
        <v>3.9195860346160738E-2</v>
      </c>
      <c r="N20" s="10">
        <f t="shared" si="39"/>
        <v>4.3514328808446488E-2</v>
      </c>
      <c r="O20" s="10">
        <f t="shared" si="39"/>
        <v>6.4924782264449782E-2</v>
      </c>
      <c r="P20" s="10">
        <f>P7/P4</f>
        <v>6.5574799196787104E-2</v>
      </c>
      <c r="Q20" s="24">
        <f t="shared" ref="Q20:S20" si="40">Q7/Q4</f>
        <v>3.4350888963435057E-2</v>
      </c>
      <c r="R20" s="10" t="e">
        <f t="shared" si="40"/>
        <v>#DIV/0!</v>
      </c>
      <c r="S20" s="10" t="e">
        <f t="shared" si="40"/>
        <v>#DIV/0!</v>
      </c>
      <c r="V20" s="10">
        <f t="shared" ref="V20:Y20" si="41">V7/V4</f>
        <v>6.5899999999999903E-2</v>
      </c>
      <c r="W20" s="10">
        <f t="shared" si="41"/>
        <v>8.7537063858235301E-2</v>
      </c>
      <c r="X20" s="10">
        <f t="shared" si="41"/>
        <v>0.10496795135615465</v>
      </c>
      <c r="Y20" s="10">
        <f t="shared" si="41"/>
        <v>0.10413212579752107</v>
      </c>
      <c r="Z20" s="10">
        <f t="shared" ref="Z20:AP20" si="42">Z7/Z4</f>
        <v>9.5375412293853046E-2</v>
      </c>
      <c r="AA20" s="10">
        <f t="shared" si="42"/>
        <v>9.86422018348624E-2</v>
      </c>
      <c r="AB20" s="10">
        <f t="shared" si="42"/>
        <v>9.1005746451616493E-2</v>
      </c>
      <c r="AC20" s="10">
        <f t="shared" si="42"/>
        <v>8.7283753303093209E-2</v>
      </c>
      <c r="AD20" s="10">
        <f t="shared" si="42"/>
        <v>6.9778684307446506E-2</v>
      </c>
      <c r="AE20" s="10">
        <f t="shared" si="42"/>
        <v>5.716094657143421E-2</v>
      </c>
      <c r="AF20" s="24">
        <f t="shared" si="42"/>
        <v>6.7335594022039161E-2</v>
      </c>
      <c r="AG20" s="10">
        <f t="shared" si="42"/>
        <v>6.7584408543820182E-2</v>
      </c>
      <c r="AH20" s="10">
        <f t="shared" si="42"/>
        <v>7.1984810194318211E-2</v>
      </c>
      <c r="AI20" s="10">
        <f t="shared" si="42"/>
        <v>7.6363895636237134E-2</v>
      </c>
      <c r="AJ20" s="10">
        <f t="shared" si="42"/>
        <v>8.0721773025395224E-2</v>
      </c>
      <c r="AK20" s="10">
        <f t="shared" si="42"/>
        <v>8.5058549926299326E-2</v>
      </c>
      <c r="AL20" s="10">
        <f t="shared" si="42"/>
        <v>8.9374333315730345E-2</v>
      </c>
      <c r="AM20" s="10">
        <f t="shared" si="42"/>
        <v>9.3669229586304747E-2</v>
      </c>
      <c r="AN20" s="10">
        <f t="shared" si="42"/>
        <v>9.7943344550011288E-2</v>
      </c>
      <c r="AO20" s="10">
        <f t="shared" si="42"/>
        <v>0.10219678344172413</v>
      </c>
      <c r="AP20" s="10">
        <f t="shared" si="42"/>
        <v>0.10642965092269113</v>
      </c>
      <c r="AR20" s="2" t="s">
        <v>2</v>
      </c>
      <c r="AS20" s="35">
        <v>27.306999999999999</v>
      </c>
    </row>
    <row r="21" spans="3:45" x14ac:dyDescent="0.25">
      <c r="C21" s="2" t="s">
        <v>44</v>
      </c>
      <c r="D21" s="10">
        <f t="shared" ref="D21:P21" si="43">D9/D4</f>
        <v>7.8406495813245367E-2</v>
      </c>
      <c r="E21" s="10">
        <f t="shared" si="43"/>
        <v>6.3598224600231137E-2</v>
      </c>
      <c r="F21" s="10">
        <f t="shared" si="43"/>
        <v>3.294102176342955E-2</v>
      </c>
      <c r="G21" s="10">
        <f t="shared" si="43"/>
        <v>6.6703836991231266E-2</v>
      </c>
      <c r="H21" s="10">
        <f t="shared" si="43"/>
        <v>5.3671516729887278E-2</v>
      </c>
      <c r="I21" s="10">
        <f t="shared" si="43"/>
        <v>1.904707755287699E-2</v>
      </c>
      <c r="J21" s="10">
        <f t="shared" si="43"/>
        <v>1.0189041973726396E-2</v>
      </c>
      <c r="K21" s="10">
        <f t="shared" si="43"/>
        <v>5.8059210526315783E-2</v>
      </c>
      <c r="L21" s="10">
        <f t="shared" si="43"/>
        <v>5.3671516729887278E-2</v>
      </c>
      <c r="M21" s="10">
        <f t="shared" si="43"/>
        <v>1.4274668411348392E-2</v>
      </c>
      <c r="N21" s="10">
        <f t="shared" si="43"/>
        <v>1.2141779788838646E-2</v>
      </c>
      <c r="O21" s="10">
        <f t="shared" si="43"/>
        <v>3.9466471770509833E-2</v>
      </c>
      <c r="P21" s="10">
        <f t="shared" si="43"/>
        <v>4.0160642570281076E-2</v>
      </c>
      <c r="Q21" s="24">
        <f t="shared" ref="Q21:S21" si="44">Q9/Q4</f>
        <v>7.4471653807446844E-3</v>
      </c>
      <c r="R21" s="10" t="e">
        <f t="shared" si="44"/>
        <v>#DIV/0!</v>
      </c>
      <c r="S21" s="10" t="e">
        <f t="shared" si="44"/>
        <v>#DIV/0!</v>
      </c>
      <c r="V21" s="10">
        <f t="shared" ref="V21:Y21" si="45">V9/V4</f>
        <v>6.0716143497757752E-2</v>
      </c>
      <c r="W21" s="10">
        <f t="shared" si="45"/>
        <v>8.2673527275784753E-2</v>
      </c>
      <c r="X21" s="10">
        <f t="shared" si="45"/>
        <v>0.10068772610655716</v>
      </c>
      <c r="Y21" s="10">
        <f t="shared" si="45"/>
        <v>0.10027262962069258</v>
      </c>
      <c r="Z21" s="10">
        <f t="shared" ref="Z21:AP21" si="46">Z9/Z4</f>
        <v>9.3876161919040441E-2</v>
      </c>
      <c r="AA21" s="10">
        <f t="shared" si="46"/>
        <v>9.5475288546907386E-2</v>
      </c>
      <c r="AB21" s="10">
        <f t="shared" si="46"/>
        <v>7.5367858317786585E-2</v>
      </c>
      <c r="AC21" s="10">
        <f t="shared" si="46"/>
        <v>6.5431755877376777E-2</v>
      </c>
      <c r="AD21" s="10">
        <f t="shared" si="46"/>
        <v>4.3556907540533651E-2</v>
      </c>
      <c r="AE21" s="10">
        <f t="shared" si="46"/>
        <v>3.1287096243241559E-2</v>
      </c>
      <c r="AF21" s="24">
        <f t="shared" si="46"/>
        <v>3.8299384209289633E-2</v>
      </c>
      <c r="AG21" s="10">
        <f t="shared" si="46"/>
        <v>4.0412909452990357E-2</v>
      </c>
      <c r="AH21" s="10">
        <f t="shared" si="46"/>
        <v>4.6558269760697643E-2</v>
      </c>
      <c r="AI21" s="10">
        <f t="shared" si="46"/>
        <v>5.2570252294683942E-2</v>
      </c>
      <c r="AJ21" s="10">
        <f t="shared" si="46"/>
        <v>5.8456161825042693E-2</v>
      </c>
      <c r="AK21" s="10">
        <f t="shared" si="46"/>
        <v>6.4222840362666678E-2</v>
      </c>
      <c r="AL21" s="10">
        <f t="shared" si="46"/>
        <v>6.9876696843340164E-2</v>
      </c>
      <c r="AM21" s="10">
        <f t="shared" si="46"/>
        <v>7.542373490571945E-2</v>
      </c>
      <c r="AN21" s="10">
        <f t="shared" si="46"/>
        <v>8.086957888561036E-2</v>
      </c>
      <c r="AO21" s="10">
        <f t="shared" si="46"/>
        <v>8.621949814109206E-2</v>
      </c>
      <c r="AP21" s="10">
        <f t="shared" si="46"/>
        <v>9.1478429815677637E-2</v>
      </c>
      <c r="AR21" s="2" t="s">
        <v>111</v>
      </c>
      <c r="AS21" s="19">
        <f>AS19/AS20</f>
        <v>248.29915523346017</v>
      </c>
    </row>
    <row r="22" spans="3:45" x14ac:dyDescent="0.25">
      <c r="C22" s="2" t="s">
        <v>114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36"/>
      <c r="R22" s="20"/>
      <c r="S22" s="20"/>
      <c r="T22" s="20"/>
      <c r="U22" s="20"/>
      <c r="V22" s="20">
        <v>0.11899999999999999</v>
      </c>
      <c r="W22" s="20">
        <v>0.18099999999999999</v>
      </c>
      <c r="X22" s="20">
        <v>0.22500000000000001</v>
      </c>
      <c r="Y22" s="20">
        <v>0.22500000000000001</v>
      </c>
      <c r="Z22" s="20">
        <v>0.20599999999999999</v>
      </c>
      <c r="AA22" s="20">
        <v>0.185</v>
      </c>
      <c r="AB22" s="20">
        <v>0.108</v>
      </c>
      <c r="AC22" s="20">
        <v>9.7000000000000003E-2</v>
      </c>
      <c r="AD22" s="20">
        <v>5.8000000000000003E-2</v>
      </c>
      <c r="AE22" s="20">
        <v>2.7E-2</v>
      </c>
      <c r="AF22" s="36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R22" s="1" t="s">
        <v>112</v>
      </c>
      <c r="AS22" s="18">
        <f>(AS21-B4)/B4</f>
        <v>1.1973376569332759</v>
      </c>
    </row>
    <row r="23" spans="3:45" x14ac:dyDescent="0.25">
      <c r="C23" s="1"/>
      <c r="D23" s="20"/>
      <c r="E23" s="20"/>
      <c r="F23" s="20"/>
      <c r="G23" s="20"/>
      <c r="H23" s="18"/>
      <c r="I23" s="18"/>
      <c r="J23" s="18"/>
      <c r="K23" s="18"/>
      <c r="L23" s="18"/>
      <c r="M23" s="18"/>
      <c r="N23" s="18"/>
      <c r="O23" s="18"/>
      <c r="P23" s="18"/>
      <c r="Z23" s="18"/>
      <c r="AA23" s="18"/>
      <c r="AB23" s="18"/>
      <c r="AC23" s="18"/>
      <c r="AD23" s="18"/>
      <c r="AE23" s="18"/>
    </row>
    <row r="24" spans="3:45" x14ac:dyDescent="0.25">
      <c r="C24" s="1" t="s">
        <v>45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Z24" s="18"/>
      <c r="AA24" s="18"/>
      <c r="AB24" s="18"/>
      <c r="AC24" s="18"/>
      <c r="AD24" s="18"/>
      <c r="AE24" s="18"/>
    </row>
    <row r="25" spans="3:45" x14ac:dyDescent="0.25">
      <c r="C25" s="2" t="s">
        <v>60</v>
      </c>
      <c r="D25" s="14">
        <v>4585.1000000000004</v>
      </c>
      <c r="E25" s="14">
        <v>4066.5</v>
      </c>
      <c r="F25" s="14">
        <v>4379.2</v>
      </c>
      <c r="G25" s="14">
        <v>4629.7</v>
      </c>
      <c r="H25" s="14">
        <v>4443.1000000000004</v>
      </c>
      <c r="I25" s="14">
        <v>4626.3</v>
      </c>
      <c r="J25" s="14">
        <v>4528.6000000000004</v>
      </c>
      <c r="K25" s="14">
        <v>4438</v>
      </c>
      <c r="L25" s="14">
        <v>4443.1000000000004</v>
      </c>
      <c r="M25" s="14">
        <v>4390.3999999999996</v>
      </c>
      <c r="N25" s="14">
        <v>4330.2</v>
      </c>
      <c r="O25" s="14">
        <v>4313.1000000000004</v>
      </c>
      <c r="P25" s="14">
        <v>4201.1000000000004</v>
      </c>
      <c r="Q25" s="15">
        <v>4070</v>
      </c>
      <c r="R25" s="14"/>
      <c r="S25" s="14"/>
      <c r="Z25" s="10"/>
      <c r="AA25" s="10"/>
      <c r="AB25" s="10"/>
      <c r="AC25" s="10"/>
      <c r="AD25" s="10"/>
    </row>
    <row r="26" spans="3:45" x14ac:dyDescent="0.25">
      <c r="C26" s="2" t="s">
        <v>61</v>
      </c>
      <c r="D26" s="14">
        <v>717.1</v>
      </c>
      <c r="E26" s="14">
        <v>500</v>
      </c>
      <c r="F26" s="14">
        <v>504.8</v>
      </c>
      <c r="G26" s="14">
        <v>723.9</v>
      </c>
      <c r="H26" s="14">
        <v>605.20000000000005</v>
      </c>
      <c r="I26" s="14">
        <v>680.5</v>
      </c>
      <c r="J26" s="14">
        <v>652.6</v>
      </c>
      <c r="K26" s="14">
        <v>619.1</v>
      </c>
      <c r="L26" s="14">
        <v>601.79999999999995</v>
      </c>
      <c r="M26" s="14">
        <v>594</v>
      </c>
      <c r="N26" s="14">
        <v>578.1</v>
      </c>
      <c r="O26" s="14">
        <v>546.6</v>
      </c>
      <c r="P26" s="14">
        <v>515.4</v>
      </c>
      <c r="Q26" s="15">
        <f>488.2+189</f>
        <v>677.2</v>
      </c>
      <c r="R26" s="14"/>
      <c r="S26" s="14"/>
      <c r="Z26" s="10"/>
      <c r="AA26" s="10"/>
      <c r="AB26" s="10"/>
      <c r="AC26" s="10"/>
      <c r="AD26" s="10"/>
      <c r="AE26" s="10"/>
    </row>
    <row r="27" spans="3:45" x14ac:dyDescent="0.25">
      <c r="C27" s="2" t="s">
        <v>62</v>
      </c>
      <c r="D27" s="14">
        <v>10.3</v>
      </c>
      <c r="E27" s="14">
        <v>6.7</v>
      </c>
      <c r="F27" s="14">
        <v>10.8</v>
      </c>
      <c r="G27" s="14">
        <v>11.4</v>
      </c>
      <c r="H27" s="14">
        <v>3.8</v>
      </c>
      <c r="I27" s="14">
        <v>10.4</v>
      </c>
      <c r="J27" s="14">
        <v>9.3000000000000007</v>
      </c>
      <c r="K27" s="14">
        <v>7.2</v>
      </c>
      <c r="L27" s="14">
        <v>7.2</v>
      </c>
      <c r="M27" s="14">
        <v>3.8</v>
      </c>
      <c r="N27" s="14">
        <v>3.7</v>
      </c>
      <c r="O27" s="14">
        <v>7</v>
      </c>
      <c r="P27" s="14">
        <v>6.9</v>
      </c>
      <c r="Q27" s="15">
        <v>6.9</v>
      </c>
      <c r="R27" s="14"/>
      <c r="S27" s="14"/>
    </row>
    <row r="28" spans="3:45" x14ac:dyDescent="0.25">
      <c r="C28" s="2" t="s">
        <v>63</v>
      </c>
      <c r="D28" s="14">
        <v>108.1</v>
      </c>
      <c r="E28" s="14">
        <v>96.8</v>
      </c>
      <c r="F28" s="14">
        <v>105</v>
      </c>
      <c r="G28" s="14">
        <v>106.5</v>
      </c>
      <c r="H28" s="14">
        <v>101.7</v>
      </c>
      <c r="I28" s="14">
        <v>112.9</v>
      </c>
      <c r="J28" s="14">
        <v>100.6</v>
      </c>
      <c r="K28" s="14">
        <v>99.8</v>
      </c>
      <c r="L28" s="14">
        <v>101.7</v>
      </c>
      <c r="M28" s="14">
        <v>110.2</v>
      </c>
      <c r="N28" s="14">
        <v>111.8</v>
      </c>
      <c r="O28" s="14">
        <v>111.2</v>
      </c>
      <c r="P28" s="14">
        <v>111</v>
      </c>
      <c r="Q28" s="15">
        <v>108.7</v>
      </c>
      <c r="R28" s="12"/>
      <c r="S28" s="12"/>
      <c r="T28" s="1"/>
      <c r="U28" s="1"/>
      <c r="V28" s="1"/>
      <c r="W28" s="1"/>
      <c r="X28" s="1"/>
      <c r="Y28" s="1"/>
      <c r="Z28" s="1"/>
      <c r="AA28" s="1"/>
      <c r="AB28" s="1"/>
    </row>
    <row r="29" spans="3:45" x14ac:dyDescent="0.25">
      <c r="C29" s="2" t="s">
        <v>64</v>
      </c>
      <c r="D29" s="14">
        <v>1682.6</v>
      </c>
      <c r="E29" s="14">
        <v>1470.5</v>
      </c>
      <c r="F29" s="14">
        <v>1586.2</v>
      </c>
      <c r="G29" s="14">
        <v>1636.5</v>
      </c>
      <c r="H29" s="14">
        <v>1847.1</v>
      </c>
      <c r="I29" s="14">
        <v>1693.6</v>
      </c>
      <c r="J29" s="14">
        <v>1853.4</v>
      </c>
      <c r="K29" s="14">
        <v>1734.4</v>
      </c>
      <c r="L29" s="14">
        <v>1847.1</v>
      </c>
      <c r="M29" s="14">
        <v>1836.4</v>
      </c>
      <c r="N29" s="14">
        <v>1488</v>
      </c>
      <c r="O29" s="14">
        <v>1433.6</v>
      </c>
      <c r="P29" s="14">
        <v>1521</v>
      </c>
      <c r="Q29" s="15">
        <v>1397.9</v>
      </c>
      <c r="R29" s="14"/>
      <c r="S29" s="14"/>
    </row>
    <row r="30" spans="3:45" x14ac:dyDescent="0.25">
      <c r="C30" s="2" t="s">
        <v>65</v>
      </c>
      <c r="D30" s="14">
        <v>444.6</v>
      </c>
      <c r="E30" s="14">
        <v>715.9</v>
      </c>
      <c r="F30" s="14">
        <v>638.5</v>
      </c>
      <c r="G30" s="14">
        <v>497.6</v>
      </c>
      <c r="H30" s="14">
        <v>193.4</v>
      </c>
      <c r="I30" s="14">
        <v>365.1</v>
      </c>
      <c r="J30" s="14">
        <v>101.9</v>
      </c>
      <c r="K30" s="14">
        <v>127.6</v>
      </c>
      <c r="L30" s="14">
        <v>193.4</v>
      </c>
      <c r="M30" s="14">
        <v>139.1</v>
      </c>
      <c r="N30" s="14">
        <v>358.4</v>
      </c>
      <c r="O30" s="14">
        <v>397.8</v>
      </c>
      <c r="P30" s="14">
        <v>362.7</v>
      </c>
      <c r="Q30" s="15">
        <v>240.9</v>
      </c>
      <c r="R30" s="14"/>
      <c r="S30" s="14"/>
    </row>
    <row r="31" spans="3:45" x14ac:dyDescent="0.25">
      <c r="C31" s="1" t="s">
        <v>66</v>
      </c>
      <c r="D31" s="12">
        <f t="shared" ref="D31:O31" si="47">SUM(D25:D30)</f>
        <v>7547.8000000000011</v>
      </c>
      <c r="E31" s="12">
        <f t="shared" si="47"/>
        <v>6856.4</v>
      </c>
      <c r="F31" s="12">
        <f t="shared" si="47"/>
        <v>7224.5</v>
      </c>
      <c r="G31" s="12">
        <f t="shared" si="47"/>
        <v>7605.5999999999995</v>
      </c>
      <c r="H31" s="12">
        <f t="shared" si="47"/>
        <v>7194.2999999999993</v>
      </c>
      <c r="I31" s="12">
        <f t="shared" si="47"/>
        <v>7488.7999999999993</v>
      </c>
      <c r="J31" s="12">
        <f t="shared" si="47"/>
        <v>7246.4000000000015</v>
      </c>
      <c r="K31" s="12">
        <f t="shared" si="47"/>
        <v>7026.1</v>
      </c>
      <c r="L31" s="12">
        <f t="shared" si="47"/>
        <v>7194.2999999999993</v>
      </c>
      <c r="M31" s="12">
        <f t="shared" si="47"/>
        <v>7073.9</v>
      </c>
      <c r="N31" s="12">
        <f t="shared" si="47"/>
        <v>6870.2</v>
      </c>
      <c r="O31" s="12">
        <f t="shared" si="47"/>
        <v>6809.3</v>
      </c>
      <c r="P31" s="12">
        <f>SUM(P25:P30)</f>
        <v>6718.0999999999995</v>
      </c>
      <c r="Q31" s="13">
        <f>SUM(Q25:Q30)</f>
        <v>6501.5999999999985</v>
      </c>
      <c r="R31" s="14"/>
      <c r="S31" s="14"/>
      <c r="AB31" s="25"/>
    </row>
    <row r="32" spans="3:45" x14ac:dyDescent="0.25">
      <c r="C32" s="2" t="s">
        <v>67</v>
      </c>
      <c r="D32" s="14">
        <v>27.4</v>
      </c>
      <c r="E32" s="14">
        <v>27.4</v>
      </c>
      <c r="F32" s="14">
        <v>27.4</v>
      </c>
      <c r="G32" s="14">
        <v>27.4</v>
      </c>
      <c r="H32" s="14">
        <v>27.4</v>
      </c>
      <c r="I32" s="14">
        <v>27.4</v>
      </c>
      <c r="J32" s="14">
        <v>27.4</v>
      </c>
      <c r="K32" s="14">
        <v>27.4</v>
      </c>
      <c r="L32" s="14">
        <v>27.4</v>
      </c>
      <c r="M32" s="14">
        <v>27.4</v>
      </c>
      <c r="N32" s="14">
        <v>27.4</v>
      </c>
      <c r="O32" s="14">
        <v>27.4</v>
      </c>
      <c r="P32" s="14">
        <v>27.4</v>
      </c>
      <c r="Q32" s="15">
        <v>27.4</v>
      </c>
      <c r="R32" s="14"/>
      <c r="S32" s="14"/>
    </row>
    <row r="33" spans="3:32" x14ac:dyDescent="0.25">
      <c r="C33" s="2" t="s">
        <v>68</v>
      </c>
      <c r="D33" s="14">
        <v>2945.1</v>
      </c>
      <c r="E33" s="14">
        <v>2888.6</v>
      </c>
      <c r="F33" s="14">
        <v>2920.5</v>
      </c>
      <c r="G33" s="14">
        <v>2971.4</v>
      </c>
      <c r="H33" s="14">
        <v>2981.1</v>
      </c>
      <c r="I33" s="14">
        <v>3046.2</v>
      </c>
      <c r="J33" s="14">
        <v>2998.1</v>
      </c>
      <c r="K33" s="14">
        <v>2918.3</v>
      </c>
      <c r="L33" s="14">
        <v>2981.1</v>
      </c>
      <c r="M33" s="14">
        <v>2963.4</v>
      </c>
      <c r="N33" s="14">
        <v>2922.9</v>
      </c>
      <c r="O33" s="14">
        <v>2962.1</v>
      </c>
      <c r="P33" s="14">
        <v>2870.9</v>
      </c>
      <c r="Q33" s="15">
        <v>2900.3</v>
      </c>
      <c r="R33" s="14"/>
      <c r="S33" s="14"/>
    </row>
    <row r="34" spans="3:32" x14ac:dyDescent="0.25">
      <c r="C34" s="2" t="s">
        <v>69</v>
      </c>
      <c r="D34" s="14">
        <v>1286.5999999999999</v>
      </c>
      <c r="E34" s="14">
        <v>1167.5999999999999</v>
      </c>
      <c r="F34" s="14">
        <v>1181.5</v>
      </c>
      <c r="G34" s="14">
        <v>1187.7</v>
      </c>
      <c r="H34" s="14">
        <v>1264.5</v>
      </c>
      <c r="I34" s="14">
        <v>1200.5999999999999</v>
      </c>
      <c r="J34" s="14">
        <v>1124.0999999999999</v>
      </c>
      <c r="K34" s="14">
        <v>1205.3</v>
      </c>
      <c r="L34" s="14">
        <v>1264.5</v>
      </c>
      <c r="M34" s="14">
        <v>1130</v>
      </c>
      <c r="N34" s="14">
        <v>1122.8</v>
      </c>
      <c r="O34" s="14">
        <v>1149</v>
      </c>
      <c r="P34" s="14">
        <v>1186.0999999999999</v>
      </c>
      <c r="Q34" s="15">
        <v>1099.2</v>
      </c>
      <c r="R34" s="14"/>
      <c r="S34" s="14"/>
    </row>
    <row r="35" spans="3:32" x14ac:dyDescent="0.25">
      <c r="C35" s="2" t="s">
        <v>70</v>
      </c>
      <c r="D35" s="14">
        <v>24.6</v>
      </c>
      <c r="E35" s="14">
        <v>0.2</v>
      </c>
      <c r="F35" s="14">
        <v>7.5</v>
      </c>
      <c r="G35" s="14">
        <v>21.2</v>
      </c>
      <c r="H35" s="14">
        <v>17.8</v>
      </c>
      <c r="I35" s="14">
        <v>14.8</v>
      </c>
      <c r="J35" s="14">
        <v>14.5</v>
      </c>
      <c r="K35" s="14">
        <v>14.7</v>
      </c>
      <c r="L35" s="14">
        <v>17.8</v>
      </c>
      <c r="M35" s="14">
        <v>10.3</v>
      </c>
      <c r="N35" s="14">
        <v>5.9</v>
      </c>
      <c r="O35" s="14">
        <v>-0.9</v>
      </c>
      <c r="P35" s="14">
        <v>0.4</v>
      </c>
      <c r="Q35" s="15">
        <v>-4.5</v>
      </c>
      <c r="R35" s="14"/>
      <c r="S35" s="14"/>
    </row>
    <row r="36" spans="3:32" x14ac:dyDescent="0.25">
      <c r="C36" s="11" t="s">
        <v>71</v>
      </c>
      <c r="D36" s="16">
        <f t="shared" ref="D36:O36" si="48">SUM(D32:D35)</f>
        <v>4283.7000000000007</v>
      </c>
      <c r="E36" s="16">
        <f t="shared" si="48"/>
        <v>4083.7999999999997</v>
      </c>
      <c r="F36" s="16">
        <f t="shared" si="48"/>
        <v>4136.8999999999996</v>
      </c>
      <c r="G36" s="16">
        <f t="shared" si="48"/>
        <v>4207.7</v>
      </c>
      <c r="H36" s="16">
        <f t="shared" si="48"/>
        <v>4290.8</v>
      </c>
      <c r="I36" s="16">
        <f t="shared" si="48"/>
        <v>4289</v>
      </c>
      <c r="J36" s="16">
        <f t="shared" si="48"/>
        <v>4164.1000000000004</v>
      </c>
      <c r="K36" s="16">
        <f t="shared" si="48"/>
        <v>4165.7</v>
      </c>
      <c r="L36" s="16">
        <f t="shared" si="48"/>
        <v>4290.8</v>
      </c>
      <c r="M36" s="16">
        <f t="shared" si="48"/>
        <v>4131.1000000000004</v>
      </c>
      <c r="N36" s="16">
        <f t="shared" si="48"/>
        <v>4079.0000000000005</v>
      </c>
      <c r="O36" s="16">
        <f t="shared" si="48"/>
        <v>4137.6000000000004</v>
      </c>
      <c r="P36" s="16">
        <f>SUM(P32:P35)</f>
        <v>4084.8</v>
      </c>
      <c r="Q36" s="40">
        <f>SUM(Q32:Q35)</f>
        <v>4022.4000000000005</v>
      </c>
      <c r="R36" s="14"/>
      <c r="S36" s="14"/>
    </row>
    <row r="37" spans="3:32" x14ac:dyDescent="0.25">
      <c r="C37" s="2" t="s">
        <v>72</v>
      </c>
      <c r="D37" s="14">
        <v>269.2</v>
      </c>
      <c r="E37" s="14">
        <v>239.5</v>
      </c>
      <c r="F37" s="14">
        <v>261.3</v>
      </c>
      <c r="G37" s="14">
        <v>276.5</v>
      </c>
      <c r="H37" s="14">
        <v>235.9</v>
      </c>
      <c r="I37" s="14">
        <v>265</v>
      </c>
      <c r="J37" s="14">
        <v>254.7</v>
      </c>
      <c r="K37" s="14">
        <v>238.8</v>
      </c>
      <c r="L37" s="14">
        <v>235.9</v>
      </c>
      <c r="M37" s="14">
        <v>226.9</v>
      </c>
      <c r="N37" s="14">
        <v>218.9</v>
      </c>
      <c r="O37" s="14">
        <v>203.8</v>
      </c>
      <c r="P37" s="14">
        <v>193.3</v>
      </c>
      <c r="Q37" s="15">
        <v>184.3</v>
      </c>
      <c r="R37" s="14"/>
      <c r="S37" s="14"/>
    </row>
    <row r="38" spans="3:32" x14ac:dyDescent="0.25">
      <c r="C38" s="2" t="s">
        <v>73</v>
      </c>
      <c r="D38" s="14">
        <v>1184.7</v>
      </c>
      <c r="E38" s="14">
        <v>1080.5999999999999</v>
      </c>
      <c r="F38" s="14">
        <v>1259.7</v>
      </c>
      <c r="G38" s="14">
        <v>1303.3</v>
      </c>
      <c r="H38" s="14">
        <v>916.8</v>
      </c>
      <c r="I38" s="14">
        <v>1168.4000000000001</v>
      </c>
      <c r="J38" s="14">
        <v>1049.5999999999999</v>
      </c>
      <c r="K38" s="14">
        <v>936.1</v>
      </c>
      <c r="L38" s="14">
        <v>916.8</v>
      </c>
      <c r="M38" s="14">
        <v>902.8</v>
      </c>
      <c r="N38" s="14">
        <v>993.4</v>
      </c>
      <c r="O38" s="14">
        <v>863.1</v>
      </c>
      <c r="P38" s="14">
        <v>835.2</v>
      </c>
      <c r="Q38" s="15">
        <v>737.1</v>
      </c>
      <c r="R38" s="14"/>
      <c r="S38" s="14"/>
    </row>
    <row r="39" spans="3:32" x14ac:dyDescent="0.25">
      <c r="C39" s="2" t="s">
        <v>74</v>
      </c>
      <c r="D39" s="14">
        <v>297.39999999999998</v>
      </c>
      <c r="E39" s="14">
        <v>110.5</v>
      </c>
      <c r="F39" s="14">
        <v>206.9</v>
      </c>
      <c r="G39" s="14">
        <v>291.39999999999998</v>
      </c>
      <c r="H39" s="14">
        <v>160.69999999999999</v>
      </c>
      <c r="I39" s="14">
        <v>213.2</v>
      </c>
      <c r="J39" s="14">
        <v>183.8</v>
      </c>
      <c r="K39" s="14">
        <v>159.6</v>
      </c>
      <c r="L39" s="14">
        <v>160.69999999999999</v>
      </c>
      <c r="M39" s="14">
        <v>153.69999999999999</v>
      </c>
      <c r="N39" s="14">
        <v>156.80000000000001</v>
      </c>
      <c r="O39" s="14">
        <v>158.9</v>
      </c>
      <c r="P39" s="14">
        <v>153</v>
      </c>
      <c r="Q39" s="15">
        <v>150.69999999999999</v>
      </c>
      <c r="R39" s="14"/>
      <c r="S39" s="14"/>
    </row>
    <row r="40" spans="3:32" x14ac:dyDescent="0.25">
      <c r="C40" s="2" t="s">
        <v>75</v>
      </c>
      <c r="D40" s="14">
        <v>1512.8</v>
      </c>
      <c r="E40" s="14">
        <v>1342</v>
      </c>
      <c r="F40" s="14">
        <v>1359.5</v>
      </c>
      <c r="G40" s="14">
        <v>1526.7</v>
      </c>
      <c r="H40" s="14">
        <v>1590.1</v>
      </c>
      <c r="I40" s="14">
        <v>1553.2</v>
      </c>
      <c r="J40" s="14">
        <v>1594.2</v>
      </c>
      <c r="K40" s="14">
        <v>1525.9</v>
      </c>
      <c r="L40" s="14">
        <v>1590.1</v>
      </c>
      <c r="M40" s="14">
        <v>1659.4</v>
      </c>
      <c r="N40" s="14">
        <v>1422.1</v>
      </c>
      <c r="O40" s="14">
        <v>1445.8</v>
      </c>
      <c r="P40" s="14">
        <v>1451.9</v>
      </c>
      <c r="Q40" s="15">
        <f>1359.4+47.7</f>
        <v>1407.1000000000001</v>
      </c>
      <c r="R40" s="14"/>
      <c r="S40" s="14"/>
    </row>
    <row r="41" spans="3:32" x14ac:dyDescent="0.25">
      <c r="C41" s="11" t="s">
        <v>76</v>
      </c>
      <c r="D41" s="16">
        <f t="shared" ref="D41:O41" si="49">SUM(D37:D40)</f>
        <v>3264.1000000000004</v>
      </c>
      <c r="E41" s="16">
        <f t="shared" si="49"/>
        <v>2772.6</v>
      </c>
      <c r="F41" s="16">
        <f t="shared" si="49"/>
        <v>3087.4</v>
      </c>
      <c r="G41" s="16">
        <f t="shared" si="49"/>
        <v>3397.8999999999996</v>
      </c>
      <c r="H41" s="16">
        <f t="shared" si="49"/>
        <v>2903.5</v>
      </c>
      <c r="I41" s="16">
        <f t="shared" si="49"/>
        <v>3199.8</v>
      </c>
      <c r="J41" s="16">
        <f t="shared" si="49"/>
        <v>3082.3</v>
      </c>
      <c r="K41" s="16">
        <f t="shared" si="49"/>
        <v>2860.4</v>
      </c>
      <c r="L41" s="16">
        <f t="shared" si="49"/>
        <v>2903.5</v>
      </c>
      <c r="M41" s="16">
        <f t="shared" si="49"/>
        <v>2942.8</v>
      </c>
      <c r="N41" s="16">
        <f t="shared" si="49"/>
        <v>2791.2</v>
      </c>
      <c r="O41" s="16">
        <f t="shared" si="49"/>
        <v>2671.6000000000004</v>
      </c>
      <c r="P41" s="16">
        <f>SUM(P37:P40)</f>
        <v>2633.4</v>
      </c>
      <c r="Q41" s="40">
        <f>SUM(Q37:Q40)</f>
        <v>2479.2000000000003</v>
      </c>
      <c r="R41" s="14"/>
      <c r="S41" s="14"/>
    </row>
    <row r="42" spans="3:32" x14ac:dyDescent="0.25">
      <c r="C42" s="1" t="s">
        <v>77</v>
      </c>
      <c r="D42" s="12">
        <f t="shared" ref="D42:O42" si="50">D36+D41</f>
        <v>7547.8000000000011</v>
      </c>
      <c r="E42" s="12">
        <f t="shared" si="50"/>
        <v>6856.4</v>
      </c>
      <c r="F42" s="12">
        <f t="shared" si="50"/>
        <v>7224.2999999999993</v>
      </c>
      <c r="G42" s="12">
        <f t="shared" si="50"/>
        <v>7605.5999999999995</v>
      </c>
      <c r="H42" s="12">
        <f t="shared" si="50"/>
        <v>7194.3</v>
      </c>
      <c r="I42" s="12">
        <f t="shared" si="50"/>
        <v>7488.8</v>
      </c>
      <c r="J42" s="12">
        <f t="shared" si="50"/>
        <v>7246.4000000000005</v>
      </c>
      <c r="K42" s="12">
        <f t="shared" si="50"/>
        <v>7026.1</v>
      </c>
      <c r="L42" s="12">
        <f t="shared" si="50"/>
        <v>7194.3</v>
      </c>
      <c r="M42" s="12">
        <f t="shared" si="50"/>
        <v>7073.9000000000005</v>
      </c>
      <c r="N42" s="12">
        <f t="shared" si="50"/>
        <v>6870.2000000000007</v>
      </c>
      <c r="O42" s="12">
        <f t="shared" si="50"/>
        <v>6809.2000000000007</v>
      </c>
      <c r="P42" s="12">
        <f>P36+P41</f>
        <v>6718.2000000000007</v>
      </c>
      <c r="Q42" s="13">
        <f>Q36+Q41</f>
        <v>6501.6</v>
      </c>
      <c r="R42" s="14"/>
      <c r="S42" s="14"/>
    </row>
    <row r="43" spans="3:32" x14ac:dyDescent="0.25"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3:32" x14ac:dyDescent="0.25">
      <c r="C44" s="1" t="s">
        <v>46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AF44" s="15"/>
    </row>
    <row r="45" spans="3:32" x14ac:dyDescent="0.25">
      <c r="C45" s="2" t="s">
        <v>78</v>
      </c>
      <c r="D45" s="14">
        <f t="shared" ref="D45:Q45" si="51">D12</f>
        <v>133.29999999999998</v>
      </c>
      <c r="E45" s="14">
        <f t="shared" si="51"/>
        <v>153.20000000000013</v>
      </c>
      <c r="F45" s="14">
        <f t="shared" si="51"/>
        <v>37.200000000000003</v>
      </c>
      <c r="G45" s="14">
        <f t="shared" si="51"/>
        <v>136.70000000000016</v>
      </c>
      <c r="H45" s="14">
        <f t="shared" si="51"/>
        <v>82.099999999999895</v>
      </c>
      <c r="I45" s="14">
        <f t="shared" si="51"/>
        <v>33.100000000000044</v>
      </c>
      <c r="J45" s="14">
        <f t="shared" si="51"/>
        <v>38.700000000000038</v>
      </c>
      <c r="K45" s="14">
        <f t="shared" si="51"/>
        <v>99</v>
      </c>
      <c r="L45" s="14">
        <f t="shared" si="51"/>
        <v>82.099999999999895</v>
      </c>
      <c r="M45" s="14">
        <f t="shared" si="51"/>
        <v>11.90000000000005</v>
      </c>
      <c r="N45" s="14">
        <f t="shared" si="51"/>
        <v>4.9000000000000448</v>
      </c>
      <c r="O45" s="14">
        <f t="shared" si="51"/>
        <v>54.100000000000094</v>
      </c>
      <c r="P45" s="14">
        <f t="shared" si="51"/>
        <v>51.599999999999916</v>
      </c>
      <c r="Q45" s="15">
        <f t="shared" si="51"/>
        <v>3.6999999999999513</v>
      </c>
      <c r="Y45" s="14"/>
      <c r="Z45" s="14">
        <f t="shared" ref="Z45:AE45" si="52">Z12</f>
        <v>313.19499999999994</v>
      </c>
      <c r="AA45" s="14">
        <f t="shared" si="52"/>
        <v>331.79000000000008</v>
      </c>
      <c r="AB45" s="14">
        <f t="shared" si="52"/>
        <v>369.49499999999989</v>
      </c>
      <c r="AC45" s="14">
        <f t="shared" si="52"/>
        <v>483.67599999999999</v>
      </c>
      <c r="AD45" s="14">
        <f t="shared" si="52"/>
        <v>304.13099999999906</v>
      </c>
      <c r="AE45" s="14">
        <f t="shared" si="52"/>
        <v>154.01799999999957</v>
      </c>
    </row>
    <row r="46" spans="3:32" x14ac:dyDescent="0.25">
      <c r="C46" s="2" t="s">
        <v>79</v>
      </c>
      <c r="D46" s="14">
        <v>133</v>
      </c>
      <c r="E46" s="14">
        <v>153</v>
      </c>
      <c r="F46" s="14">
        <v>37</v>
      </c>
      <c r="G46" s="14">
        <v>137</v>
      </c>
      <c r="H46" s="14">
        <v>82</v>
      </c>
      <c r="I46" s="14">
        <v>33</v>
      </c>
      <c r="J46" s="14">
        <v>39</v>
      </c>
      <c r="K46" s="14">
        <v>99</v>
      </c>
      <c r="L46" s="14">
        <v>82</v>
      </c>
      <c r="M46" s="14">
        <v>12</v>
      </c>
      <c r="N46" s="14">
        <v>5</v>
      </c>
      <c r="O46" s="14">
        <v>54</v>
      </c>
      <c r="P46" s="14">
        <v>52</v>
      </c>
      <c r="Q46" s="4">
        <v>4</v>
      </c>
      <c r="Z46" s="14">
        <v>313</v>
      </c>
      <c r="AA46" s="14">
        <v>332</v>
      </c>
      <c r="AB46" s="14">
        <v>370</v>
      </c>
      <c r="AC46" s="14">
        <v>484</v>
      </c>
      <c r="AD46" s="14">
        <v>304</v>
      </c>
      <c r="AE46" s="14">
        <v>153</v>
      </c>
    </row>
    <row r="47" spans="3:32" x14ac:dyDescent="0.25">
      <c r="C47" s="2" t="s">
        <v>80</v>
      </c>
      <c r="D47" s="14">
        <v>63.5</v>
      </c>
      <c r="E47" s="14">
        <v>-28.7</v>
      </c>
      <c r="F47" s="14">
        <v>60.5</v>
      </c>
      <c r="G47" s="14">
        <v>116.6</v>
      </c>
      <c r="H47" s="14">
        <v>64.099999999999994</v>
      </c>
      <c r="I47" s="14">
        <v>42.4</v>
      </c>
      <c r="J47" s="14">
        <v>88.9</v>
      </c>
      <c r="K47" s="14">
        <v>80</v>
      </c>
      <c r="L47" s="14">
        <v>74.5</v>
      </c>
      <c r="M47" s="14">
        <v>100.1</v>
      </c>
      <c r="N47" s="14">
        <v>94.6</v>
      </c>
      <c r="O47" s="14">
        <v>85</v>
      </c>
      <c r="P47" s="14">
        <v>136.69999999999999</v>
      </c>
      <c r="Q47" s="4">
        <v>76.2</v>
      </c>
      <c r="Z47" s="14">
        <f>79.389+2.5-2.7-4.8+8.6</f>
        <v>82.98899999999999</v>
      </c>
      <c r="AA47" s="14">
        <f>85.967+0.301-1.6-6.4-28.942</f>
        <v>49.326000000000001</v>
      </c>
      <c r="AB47" s="14">
        <f>198.819-0.903-1.9-0.635-10.141+21.67</f>
        <v>206.91000000000003</v>
      </c>
      <c r="AC47" s="14">
        <f>298-64+1-7.1+17.262</f>
        <v>245.16200000000001</v>
      </c>
      <c r="AD47" s="14">
        <f>364.597-1.33+0.504+1.4+5.6-43.1-2</f>
        <v>325.67099999999999</v>
      </c>
      <c r="AE47" s="14">
        <f>340.721+29.377+1.5+46.708-31.9+0.499</f>
        <v>386.90500000000009</v>
      </c>
    </row>
    <row r="48" spans="3:32" x14ac:dyDescent="0.25">
      <c r="C48" s="2" t="s">
        <v>81</v>
      </c>
      <c r="D48" s="14">
        <v>0</v>
      </c>
      <c r="E48" s="14">
        <v>0</v>
      </c>
      <c r="F48" s="14">
        <v>0</v>
      </c>
      <c r="G48" s="14">
        <v>0</v>
      </c>
      <c r="I48" s="14">
        <v>0</v>
      </c>
      <c r="J48" s="2">
        <v>0</v>
      </c>
      <c r="K48" s="2">
        <v>0</v>
      </c>
      <c r="L48" s="14">
        <v>-10.4</v>
      </c>
      <c r="M48" s="2">
        <v>0</v>
      </c>
      <c r="N48" s="2">
        <v>0</v>
      </c>
      <c r="O48" s="14">
        <v>0</v>
      </c>
      <c r="P48" s="14">
        <v>-8.9</v>
      </c>
      <c r="Q48" s="4">
        <v>-9.1</v>
      </c>
      <c r="Z48" s="2">
        <v>0</v>
      </c>
      <c r="AA48" s="14">
        <v>0</v>
      </c>
      <c r="AB48" s="14">
        <v>0</v>
      </c>
      <c r="AC48" s="14">
        <v>0</v>
      </c>
      <c r="AD48" s="14">
        <f>12.326-63.289</f>
        <v>-50.963000000000001</v>
      </c>
      <c r="AE48" s="14">
        <f>12-55</f>
        <v>-43</v>
      </c>
    </row>
    <row r="49" spans="3:31" x14ac:dyDescent="0.25">
      <c r="C49" s="2" t="s">
        <v>82</v>
      </c>
      <c r="D49" s="14">
        <v>-50.7</v>
      </c>
      <c r="E49" s="14">
        <v>-25</v>
      </c>
      <c r="F49" s="14">
        <v>-23.7</v>
      </c>
      <c r="G49" s="14">
        <v>-3.2</v>
      </c>
      <c r="H49" s="14">
        <v>-68.7</v>
      </c>
      <c r="I49" s="14">
        <v>-16.3</v>
      </c>
      <c r="J49" s="14">
        <v>-3.7</v>
      </c>
      <c r="K49" s="14">
        <v>5.6</v>
      </c>
      <c r="L49" s="14">
        <v>-68.7</v>
      </c>
      <c r="M49" s="14">
        <v>-37.200000000000003</v>
      </c>
      <c r="N49" s="14">
        <v>-28.8</v>
      </c>
      <c r="O49" s="14">
        <v>2</v>
      </c>
      <c r="P49" s="14">
        <v>-87.4</v>
      </c>
      <c r="Q49" s="4">
        <v>-20.8</v>
      </c>
      <c r="Z49" s="14">
        <v>-82.947999999999993</v>
      </c>
      <c r="AA49" s="14">
        <v>-68.123000000000005</v>
      </c>
      <c r="AB49" s="14">
        <v>-64.36</v>
      </c>
      <c r="AC49" s="14">
        <v>-195.102</v>
      </c>
      <c r="AD49" s="14">
        <v>-65.099999999999994</v>
      </c>
      <c r="AE49" s="14">
        <v>-132.71100000000001</v>
      </c>
    </row>
    <row r="50" spans="3:31" x14ac:dyDescent="0.25">
      <c r="C50" s="2" t="s">
        <v>83</v>
      </c>
      <c r="D50" s="14">
        <v>-39.6</v>
      </c>
      <c r="E50" s="14">
        <v>31.2</v>
      </c>
      <c r="F50" s="14">
        <v>-54</v>
      </c>
      <c r="G50" s="14">
        <v>69.3</v>
      </c>
      <c r="H50" s="14">
        <v>24</v>
      </c>
      <c r="I50" s="14">
        <v>62.7</v>
      </c>
      <c r="J50" s="14">
        <v>-223.8</v>
      </c>
      <c r="K50" s="14">
        <v>86.7</v>
      </c>
      <c r="L50" s="14">
        <v>24</v>
      </c>
      <c r="M50" s="14">
        <v>21.6</v>
      </c>
      <c r="N50" s="14">
        <v>99.8</v>
      </c>
      <c r="O50" s="14">
        <v>116.2</v>
      </c>
      <c r="P50" s="14">
        <v>-55.9</v>
      </c>
      <c r="Q50" s="4">
        <v>-5.4</v>
      </c>
      <c r="Z50" s="14">
        <f>2.1-10.2</f>
        <v>-8.1</v>
      </c>
      <c r="AA50" s="14">
        <f>70.563+57.698</f>
        <v>128.261</v>
      </c>
      <c r="AB50" s="14">
        <f>-27.928-21.908</f>
        <v>-49.835999999999999</v>
      </c>
      <c r="AC50" s="14">
        <f>-173.258+114.949</f>
        <v>-58.309000000000012</v>
      </c>
      <c r="AD50" s="14">
        <f>-124+10.777</f>
        <v>-113.223</v>
      </c>
      <c r="AE50" s="14">
        <f>340-78.488</f>
        <v>261.512</v>
      </c>
    </row>
    <row r="51" spans="3:31" x14ac:dyDescent="0.25">
      <c r="C51" s="1" t="s">
        <v>84</v>
      </c>
      <c r="D51" s="12">
        <f t="shared" ref="D51:O51" si="53">SUM(D46:D50)</f>
        <v>106.20000000000002</v>
      </c>
      <c r="E51" s="12">
        <f t="shared" si="53"/>
        <v>130.5</v>
      </c>
      <c r="F51" s="12">
        <f t="shared" si="53"/>
        <v>19.799999999999997</v>
      </c>
      <c r="G51" s="12">
        <f t="shared" si="53"/>
        <v>319.7</v>
      </c>
      <c r="H51" s="12">
        <f t="shared" si="53"/>
        <v>101.39999999999999</v>
      </c>
      <c r="I51" s="12">
        <f t="shared" si="53"/>
        <v>121.80000000000001</v>
      </c>
      <c r="J51" s="12">
        <f t="shared" si="53"/>
        <v>-99.600000000000009</v>
      </c>
      <c r="K51" s="12">
        <f t="shared" si="53"/>
        <v>271.3</v>
      </c>
      <c r="L51" s="12">
        <f t="shared" si="53"/>
        <v>101.39999999999999</v>
      </c>
      <c r="M51" s="12">
        <f t="shared" si="53"/>
        <v>96.5</v>
      </c>
      <c r="N51" s="12">
        <f>SUM(N46:N50)</f>
        <v>170.6</v>
      </c>
      <c r="O51" s="12">
        <f t="shared" si="53"/>
        <v>257.2</v>
      </c>
      <c r="P51" s="12">
        <f>SUM(P46:P50)</f>
        <v>36.499999999999979</v>
      </c>
      <c r="Q51" s="13">
        <f>SUM(Q46:Q50)</f>
        <v>44.900000000000013</v>
      </c>
      <c r="Z51" s="12">
        <f t="shared" ref="Z51:AD51" si="54">SUM(Z46:Z50)</f>
        <v>304.94099999999997</v>
      </c>
      <c r="AA51" s="12">
        <f t="shared" si="54"/>
        <v>441.46400000000006</v>
      </c>
      <c r="AB51" s="12">
        <f t="shared" si="54"/>
        <v>462.71400000000006</v>
      </c>
      <c r="AC51" s="12">
        <f t="shared" si="54"/>
        <v>475.75100000000003</v>
      </c>
      <c r="AD51" s="12">
        <f t="shared" si="54"/>
        <v>400.38500000000005</v>
      </c>
      <c r="AE51" s="12">
        <f>SUM(AE46:AE50)</f>
        <v>625.70600000000013</v>
      </c>
    </row>
    <row r="52" spans="3:31" x14ac:dyDescent="0.25"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Z52" s="14"/>
      <c r="AA52" s="14"/>
      <c r="AB52" s="14"/>
      <c r="AC52" s="14"/>
      <c r="AD52" s="14"/>
      <c r="AE52" s="14"/>
    </row>
    <row r="53" spans="3:31" x14ac:dyDescent="0.25">
      <c r="C53" s="2" t="s">
        <v>85</v>
      </c>
      <c r="D53" s="14">
        <v>-21.8</v>
      </c>
      <c r="E53" s="14">
        <v>-99.3</v>
      </c>
      <c r="F53" s="14">
        <v>-313.60000000000002</v>
      </c>
      <c r="G53" s="14">
        <v>-233.8</v>
      </c>
      <c r="H53" s="14">
        <v>-4.2</v>
      </c>
      <c r="I53" s="14">
        <v>-159.19999999999999</v>
      </c>
      <c r="J53" s="14">
        <v>-9.3000000000000007</v>
      </c>
      <c r="K53" s="14">
        <v>-17.2</v>
      </c>
      <c r="L53" s="14">
        <v>-4.2</v>
      </c>
      <c r="M53" s="14">
        <v>-24.9</v>
      </c>
      <c r="N53" s="14">
        <v>-7</v>
      </c>
      <c r="O53" s="14">
        <v>-4.0999999999999996</v>
      </c>
      <c r="P53" s="14">
        <f>-2.8</f>
        <v>-2.8</v>
      </c>
      <c r="Q53" s="4">
        <v>-3.7</v>
      </c>
      <c r="Z53" s="14">
        <v>-25.933</v>
      </c>
      <c r="AA53" s="14">
        <v>-97.393000000000001</v>
      </c>
      <c r="AB53" s="14">
        <v>-411.93900000000002</v>
      </c>
      <c r="AC53" s="14">
        <v>-750.92399999999998</v>
      </c>
      <c r="AD53" s="14">
        <v>-207.53299999999999</v>
      </c>
      <c r="AE53" s="14">
        <v>-40.158000000000001</v>
      </c>
    </row>
    <row r="54" spans="3:31" x14ac:dyDescent="0.25">
      <c r="C54" s="1" t="s">
        <v>86</v>
      </c>
      <c r="D54" s="12">
        <f t="shared" ref="D54:O54" si="55">D53</f>
        <v>-21.8</v>
      </c>
      <c r="E54" s="12">
        <f t="shared" si="55"/>
        <v>-99.3</v>
      </c>
      <c r="F54" s="12">
        <f t="shared" si="55"/>
        <v>-313.60000000000002</v>
      </c>
      <c r="G54" s="12">
        <f t="shared" si="55"/>
        <v>-233.8</v>
      </c>
      <c r="H54" s="12">
        <f t="shared" si="55"/>
        <v>-4.2</v>
      </c>
      <c r="I54" s="12">
        <f t="shared" si="55"/>
        <v>-159.19999999999999</v>
      </c>
      <c r="J54" s="12">
        <f t="shared" si="55"/>
        <v>-9.3000000000000007</v>
      </c>
      <c r="K54" s="12">
        <f t="shared" si="55"/>
        <v>-17.2</v>
      </c>
      <c r="L54" s="12">
        <f t="shared" si="55"/>
        <v>-4.2</v>
      </c>
      <c r="M54" s="12">
        <f t="shared" si="55"/>
        <v>-24.9</v>
      </c>
      <c r="N54" s="12">
        <f t="shared" si="55"/>
        <v>-7</v>
      </c>
      <c r="O54" s="12">
        <f t="shared" si="55"/>
        <v>-4.0999999999999996</v>
      </c>
      <c r="P54" s="12">
        <f>P53</f>
        <v>-2.8</v>
      </c>
      <c r="Q54" s="13">
        <f>Q53</f>
        <v>-3.7</v>
      </c>
      <c r="Z54" s="12">
        <f t="shared" ref="Z54:AD54" si="56">Z53</f>
        <v>-25.933</v>
      </c>
      <c r="AA54" s="12">
        <f t="shared" si="56"/>
        <v>-97.393000000000001</v>
      </c>
      <c r="AB54" s="12">
        <f t="shared" si="56"/>
        <v>-411.93900000000002</v>
      </c>
      <c r="AC54" s="12">
        <f t="shared" si="56"/>
        <v>-750.92399999999998</v>
      </c>
      <c r="AD54" s="12">
        <f t="shared" si="56"/>
        <v>-207.53299999999999</v>
      </c>
      <c r="AE54" s="12">
        <f>AE53</f>
        <v>-40.158000000000001</v>
      </c>
    </row>
    <row r="55" spans="3:31" x14ac:dyDescent="0.25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Z55" s="12"/>
      <c r="AA55" s="12"/>
      <c r="AB55" s="12"/>
      <c r="AC55" s="12"/>
      <c r="AD55" s="12"/>
      <c r="AE55" s="12"/>
    </row>
    <row r="56" spans="3:31" x14ac:dyDescent="0.25">
      <c r="C56" s="2" t="s">
        <v>87</v>
      </c>
      <c r="D56" s="14">
        <v>-138.69999999999999</v>
      </c>
      <c r="E56" s="14">
        <v>-29.9</v>
      </c>
      <c r="F56" s="14">
        <v>-31.6</v>
      </c>
      <c r="G56" s="14">
        <v>-136.6</v>
      </c>
      <c r="H56" s="14">
        <v>-36.9</v>
      </c>
      <c r="I56" s="14">
        <v>-38</v>
      </c>
      <c r="J56" s="14">
        <v>-136.5</v>
      </c>
      <c r="K56" s="14">
        <v>-135.9</v>
      </c>
      <c r="L56" s="14">
        <v>-36.9</v>
      </c>
      <c r="M56" s="14">
        <v>-36.799999999999997</v>
      </c>
      <c r="N56" s="14">
        <v>-36.299999999999997</v>
      </c>
      <c r="O56" s="14">
        <v>-135.4</v>
      </c>
      <c r="P56" s="14">
        <v>-31.7</v>
      </c>
      <c r="Q56" s="4">
        <v>-140</v>
      </c>
      <c r="Z56" s="14">
        <v>-72.436000000000007</v>
      </c>
      <c r="AA56" s="14">
        <v>-90.551000000000002</v>
      </c>
      <c r="AB56" s="14">
        <v>-813.89499999999998</v>
      </c>
      <c r="AC56" s="14">
        <v>-228.82599999999999</v>
      </c>
      <c r="AD56" s="14">
        <v>-449</v>
      </c>
      <c r="AE56" s="14">
        <v>-245.41499999999999</v>
      </c>
    </row>
    <row r="57" spans="3:31" x14ac:dyDescent="0.25">
      <c r="C57" s="2" t="s">
        <v>88</v>
      </c>
      <c r="D57" s="14">
        <v>0</v>
      </c>
      <c r="E57" s="14">
        <v>94.6</v>
      </c>
      <c r="F57" s="14">
        <v>250.1</v>
      </c>
      <c r="G57" s="14">
        <v>0</v>
      </c>
      <c r="H57" s="14">
        <v>0</v>
      </c>
      <c r="I57" s="14">
        <v>100</v>
      </c>
      <c r="J57" s="14">
        <v>0</v>
      </c>
      <c r="K57" s="14">
        <v>0</v>
      </c>
      <c r="L57" s="14">
        <v>0</v>
      </c>
      <c r="M57" s="14">
        <v>0</v>
      </c>
      <c r="N57" s="14">
        <v>100</v>
      </c>
      <c r="O57" s="14">
        <v>0</v>
      </c>
      <c r="P57" s="14">
        <v>0</v>
      </c>
      <c r="Q57" s="4">
        <v>0</v>
      </c>
      <c r="Z57" s="14">
        <v>0</v>
      </c>
      <c r="AA57" s="14">
        <v>155.32499999999999</v>
      </c>
      <c r="AB57" s="14">
        <v>600</v>
      </c>
      <c r="AC57" s="14">
        <v>344.67500000000001</v>
      </c>
      <c r="AD57" s="14">
        <v>100</v>
      </c>
      <c r="AE57" s="14">
        <v>100</v>
      </c>
    </row>
    <row r="58" spans="3:31" x14ac:dyDescent="0.25">
      <c r="C58" s="2" t="s">
        <v>89</v>
      </c>
      <c r="D58" s="14">
        <v>0</v>
      </c>
      <c r="E58" s="14">
        <v>-107.1</v>
      </c>
      <c r="F58" s="14">
        <v>-1</v>
      </c>
      <c r="G58" s="14">
        <v>-96</v>
      </c>
      <c r="H58" s="14">
        <v>0</v>
      </c>
      <c r="I58" s="14">
        <v>-115</v>
      </c>
      <c r="J58" s="14">
        <v>0</v>
      </c>
      <c r="K58" s="14">
        <v>-102.8</v>
      </c>
      <c r="L58" s="14">
        <v>0</v>
      </c>
      <c r="M58" s="14">
        <v>-82.5</v>
      </c>
      <c r="N58" s="14">
        <v>0</v>
      </c>
      <c r="O58" s="14">
        <v>-71.099999999999994</v>
      </c>
      <c r="P58" s="14">
        <v>0</v>
      </c>
      <c r="Q58" s="4">
        <v>-37.5</v>
      </c>
      <c r="R58" s="14"/>
      <c r="Z58" s="14">
        <v>-122.93899999999999</v>
      </c>
      <c r="AA58" s="14">
        <v>-8.3879999999999999</v>
      </c>
      <c r="AB58" s="14">
        <v>-151.99799999999999</v>
      </c>
      <c r="AC58" s="14">
        <v>-204.08699999999999</v>
      </c>
      <c r="AD58" s="14">
        <v>-217.75299999999999</v>
      </c>
      <c r="AE58" s="14">
        <v>-153.66200000000001</v>
      </c>
    </row>
    <row r="59" spans="3:31" x14ac:dyDescent="0.25">
      <c r="C59" s="2" t="s">
        <v>90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-8.1999999999999993</v>
      </c>
      <c r="O59" s="14">
        <v>-14.6</v>
      </c>
      <c r="P59" s="14">
        <v>-7.5</v>
      </c>
      <c r="Q59" s="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-22.856999999999999</v>
      </c>
    </row>
    <row r="60" spans="3:31" x14ac:dyDescent="0.25">
      <c r="C60" s="2" t="s">
        <v>91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-8.8000000000000007</v>
      </c>
      <c r="L60" s="14">
        <v>0</v>
      </c>
      <c r="M60" s="14">
        <v>0</v>
      </c>
      <c r="N60" s="14">
        <v>0</v>
      </c>
      <c r="O60" s="14">
        <v>-6.1</v>
      </c>
      <c r="P60" s="14">
        <v>0</v>
      </c>
      <c r="Q60" s="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-8.8000000000000007</v>
      </c>
      <c r="AE60" s="14">
        <v>-6</v>
      </c>
    </row>
    <row r="61" spans="3:31" x14ac:dyDescent="0.25">
      <c r="C61" s="1" t="s">
        <v>92</v>
      </c>
      <c r="D61" s="12">
        <f t="shared" ref="D61:O61" si="57">SUM(D56:D60)</f>
        <v>-138.69999999999999</v>
      </c>
      <c r="E61" s="12">
        <f t="shared" si="57"/>
        <v>-42.400000000000006</v>
      </c>
      <c r="F61" s="12">
        <f t="shared" si="57"/>
        <v>217.5</v>
      </c>
      <c r="G61" s="12">
        <f t="shared" si="57"/>
        <v>-232.6</v>
      </c>
      <c r="H61" s="12">
        <f t="shared" si="57"/>
        <v>-36.9</v>
      </c>
      <c r="I61" s="12">
        <f t="shared" si="57"/>
        <v>-53</v>
      </c>
      <c r="J61" s="12">
        <f t="shared" si="57"/>
        <v>-136.5</v>
      </c>
      <c r="K61" s="12">
        <f t="shared" si="57"/>
        <v>-247.5</v>
      </c>
      <c r="L61" s="12">
        <f t="shared" si="57"/>
        <v>-36.9</v>
      </c>
      <c r="M61" s="12">
        <f t="shared" si="57"/>
        <v>-119.3</v>
      </c>
      <c r="N61" s="12">
        <f t="shared" si="57"/>
        <v>55.5</v>
      </c>
      <c r="O61" s="12">
        <f t="shared" si="57"/>
        <v>-227.2</v>
      </c>
      <c r="P61" s="12">
        <f>SUM(P56:P60)</f>
        <v>-39.200000000000003</v>
      </c>
      <c r="Q61" s="13">
        <f>SUM(Q56:Q60)</f>
        <v>-177.5</v>
      </c>
      <c r="Z61" s="12">
        <f t="shared" ref="Z61:AD61" si="58">SUM(Z56:Z60)</f>
        <v>-195.375</v>
      </c>
      <c r="AA61" s="12">
        <f t="shared" si="58"/>
        <v>56.385999999999989</v>
      </c>
      <c r="AB61" s="12">
        <f>SUM(AB56:AB60)+492.5</f>
        <v>126.60700000000003</v>
      </c>
      <c r="AC61" s="12">
        <f t="shared" si="58"/>
        <v>-88.237999999999971</v>
      </c>
      <c r="AD61" s="12">
        <f t="shared" si="58"/>
        <v>-575.55299999999988</v>
      </c>
      <c r="AE61" s="12">
        <f>SUM(AE56:AE60)</f>
        <v>-327.93399999999997</v>
      </c>
    </row>
    <row r="62" spans="3:31" x14ac:dyDescent="0.25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Z62" s="14"/>
      <c r="AA62" s="14"/>
      <c r="AB62" s="14"/>
      <c r="AC62" s="14"/>
      <c r="AD62" s="14"/>
      <c r="AE62" s="14"/>
    </row>
    <row r="63" spans="3:31" x14ac:dyDescent="0.25">
      <c r="C63" s="2" t="s">
        <v>93</v>
      </c>
      <c r="D63" s="14">
        <f t="shared" ref="D63:O63" si="59">D51+D54+D61</f>
        <v>-54.299999999999969</v>
      </c>
      <c r="E63" s="14">
        <f t="shared" si="59"/>
        <v>-11.200000000000003</v>
      </c>
      <c r="F63" s="14">
        <f t="shared" si="59"/>
        <v>-76.300000000000011</v>
      </c>
      <c r="G63" s="14">
        <f t="shared" si="59"/>
        <v>-146.70000000000002</v>
      </c>
      <c r="H63" s="14">
        <f t="shared" si="59"/>
        <v>60.29999999999999</v>
      </c>
      <c r="I63" s="14">
        <f t="shared" si="59"/>
        <v>-90.399999999999977</v>
      </c>
      <c r="J63" s="14">
        <f t="shared" si="59"/>
        <v>-245.4</v>
      </c>
      <c r="K63" s="14">
        <f t="shared" si="59"/>
        <v>6.6000000000000227</v>
      </c>
      <c r="L63" s="14">
        <f t="shared" si="59"/>
        <v>60.29999999999999</v>
      </c>
      <c r="M63" s="14">
        <f t="shared" si="59"/>
        <v>-47.7</v>
      </c>
      <c r="N63" s="14">
        <f t="shared" si="59"/>
        <v>219.1</v>
      </c>
      <c r="O63" s="14">
        <f t="shared" si="59"/>
        <v>25.900000000000006</v>
      </c>
      <c r="P63" s="14">
        <f>P51+P54+P61</f>
        <v>-5.5000000000000213</v>
      </c>
      <c r="Q63" s="15">
        <f>Q51+Q54+Q61</f>
        <v>-136.29999999999998</v>
      </c>
      <c r="R63" s="1"/>
      <c r="S63" s="1"/>
      <c r="T63" s="1"/>
      <c r="U63" s="1"/>
      <c r="V63" s="1"/>
      <c r="W63" s="1"/>
      <c r="X63" s="1"/>
      <c r="Y63" s="1"/>
      <c r="Z63" s="14">
        <f t="shared" ref="Z63:AE63" si="60">Z51+Z54+Z61</f>
        <v>83.632999999999981</v>
      </c>
      <c r="AA63" s="14">
        <f t="shared" si="60"/>
        <v>400.45699999999999</v>
      </c>
      <c r="AB63" s="14">
        <f t="shared" si="60"/>
        <v>177.38200000000006</v>
      </c>
      <c r="AC63" s="14">
        <f t="shared" si="60"/>
        <v>-363.41099999999994</v>
      </c>
      <c r="AD63" s="14">
        <f t="shared" si="60"/>
        <v>-382.70099999999979</v>
      </c>
      <c r="AE63" s="14">
        <f t="shared" si="60"/>
        <v>257.61400000000015</v>
      </c>
    </row>
    <row r="64" spans="3:31" x14ac:dyDescent="0.25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5"/>
      <c r="R64" s="1"/>
      <c r="S64" s="1"/>
      <c r="T64" s="1"/>
      <c r="U64" s="1"/>
      <c r="V64" s="1"/>
      <c r="W64" s="1"/>
      <c r="X64" s="1"/>
      <c r="Y64" s="1"/>
      <c r="Z64" s="14"/>
      <c r="AA64" s="14"/>
      <c r="AB64" s="14"/>
      <c r="AC64" s="14"/>
      <c r="AD64" s="14"/>
      <c r="AE64" s="14"/>
    </row>
    <row r="65" spans="3:31" x14ac:dyDescent="0.25">
      <c r="C65" s="2" t="s">
        <v>94</v>
      </c>
      <c r="D65" s="14">
        <f t="shared" ref="D65:O65" si="61">D51+D54</f>
        <v>84.40000000000002</v>
      </c>
      <c r="E65" s="14">
        <f t="shared" si="61"/>
        <v>31.200000000000003</v>
      </c>
      <c r="F65" s="14">
        <f t="shared" si="61"/>
        <v>-293.8</v>
      </c>
      <c r="G65" s="14">
        <f t="shared" si="61"/>
        <v>85.899999999999977</v>
      </c>
      <c r="H65" s="14">
        <f t="shared" si="61"/>
        <v>97.199999999999989</v>
      </c>
      <c r="I65" s="14">
        <f t="shared" si="61"/>
        <v>-37.399999999999977</v>
      </c>
      <c r="J65" s="14">
        <f t="shared" si="61"/>
        <v>-108.9</v>
      </c>
      <c r="K65" s="14">
        <f t="shared" si="61"/>
        <v>254.10000000000002</v>
      </c>
      <c r="L65" s="14">
        <f t="shared" si="61"/>
        <v>97.199999999999989</v>
      </c>
      <c r="M65" s="14">
        <f t="shared" si="61"/>
        <v>71.599999999999994</v>
      </c>
      <c r="N65" s="14">
        <f t="shared" si="61"/>
        <v>163.6</v>
      </c>
      <c r="O65" s="14">
        <f t="shared" si="61"/>
        <v>253.1</v>
      </c>
      <c r="P65" s="14">
        <f>P51+P54</f>
        <v>33.699999999999982</v>
      </c>
      <c r="Q65" s="15">
        <f>Q51+Q54</f>
        <v>41.20000000000001</v>
      </c>
      <c r="R65" s="1"/>
      <c r="S65" s="1"/>
      <c r="T65" s="1"/>
      <c r="U65" s="1"/>
      <c r="V65" s="1"/>
      <c r="W65" s="1"/>
      <c r="X65" s="1"/>
      <c r="Y65" s="1"/>
      <c r="Z65" s="14">
        <f t="shared" ref="Z65:AE65" si="62">Z51+Z54</f>
        <v>279.00799999999998</v>
      </c>
      <c r="AA65" s="14">
        <f t="shared" si="62"/>
        <v>344.07100000000003</v>
      </c>
      <c r="AB65" s="14">
        <f t="shared" si="62"/>
        <v>50.775000000000034</v>
      </c>
      <c r="AC65" s="14">
        <f t="shared" si="62"/>
        <v>-275.17299999999994</v>
      </c>
      <c r="AD65" s="14">
        <f t="shared" si="62"/>
        <v>192.85200000000006</v>
      </c>
      <c r="AE65" s="14">
        <f t="shared" si="62"/>
        <v>585.54800000000012</v>
      </c>
    </row>
    <row r="66" spans="3:31" x14ac:dyDescent="0.25">
      <c r="C66" s="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"/>
      <c r="P66" s="1"/>
      <c r="Q66" s="4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3:31" x14ac:dyDescent="0.25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R67" s="1"/>
      <c r="S67" s="1"/>
      <c r="T67" s="1"/>
      <c r="U67" s="1"/>
      <c r="V67" s="1"/>
      <c r="W67" s="1"/>
      <c r="X67" s="1"/>
      <c r="Y67" s="1"/>
      <c r="Z67" s="1"/>
    </row>
    <row r="68" spans="3:31" x14ac:dyDescent="0.25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3:31" x14ac:dyDescent="0.25">
      <c r="R69" s="1"/>
      <c r="S69" s="1"/>
      <c r="T69" s="1"/>
      <c r="U69" s="1"/>
      <c r="V69" s="1"/>
      <c r="W69" s="1"/>
      <c r="X69" s="1"/>
      <c r="Y69" s="1"/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4:X32"/>
  <sheetViews>
    <sheetView showGridLines="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J17" sqref="J17"/>
    </sheetView>
  </sheetViews>
  <sheetFormatPr baseColWidth="10" defaultRowHeight="19" x14ac:dyDescent="0.25"/>
  <cols>
    <col min="1" max="1" width="6.33203125" style="2" customWidth="1"/>
    <col min="2" max="2" width="16.5" style="2" bestFit="1" customWidth="1"/>
    <col min="3" max="16384" width="10.83203125" style="2"/>
  </cols>
  <sheetData>
    <row r="4" spans="2:24" x14ac:dyDescent="0.25">
      <c r="B4" s="2" t="s">
        <v>38</v>
      </c>
      <c r="C4" s="7" t="s">
        <v>3</v>
      </c>
      <c r="D4" s="7" t="s">
        <v>4</v>
      </c>
      <c r="E4" s="7" t="s">
        <v>5</v>
      </c>
      <c r="F4" s="7" t="s">
        <v>6</v>
      </c>
      <c r="G4" s="29">
        <v>2022</v>
      </c>
      <c r="H4" s="7" t="s">
        <v>7</v>
      </c>
      <c r="I4" s="7" t="s">
        <v>8</v>
      </c>
      <c r="J4" s="7" t="s">
        <v>9</v>
      </c>
      <c r="K4" s="7" t="s">
        <v>10</v>
      </c>
      <c r="L4" s="29">
        <v>2023</v>
      </c>
      <c r="M4" s="7" t="s">
        <v>11</v>
      </c>
      <c r="N4" s="7" t="s">
        <v>12</v>
      </c>
      <c r="O4" s="7" t="s">
        <v>13</v>
      </c>
      <c r="P4" s="7" t="s">
        <v>14</v>
      </c>
      <c r="Q4" s="29">
        <v>2024</v>
      </c>
      <c r="R4" s="7" t="s">
        <v>37</v>
      </c>
      <c r="S4" s="7" t="s">
        <v>31</v>
      </c>
      <c r="T4" s="7" t="s">
        <v>35</v>
      </c>
      <c r="U4" s="7" t="s">
        <v>36</v>
      </c>
      <c r="V4" s="1">
        <v>2025</v>
      </c>
    </row>
    <row r="5" spans="2:24" x14ac:dyDescent="0.25">
      <c r="B5" s="1" t="s">
        <v>101</v>
      </c>
      <c r="G5" s="1"/>
      <c r="L5" s="1"/>
      <c r="Q5" s="1"/>
      <c r="V5" s="1"/>
    </row>
    <row r="6" spans="2:24" x14ac:dyDescent="0.25">
      <c r="B6" s="2" t="s">
        <v>102</v>
      </c>
      <c r="C6" s="14">
        <v>976</v>
      </c>
      <c r="D6" s="14">
        <v>832.7</v>
      </c>
      <c r="E6" s="14">
        <v>894.8</v>
      </c>
      <c r="F6" s="14">
        <v>1120.9000000000001</v>
      </c>
      <c r="G6" s="12">
        <f>SUM(C6:F6)</f>
        <v>3824.4</v>
      </c>
      <c r="H6" s="14">
        <v>1091.5</v>
      </c>
      <c r="I6" s="14">
        <v>936.3</v>
      </c>
      <c r="J6" s="14">
        <v>861.5</v>
      </c>
      <c r="K6" s="14">
        <v>1003.2</v>
      </c>
      <c r="L6" s="12">
        <f>SUM(H6:K6)</f>
        <v>3892.5</v>
      </c>
      <c r="M6" s="14">
        <v>988.9</v>
      </c>
      <c r="N6" s="14">
        <v>933.2</v>
      </c>
      <c r="O6" s="14">
        <v>749.9</v>
      </c>
      <c r="P6" s="14">
        <v>915.2</v>
      </c>
      <c r="Q6" s="12">
        <f>SUM(M6:P6)</f>
        <v>3587.2</v>
      </c>
      <c r="R6" s="14">
        <v>880.2</v>
      </c>
      <c r="S6" s="14">
        <v>802.9</v>
      </c>
      <c r="T6" s="14"/>
      <c r="U6" s="14"/>
      <c r="V6" s="12">
        <v>3366</v>
      </c>
    </row>
    <row r="7" spans="2:24" x14ac:dyDescent="0.25">
      <c r="B7" s="31" t="s">
        <v>105</v>
      </c>
      <c r="C7" s="31"/>
      <c r="D7" s="31"/>
      <c r="E7" s="31"/>
      <c r="F7" s="31"/>
      <c r="G7" s="32"/>
      <c r="H7" s="31">
        <f t="shared" ref="H7:V7" si="0">(H6-C6)/C6</f>
        <v>0.11834016393442623</v>
      </c>
      <c r="I7" s="31">
        <f t="shared" si="0"/>
        <v>0.12441455506184688</v>
      </c>
      <c r="J7" s="31">
        <f t="shared" si="0"/>
        <v>-3.7215020116227043E-2</v>
      </c>
      <c r="K7" s="31">
        <f t="shared" si="0"/>
        <v>-0.10500490677134448</v>
      </c>
      <c r="L7" s="32">
        <f t="shared" si="0"/>
        <v>1.7806714778788806E-2</v>
      </c>
      <c r="M7" s="31">
        <f t="shared" si="0"/>
        <v>-9.3999083829592323E-2</v>
      </c>
      <c r="N7" s="31">
        <f t="shared" si="0"/>
        <v>-3.3109046245860399E-3</v>
      </c>
      <c r="O7" s="31">
        <f t="shared" si="0"/>
        <v>-0.12954149738827628</v>
      </c>
      <c r="P7" s="31">
        <f t="shared" si="0"/>
        <v>-8.771929824561403E-2</v>
      </c>
      <c r="Q7" s="32">
        <f t="shared" si="0"/>
        <v>-7.8432883750802873E-2</v>
      </c>
      <c r="R7" s="31">
        <f t="shared" si="0"/>
        <v>-0.10992011325715435</v>
      </c>
      <c r="S7" s="31">
        <f t="shared" si="0"/>
        <v>-0.13962708958422637</v>
      </c>
      <c r="T7" s="31">
        <f t="shared" si="0"/>
        <v>-1</v>
      </c>
      <c r="U7" s="31">
        <f t="shared" si="0"/>
        <v>-1</v>
      </c>
      <c r="V7" s="32">
        <f t="shared" si="0"/>
        <v>-6.1663693131132867E-2</v>
      </c>
    </row>
    <row r="8" spans="2:24" x14ac:dyDescent="0.25">
      <c r="B8" s="2" t="s">
        <v>50</v>
      </c>
      <c r="C8" s="14">
        <v>126.2</v>
      </c>
      <c r="D8" s="14">
        <v>89.6</v>
      </c>
      <c r="E8" s="14">
        <v>72.2</v>
      </c>
      <c r="F8" s="14">
        <v>110.5</v>
      </c>
      <c r="G8" s="12">
        <f>SUM(C8:F8)</f>
        <v>398.5</v>
      </c>
      <c r="H8" s="14">
        <v>114.9</v>
      </c>
      <c r="I8" s="14">
        <v>46.5</v>
      </c>
      <c r="J8" s="14">
        <v>63.2</v>
      </c>
      <c r="K8" s="14">
        <v>91.9</v>
      </c>
      <c r="L8" s="12">
        <f>SUM(H8:K8)</f>
        <v>316.5</v>
      </c>
      <c r="M8" s="14">
        <v>82.7</v>
      </c>
      <c r="N8" s="14">
        <v>68</v>
      </c>
      <c r="O8" s="14">
        <v>60.7</v>
      </c>
      <c r="P8" s="14">
        <v>84.8</v>
      </c>
      <c r="Q8" s="12">
        <f>SUM(M8:P8)</f>
        <v>296.2</v>
      </c>
      <c r="R8" s="14">
        <v>80.3</v>
      </c>
      <c r="S8" s="14">
        <v>54.3</v>
      </c>
      <c r="T8" s="14"/>
      <c r="U8" s="14"/>
      <c r="V8" s="12">
        <f>SUM(R8:U8)</f>
        <v>134.6</v>
      </c>
    </row>
    <row r="9" spans="2:24" x14ac:dyDescent="0.25">
      <c r="B9" s="11" t="s">
        <v>113</v>
      </c>
      <c r="C9" s="31">
        <f t="shared" ref="C9:P9" si="1">C8/C6</f>
        <v>0.12930327868852459</v>
      </c>
      <c r="D9" s="31">
        <f t="shared" si="1"/>
        <v>0.10760177735078659</v>
      </c>
      <c r="E9" s="31">
        <f t="shared" si="1"/>
        <v>8.0688421993741627E-2</v>
      </c>
      <c r="F9" s="31">
        <f t="shared" si="1"/>
        <v>9.8581497011330177E-2</v>
      </c>
      <c r="G9" s="32">
        <f t="shared" si="1"/>
        <v>0.10419935153226649</v>
      </c>
      <c r="H9" s="31">
        <f t="shared" si="1"/>
        <v>0.10526797984425104</v>
      </c>
      <c r="I9" s="31">
        <f t="shared" si="1"/>
        <v>4.9663569368792057E-2</v>
      </c>
      <c r="J9" s="31">
        <f t="shared" si="1"/>
        <v>7.3360417875798029E-2</v>
      </c>
      <c r="K9" s="31">
        <f t="shared" si="1"/>
        <v>9.160685805422647E-2</v>
      </c>
      <c r="L9" s="32">
        <f t="shared" si="1"/>
        <v>8.1310211946050093E-2</v>
      </c>
      <c r="M9" s="31">
        <f t="shared" si="1"/>
        <v>8.3628273839619779E-2</v>
      </c>
      <c r="N9" s="31">
        <f t="shared" si="1"/>
        <v>7.2867552507501071E-2</v>
      </c>
      <c r="O9" s="31">
        <f t="shared" si="1"/>
        <v>8.0944125883451137E-2</v>
      </c>
      <c r="P9" s="31">
        <f t="shared" si="1"/>
        <v>9.2657342657342656E-2</v>
      </c>
      <c r="Q9" s="32">
        <f>Q8/Q6</f>
        <v>8.2571364852809997E-2</v>
      </c>
      <c r="R9" s="31">
        <f>R8/R6</f>
        <v>9.1229266075891838E-2</v>
      </c>
      <c r="S9" s="31">
        <f t="shared" ref="S9:V9" si="2">S8/S6</f>
        <v>6.7629841823390213E-2</v>
      </c>
      <c r="T9" s="31" t="e">
        <f t="shared" si="2"/>
        <v>#DIV/0!</v>
      </c>
      <c r="U9" s="31" t="e">
        <f t="shared" si="2"/>
        <v>#DIV/0!</v>
      </c>
      <c r="V9" s="32">
        <f t="shared" si="2"/>
        <v>3.9988116458704689E-2</v>
      </c>
    </row>
    <row r="10" spans="2:24" x14ac:dyDescent="0.25">
      <c r="B10" s="2" t="s">
        <v>103</v>
      </c>
      <c r="C10" s="2">
        <v>1717</v>
      </c>
      <c r="D10" s="2">
        <v>1720</v>
      </c>
      <c r="E10" s="2">
        <v>1921</v>
      </c>
      <c r="F10" s="2">
        <v>1931</v>
      </c>
      <c r="G10" s="1"/>
      <c r="H10" s="2">
        <v>1910</v>
      </c>
      <c r="I10" s="2">
        <v>1961</v>
      </c>
      <c r="J10" s="2">
        <v>1953</v>
      </c>
      <c r="K10" s="2">
        <v>1923</v>
      </c>
      <c r="L10" s="1"/>
      <c r="M10" s="2">
        <v>1856</v>
      </c>
      <c r="N10" s="2">
        <v>1812</v>
      </c>
      <c r="O10" s="2">
        <v>1762</v>
      </c>
      <c r="P10" s="2">
        <v>1715</v>
      </c>
      <c r="Q10" s="1"/>
      <c r="R10" s="2">
        <v>1671</v>
      </c>
      <c r="S10" s="2">
        <v>1646</v>
      </c>
      <c r="V10" s="1"/>
    </row>
    <row r="11" spans="2:24" ht="20" thickBot="1" x14ac:dyDescent="0.3">
      <c r="B11" s="37" t="s">
        <v>117</v>
      </c>
      <c r="C11" s="38"/>
      <c r="D11" s="38"/>
      <c r="E11" s="38"/>
      <c r="F11" s="38"/>
      <c r="G11" s="39"/>
      <c r="H11" s="38">
        <f>(H10-C10)/C10</f>
        <v>0.11240535818287711</v>
      </c>
      <c r="I11" s="38">
        <f>(I10-D10)/D10</f>
        <v>0.14011627906976745</v>
      </c>
      <c r="J11" s="38">
        <f>(J10-E10)/E10</f>
        <v>1.665799062988027E-2</v>
      </c>
      <c r="K11" s="38">
        <f>(K10-F10)/F10</f>
        <v>-4.142931123770067E-3</v>
      </c>
      <c r="L11" s="39"/>
      <c r="M11" s="38">
        <f>(M10-H10)/H10</f>
        <v>-2.8272251308900525E-2</v>
      </c>
      <c r="N11" s="38">
        <f>(N10-I10)/I10</f>
        <v>-7.5981642019377862E-2</v>
      </c>
      <c r="O11" s="38">
        <f>(O10-J10)/J10</f>
        <v>-9.7798259088581668E-2</v>
      </c>
      <c r="P11" s="38">
        <f>(P10-K10)/K10</f>
        <v>-0.10816432657306292</v>
      </c>
      <c r="Q11" s="39"/>
      <c r="R11" s="38">
        <f>(R10-M10)/M10</f>
        <v>-9.9676724137931036E-2</v>
      </c>
      <c r="S11" s="38">
        <f>(S10-N10)/N10</f>
        <v>-9.1611479028697568E-2</v>
      </c>
      <c r="T11" s="38">
        <f>(T10-O10)/O10</f>
        <v>-1</v>
      </c>
      <c r="U11" s="38">
        <f>(U10-P10)/P10</f>
        <v>-1</v>
      </c>
      <c r="V11" s="39"/>
    </row>
    <row r="12" spans="2:24" x14ac:dyDescent="0.25">
      <c r="B12" s="1" t="s">
        <v>104</v>
      </c>
      <c r="G12" s="1"/>
      <c r="L12" s="1"/>
      <c r="Q12" s="1"/>
      <c r="V12" s="1"/>
    </row>
    <row r="13" spans="2:24" x14ac:dyDescent="0.25">
      <c r="B13" s="2" t="s">
        <v>102</v>
      </c>
      <c r="C13" s="14">
        <v>413.2</v>
      </c>
      <c r="D13" s="14">
        <v>401.5</v>
      </c>
      <c r="E13" s="14">
        <v>338.7</v>
      </c>
      <c r="F13" s="14">
        <v>431.9</v>
      </c>
      <c r="G13" s="12">
        <f>SUM(C13:F13)</f>
        <v>1585.3000000000002</v>
      </c>
      <c r="H13" s="14">
        <v>447</v>
      </c>
      <c r="I13" s="14">
        <v>366.4</v>
      </c>
      <c r="J13" s="14">
        <v>306.3</v>
      </c>
      <c r="K13" s="14">
        <v>354.8</v>
      </c>
      <c r="L13" s="12">
        <f>SUM(H13:K13)</f>
        <v>1474.5</v>
      </c>
      <c r="M13" s="14">
        <v>335.2</v>
      </c>
      <c r="N13" s="14">
        <v>320.3</v>
      </c>
      <c r="O13" s="14">
        <v>235.4</v>
      </c>
      <c r="P13" s="14">
        <v>290</v>
      </c>
      <c r="Q13" s="12">
        <f>SUM(M13:P13)</f>
        <v>1180.9000000000001</v>
      </c>
      <c r="R13" s="14">
        <v>286.10000000000002</v>
      </c>
      <c r="S13" s="14">
        <v>267.39999999999998</v>
      </c>
      <c r="T13" s="14"/>
      <c r="U13" s="14"/>
      <c r="V13" s="12">
        <f>SUM(R13:U13)</f>
        <v>553.5</v>
      </c>
    </row>
    <row r="14" spans="2:24" x14ac:dyDescent="0.25">
      <c r="B14" s="31" t="s">
        <v>105</v>
      </c>
      <c r="C14" s="31"/>
      <c r="D14" s="31"/>
      <c r="E14" s="31"/>
      <c r="F14" s="31"/>
      <c r="G14" s="32"/>
      <c r="H14" s="31">
        <f t="shared" ref="H14:V14" si="3">(H13-C13)/C13</f>
        <v>8.1800580832526656E-2</v>
      </c>
      <c r="I14" s="31">
        <f t="shared" si="3"/>
        <v>-8.7422166874221732E-2</v>
      </c>
      <c r="J14" s="31">
        <f t="shared" si="3"/>
        <v>-9.5659875996456978E-2</v>
      </c>
      <c r="K14" s="31">
        <f t="shared" si="3"/>
        <v>-0.17851354480203743</v>
      </c>
      <c r="L14" s="32">
        <f t="shared" si="3"/>
        <v>-6.989213398095008E-2</v>
      </c>
      <c r="M14" s="31">
        <f t="shared" si="3"/>
        <v>-0.25011185682326625</v>
      </c>
      <c r="N14" s="31">
        <f t="shared" si="3"/>
        <v>-0.12581877729257634</v>
      </c>
      <c r="O14" s="31">
        <f t="shared" si="3"/>
        <v>-0.23147241266731963</v>
      </c>
      <c r="P14" s="31">
        <f t="shared" si="3"/>
        <v>-0.18263810597519731</v>
      </c>
      <c r="Q14" s="32">
        <f t="shared" si="3"/>
        <v>-0.19911834520176325</v>
      </c>
      <c r="R14" s="31">
        <f t="shared" si="3"/>
        <v>-0.14647971360381851</v>
      </c>
      <c r="S14" s="31">
        <f t="shared" si="3"/>
        <v>-0.16515766468935383</v>
      </c>
      <c r="T14" s="31">
        <f t="shared" si="3"/>
        <v>-1</v>
      </c>
      <c r="U14" s="31">
        <f t="shared" si="3"/>
        <v>-1</v>
      </c>
      <c r="V14" s="32">
        <f t="shared" si="3"/>
        <v>-0.53128969430095696</v>
      </c>
    </row>
    <row r="15" spans="2:24" x14ac:dyDescent="0.25">
      <c r="B15" s="2" t="s">
        <v>50</v>
      </c>
      <c r="C15" s="14">
        <v>59.3</v>
      </c>
      <c r="D15" s="14">
        <v>38.799999999999997</v>
      </c>
      <c r="E15" s="14">
        <v>21.4</v>
      </c>
      <c r="F15" s="14">
        <v>48.4</v>
      </c>
      <c r="G15" s="12">
        <f>SUM(C15:F15)</f>
        <v>167.9</v>
      </c>
      <c r="H15" s="14">
        <v>59.1</v>
      </c>
      <c r="I15" s="14">
        <v>20.100000000000001</v>
      </c>
      <c r="J15" s="14">
        <v>7.4</v>
      </c>
      <c r="K15" s="14">
        <v>29</v>
      </c>
      <c r="L15" s="12">
        <f>SUM(H15:K15)</f>
        <v>115.60000000000001</v>
      </c>
      <c r="M15" s="14">
        <v>28</v>
      </c>
      <c r="N15" s="14">
        <v>19.3</v>
      </c>
      <c r="O15" s="14">
        <v>-1.3</v>
      </c>
      <c r="P15" s="14">
        <v>8</v>
      </c>
      <c r="Q15" s="12">
        <f>SUM(M15:P15)</f>
        <v>54</v>
      </c>
      <c r="R15" s="14">
        <v>17.7</v>
      </c>
      <c r="S15" s="14">
        <v>6.3</v>
      </c>
      <c r="T15" s="14"/>
      <c r="U15" s="14"/>
      <c r="V15" s="12">
        <f>SUM(R15:U15)</f>
        <v>24</v>
      </c>
      <c r="W15" s="31"/>
      <c r="X15" s="31"/>
    </row>
    <row r="16" spans="2:24" x14ac:dyDescent="0.25">
      <c r="B16" s="11" t="s">
        <v>113</v>
      </c>
      <c r="C16" s="31">
        <f t="shared" ref="C16" si="4">C15/C13</f>
        <v>0.14351403678606001</v>
      </c>
      <c r="D16" s="31">
        <f t="shared" ref="D16" si="5">D15/D13</f>
        <v>9.6637608966376076E-2</v>
      </c>
      <c r="E16" s="31">
        <f t="shared" ref="E16" si="6">E15/E13</f>
        <v>6.3182757602598172E-2</v>
      </c>
      <c r="F16" s="31">
        <f t="shared" ref="F16:G16" si="7">F15/F13</f>
        <v>0.11206297754109748</v>
      </c>
      <c r="G16" s="32">
        <f t="shared" si="7"/>
        <v>0.10591055320759477</v>
      </c>
      <c r="H16" s="31">
        <f t="shared" ref="H16" si="8">H15/H13</f>
        <v>0.13221476510067115</v>
      </c>
      <c r="I16" s="31">
        <f t="shared" ref="I16" si="9">I15/I13</f>
        <v>5.4858078602620097E-2</v>
      </c>
      <c r="J16" s="31">
        <f t="shared" ref="J16" si="10">J15/J13</f>
        <v>2.4159320927195561E-2</v>
      </c>
      <c r="K16" s="31">
        <f t="shared" ref="K16:L16" si="11">K15/K13</f>
        <v>8.1736189402480272E-2</v>
      </c>
      <c r="L16" s="32">
        <f t="shared" si="11"/>
        <v>7.8399457443201093E-2</v>
      </c>
      <c r="M16" s="31">
        <f t="shared" ref="M16" si="12">M15/M13</f>
        <v>8.3532219570405727E-2</v>
      </c>
      <c r="N16" s="31">
        <f t="shared" ref="N16" si="13">N15/N13</f>
        <v>6.0256009990633783E-2</v>
      </c>
      <c r="O16" s="31">
        <f t="shared" ref="O16" si="14">O15/O13</f>
        <v>-5.5225148683092605E-3</v>
      </c>
      <c r="P16" s="31">
        <f t="shared" ref="P16:Q16" si="15">P15/P13</f>
        <v>2.7586206896551724E-2</v>
      </c>
      <c r="Q16" s="32">
        <f t="shared" si="15"/>
        <v>4.5727834702345663E-2</v>
      </c>
      <c r="R16" s="31">
        <f t="shared" ref="R16" si="16">R15/R13</f>
        <v>6.186648025166025E-2</v>
      </c>
      <c r="S16" s="31">
        <f t="shared" ref="S16" si="17">S15/S13</f>
        <v>2.356020942408377E-2</v>
      </c>
      <c r="T16" s="31" t="e">
        <f>T15/T13</f>
        <v>#DIV/0!</v>
      </c>
      <c r="U16" s="31" t="e">
        <f t="shared" ref="U16:V16" si="18">U15/U13</f>
        <v>#DIV/0!</v>
      </c>
      <c r="V16" s="32">
        <f t="shared" si="18"/>
        <v>4.3360433604336043E-2</v>
      </c>
    </row>
    <row r="17" spans="2:24" x14ac:dyDescent="0.25">
      <c r="B17" s="2" t="s">
        <v>103</v>
      </c>
      <c r="C17" s="2">
        <v>959</v>
      </c>
      <c r="D17" s="2">
        <v>960</v>
      </c>
      <c r="E17" s="2">
        <v>1002</v>
      </c>
      <c r="F17" s="2">
        <v>1000</v>
      </c>
      <c r="G17" s="1"/>
      <c r="H17" s="2">
        <v>987</v>
      </c>
      <c r="I17" s="2">
        <v>975</v>
      </c>
      <c r="J17" s="2">
        <v>979</v>
      </c>
      <c r="K17" s="2">
        <v>937</v>
      </c>
      <c r="L17" s="1"/>
      <c r="M17" s="2">
        <v>889</v>
      </c>
      <c r="N17" s="2">
        <v>846</v>
      </c>
      <c r="O17" s="2">
        <v>817</v>
      </c>
      <c r="P17" s="2">
        <v>805</v>
      </c>
      <c r="Q17" s="1"/>
      <c r="R17" s="2">
        <v>775</v>
      </c>
      <c r="S17" s="2">
        <v>770</v>
      </c>
      <c r="V17" s="1"/>
    </row>
    <row r="18" spans="2:24" ht="20" thickBot="1" x14ac:dyDescent="0.3">
      <c r="B18" s="37" t="s">
        <v>117</v>
      </c>
      <c r="C18" s="38"/>
      <c r="D18" s="38"/>
      <c r="E18" s="38"/>
      <c r="F18" s="38"/>
      <c r="G18" s="39"/>
      <c r="H18" s="38">
        <f>(H17-C17)/C17</f>
        <v>2.9197080291970802E-2</v>
      </c>
      <c r="I18" s="38">
        <f>(I17-D17)/D17</f>
        <v>1.5625E-2</v>
      </c>
      <c r="J18" s="38">
        <f>(J17-E17)/E17</f>
        <v>-2.2954091816367265E-2</v>
      </c>
      <c r="K18" s="38">
        <f>(K17-F17)/F17</f>
        <v>-6.3E-2</v>
      </c>
      <c r="L18" s="39"/>
      <c r="M18" s="38">
        <f>(M17-H17)/H17</f>
        <v>-9.9290780141843976E-2</v>
      </c>
      <c r="N18" s="38">
        <f>(N17-I17)/I17</f>
        <v>-0.13230769230769232</v>
      </c>
      <c r="O18" s="38">
        <f>(O17-J17)/J17</f>
        <v>-0.16547497446373852</v>
      </c>
      <c r="P18" s="38">
        <f>(P17-K17)/K17</f>
        <v>-0.14087513340448238</v>
      </c>
      <c r="Q18" s="39"/>
      <c r="R18" s="38">
        <f>(R17-M17)/M17</f>
        <v>-0.12823397075365578</v>
      </c>
      <c r="S18" s="38">
        <f>(S17-N17)/N17</f>
        <v>-8.9834515366430265E-2</v>
      </c>
      <c r="T18" s="38">
        <f>(T17-O17)/O17</f>
        <v>-1</v>
      </c>
      <c r="U18" s="38">
        <f>(U17-P17)/P17</f>
        <v>-1</v>
      </c>
      <c r="V18" s="39"/>
    </row>
    <row r="19" spans="2:24" x14ac:dyDescent="0.25">
      <c r="B19" s="1" t="s">
        <v>106</v>
      </c>
      <c r="G19" s="1"/>
      <c r="L19" s="1"/>
      <c r="Q19" s="1"/>
      <c r="V19" s="1"/>
    </row>
    <row r="20" spans="2:24" x14ac:dyDescent="0.25">
      <c r="B20" s="2" t="s">
        <v>102</v>
      </c>
      <c r="C20" s="14">
        <v>246</v>
      </c>
      <c r="D20" s="14">
        <v>259.39999999999998</v>
      </c>
      <c r="E20" s="14">
        <v>247.5</v>
      </c>
      <c r="F20" s="14">
        <v>287.5</v>
      </c>
      <c r="G20" s="12">
        <f>SUM(C20:F20)</f>
        <v>1040.4000000000001</v>
      </c>
      <c r="H20" s="14">
        <v>304.10000000000002</v>
      </c>
      <c r="I20" s="14">
        <v>236.2</v>
      </c>
      <c r="J20" s="14">
        <v>225.8</v>
      </c>
      <c r="K20" s="14">
        <v>244</v>
      </c>
      <c r="L20" s="12">
        <f>SUM(H20:K20)</f>
        <v>1010.0999999999999</v>
      </c>
      <c r="M20" s="14">
        <v>219.4</v>
      </c>
      <c r="N20" s="14">
        <v>206.7</v>
      </c>
      <c r="O20" s="14">
        <v>189.3</v>
      </c>
      <c r="P20" s="14">
        <v>211.6</v>
      </c>
      <c r="Q20" s="12">
        <f>SUM(M20:P20)</f>
        <v>827.00000000000011</v>
      </c>
      <c r="R20" s="14">
        <v>208.4</v>
      </c>
      <c r="S20" s="14">
        <v>200.9</v>
      </c>
      <c r="T20" s="14"/>
      <c r="U20" s="14"/>
      <c r="V20" s="12">
        <v>819</v>
      </c>
    </row>
    <row r="21" spans="2:24" x14ac:dyDescent="0.25">
      <c r="B21" s="31" t="s">
        <v>105</v>
      </c>
      <c r="C21" s="31"/>
      <c r="D21" s="31"/>
      <c r="E21" s="31"/>
      <c r="F21" s="31"/>
      <c r="G21" s="32"/>
      <c r="H21" s="31">
        <f t="shared" ref="H21:V21" si="19">(H20-C20)/C20</f>
        <v>0.23617886178861797</v>
      </c>
      <c r="I21" s="31">
        <f t="shared" si="19"/>
        <v>-8.9437162683114843E-2</v>
      </c>
      <c r="J21" s="31">
        <f t="shared" si="19"/>
        <v>-8.7676767676767631E-2</v>
      </c>
      <c r="K21" s="31">
        <f t="shared" si="19"/>
        <v>-0.15130434782608695</v>
      </c>
      <c r="L21" s="32">
        <f t="shared" si="19"/>
        <v>-2.9123414071511131E-2</v>
      </c>
      <c r="M21" s="31">
        <f t="shared" si="19"/>
        <v>-0.27852680039460709</v>
      </c>
      <c r="N21" s="31">
        <f t="shared" si="19"/>
        <v>-0.12489415749364946</v>
      </c>
      <c r="O21" s="31">
        <f t="shared" si="19"/>
        <v>-0.1616474756421612</v>
      </c>
      <c r="P21" s="31">
        <f t="shared" si="19"/>
        <v>-0.13278688524590165</v>
      </c>
      <c r="Q21" s="32">
        <f t="shared" si="19"/>
        <v>-0.1812691812691811</v>
      </c>
      <c r="R21" s="31">
        <f t="shared" si="19"/>
        <v>-5.013673655423883E-2</v>
      </c>
      <c r="S21" s="31">
        <f t="shared" si="19"/>
        <v>-2.8059990324141186E-2</v>
      </c>
      <c r="T21" s="31">
        <f t="shared" si="19"/>
        <v>-1</v>
      </c>
      <c r="U21" s="31">
        <f t="shared" si="19"/>
        <v>-1</v>
      </c>
      <c r="V21" s="32">
        <f t="shared" si="19"/>
        <v>-9.6735187424427001E-3</v>
      </c>
      <c r="W21" s="20"/>
      <c r="X21" s="20"/>
    </row>
    <row r="22" spans="2:24" x14ac:dyDescent="0.25">
      <c r="B22" s="2" t="s">
        <v>50</v>
      </c>
      <c r="C22" s="14">
        <v>29.4</v>
      </c>
      <c r="D22" s="14">
        <v>25.4</v>
      </c>
      <c r="E22" s="14">
        <v>29</v>
      </c>
      <c r="F22" s="14">
        <v>34.700000000000003</v>
      </c>
      <c r="G22" s="12">
        <f>SUM(C22:F22)</f>
        <v>118.5</v>
      </c>
      <c r="H22" s="14">
        <v>34.799999999999997</v>
      </c>
      <c r="I22" s="14">
        <v>19.3</v>
      </c>
      <c r="J22" s="14">
        <v>26.2</v>
      </c>
      <c r="K22" s="14">
        <v>31</v>
      </c>
      <c r="L22" s="12">
        <f>SUM(H22:K22)</f>
        <v>111.3</v>
      </c>
      <c r="M22" s="14">
        <v>28.5</v>
      </c>
      <c r="N22" s="14">
        <v>16.600000000000001</v>
      </c>
      <c r="O22" s="14">
        <v>21.3</v>
      </c>
      <c r="P22" s="14">
        <v>22.6</v>
      </c>
      <c r="Q22" s="12">
        <f>SUM(M22:P22)</f>
        <v>89</v>
      </c>
      <c r="R22" s="14">
        <v>17.3</v>
      </c>
      <c r="S22" s="14">
        <v>13.4</v>
      </c>
      <c r="T22" s="14"/>
      <c r="U22" s="14"/>
      <c r="V22" s="12">
        <f>SUM(R22:U22)</f>
        <v>30.700000000000003</v>
      </c>
    </row>
    <row r="23" spans="2:24" x14ac:dyDescent="0.25">
      <c r="B23" s="11" t="s">
        <v>113</v>
      </c>
      <c r="C23" s="31">
        <f t="shared" ref="C23:D23" si="20">C22/C20</f>
        <v>0.11951219512195121</v>
      </c>
      <c r="D23" s="31">
        <f t="shared" si="20"/>
        <v>9.7918272937548193E-2</v>
      </c>
      <c r="E23" s="31">
        <f t="shared" ref="E23" si="21">E22/E20</f>
        <v>0.11717171717171718</v>
      </c>
      <c r="F23" s="31">
        <f t="shared" ref="F23:G23" si="22">F22/F20</f>
        <v>0.12069565217391305</v>
      </c>
      <c r="G23" s="32">
        <f t="shared" si="22"/>
        <v>0.11389850057670126</v>
      </c>
      <c r="H23" s="31">
        <f t="shared" ref="H23" si="23">H22/H20</f>
        <v>0.11443604077606048</v>
      </c>
      <c r="I23" s="31">
        <f t="shared" ref="I23" si="24">I22/I20</f>
        <v>8.17104149026249E-2</v>
      </c>
      <c r="J23" s="31">
        <f t="shared" ref="J23" si="25">J22/J20</f>
        <v>0.11603188662533215</v>
      </c>
      <c r="K23" s="31">
        <f t="shared" ref="K23:L23" si="26">K22/K20</f>
        <v>0.12704918032786885</v>
      </c>
      <c r="L23" s="32">
        <f t="shared" si="26"/>
        <v>0.11018711018711019</v>
      </c>
      <c r="M23" s="31">
        <f t="shared" ref="M23" si="27">M22/M20</f>
        <v>0.12989972652689152</v>
      </c>
      <c r="N23" s="31">
        <f t="shared" ref="N23" si="28">N22/N20</f>
        <v>8.0309627479438817E-2</v>
      </c>
      <c r="O23" s="31">
        <f t="shared" ref="O23" si="29">O22/O20</f>
        <v>0.11251980982567353</v>
      </c>
      <c r="P23" s="31">
        <f t="shared" ref="P23:Q23" si="30">P22/P20</f>
        <v>0.10680529300567108</v>
      </c>
      <c r="Q23" s="32">
        <f t="shared" si="30"/>
        <v>0.1076178960096735</v>
      </c>
      <c r="R23" s="31">
        <f t="shared" ref="R23" si="31">R22/R20</f>
        <v>8.3013435700575816E-2</v>
      </c>
      <c r="S23" s="31">
        <f t="shared" ref="S23" si="32">S22/S20</f>
        <v>6.6699850671976105E-2</v>
      </c>
      <c r="T23" s="31" t="e">
        <f>T22/T20</f>
        <v>#DIV/0!</v>
      </c>
      <c r="U23" s="31" t="e">
        <f t="shared" ref="U23:V23" si="33">U22/U20</f>
        <v>#DIV/0!</v>
      </c>
      <c r="V23" s="32">
        <f t="shared" si="33"/>
        <v>3.748473748473749E-2</v>
      </c>
    </row>
    <row r="24" spans="2:24" x14ac:dyDescent="0.25">
      <c r="B24" s="2" t="s">
        <v>103</v>
      </c>
      <c r="C24" s="2">
        <v>676</v>
      </c>
      <c r="D24" s="2">
        <v>740</v>
      </c>
      <c r="E24" s="2">
        <v>757</v>
      </c>
      <c r="F24" s="2">
        <v>773</v>
      </c>
      <c r="G24" s="1"/>
      <c r="H24" s="2">
        <v>774</v>
      </c>
      <c r="I24" s="2">
        <v>764</v>
      </c>
      <c r="J24" s="2">
        <v>763</v>
      </c>
      <c r="K24" s="2">
        <v>739</v>
      </c>
      <c r="L24" s="1"/>
      <c r="M24" s="2">
        <v>717</v>
      </c>
      <c r="N24" s="2">
        <v>710</v>
      </c>
      <c r="O24" s="2">
        <v>709</v>
      </c>
      <c r="P24" s="2">
        <v>697</v>
      </c>
      <c r="Q24" s="1"/>
      <c r="R24" s="2">
        <v>698</v>
      </c>
      <c r="S24" s="2">
        <v>687</v>
      </c>
      <c r="V24" s="1"/>
    </row>
    <row r="25" spans="2:24" ht="20" thickBot="1" x14ac:dyDescent="0.3">
      <c r="B25" s="37" t="s">
        <v>117</v>
      </c>
      <c r="C25" s="38"/>
      <c r="D25" s="38"/>
      <c r="E25" s="38"/>
      <c r="F25" s="38"/>
      <c r="G25" s="39"/>
      <c r="H25" s="38">
        <f>(H24-C24)/C24</f>
        <v>0.14497041420118342</v>
      </c>
      <c r="I25" s="38">
        <f>(I24-D24)/D24</f>
        <v>3.2432432432432434E-2</v>
      </c>
      <c r="J25" s="38">
        <f>(J24-E24)/E24</f>
        <v>7.9260237780713338E-3</v>
      </c>
      <c r="K25" s="38">
        <f>(K24-F24)/F24</f>
        <v>-4.3984476067270378E-2</v>
      </c>
      <c r="L25" s="39"/>
      <c r="M25" s="38">
        <f>(M24-H24)/H24</f>
        <v>-7.3643410852713184E-2</v>
      </c>
      <c r="N25" s="38">
        <f>(N24-I24)/I24</f>
        <v>-7.0680628272251314E-2</v>
      </c>
      <c r="O25" s="38">
        <f>(O24-J24)/J24</f>
        <v>-7.0773263433813891E-2</v>
      </c>
      <c r="P25" s="38">
        <f>(P24-K24)/K24</f>
        <v>-5.6833558863328824E-2</v>
      </c>
      <c r="Q25" s="39"/>
      <c r="R25" s="38">
        <f>(R24-M24)/M24</f>
        <v>-2.6499302649930265E-2</v>
      </c>
      <c r="S25" s="38">
        <f>(S24-N24)/N24</f>
        <v>-3.2394366197183097E-2</v>
      </c>
      <c r="T25" s="38">
        <f>(T24-O24)/O24</f>
        <v>-1</v>
      </c>
      <c r="U25" s="38">
        <f>(U24-P24)/P24</f>
        <v>-1</v>
      </c>
      <c r="V25" s="39"/>
    </row>
    <row r="26" spans="2:24" x14ac:dyDescent="0.25">
      <c r="B26" s="1" t="s">
        <v>107</v>
      </c>
      <c r="G26" s="1"/>
      <c r="L26" s="1"/>
      <c r="Q26" s="1"/>
      <c r="V26" s="1"/>
    </row>
    <row r="27" spans="2:24" x14ac:dyDescent="0.25">
      <c r="B27" s="28" t="s">
        <v>102</v>
      </c>
      <c r="C27" s="14">
        <v>169.9</v>
      </c>
      <c r="D27" s="14">
        <v>170.7</v>
      </c>
      <c r="E27" s="14">
        <v>136</v>
      </c>
      <c r="F27" s="14">
        <v>254.3</v>
      </c>
      <c r="G27" s="12">
        <f>SUM(C27:F27)</f>
        <v>730.90000000000009</v>
      </c>
      <c r="H27" s="14">
        <v>246.9</v>
      </c>
      <c r="I27" s="14">
        <v>226.1</v>
      </c>
      <c r="J27" s="14">
        <v>162.19999999999999</v>
      </c>
      <c r="K27" s="14">
        <v>237.1</v>
      </c>
      <c r="L27" s="12">
        <f>SUM(H27:K27)</f>
        <v>872.30000000000007</v>
      </c>
      <c r="M27" s="14">
        <v>234.8</v>
      </c>
      <c r="N27" s="14">
        <v>232.6</v>
      </c>
      <c r="O27" s="14">
        <v>159.1</v>
      </c>
      <c r="P27" s="14">
        <v>233.4</v>
      </c>
      <c r="Q27" s="12">
        <f>SUM(M27:P27)</f>
        <v>859.9</v>
      </c>
      <c r="R27" s="14">
        <v>227.9</v>
      </c>
      <c r="S27" s="14">
        <v>229.1</v>
      </c>
      <c r="T27" s="14"/>
      <c r="U27" s="14"/>
      <c r="V27" s="12">
        <f>SUM(R27:U27)</f>
        <v>457</v>
      </c>
      <c r="W27" s="20"/>
      <c r="X27" s="20"/>
    </row>
    <row r="28" spans="2:24" x14ac:dyDescent="0.25">
      <c r="B28" s="30" t="s">
        <v>105</v>
      </c>
      <c r="C28" s="31"/>
      <c r="D28" s="31"/>
      <c r="E28" s="31"/>
      <c r="F28" s="31"/>
      <c r="G28" s="32"/>
      <c r="H28" s="31">
        <f t="shared" ref="H28:V28" si="34">(H27-C27)/C27</f>
        <v>0.45320776927604473</v>
      </c>
      <c r="I28" s="31">
        <f t="shared" si="34"/>
        <v>0.32454598711189225</v>
      </c>
      <c r="J28" s="31">
        <f t="shared" si="34"/>
        <v>0.19264705882352934</v>
      </c>
      <c r="K28" s="31">
        <f t="shared" si="34"/>
        <v>-6.7636649626425543E-2</v>
      </c>
      <c r="L28" s="32">
        <f t="shared" si="34"/>
        <v>0.19346011766315496</v>
      </c>
      <c r="M28" s="31">
        <f t="shared" si="34"/>
        <v>-4.9007695423248253E-2</v>
      </c>
      <c r="N28" s="31">
        <f t="shared" si="34"/>
        <v>2.8748341441839895E-2</v>
      </c>
      <c r="O28" s="31">
        <f t="shared" si="34"/>
        <v>-1.9112207151664579E-2</v>
      </c>
      <c r="P28" s="31">
        <f t="shared" si="34"/>
        <v>-1.5605229860818172E-2</v>
      </c>
      <c r="Q28" s="32">
        <f t="shared" si="34"/>
        <v>-1.4215292903817596E-2</v>
      </c>
      <c r="R28" s="31">
        <f t="shared" si="34"/>
        <v>-2.9386712095400364E-2</v>
      </c>
      <c r="S28" s="31">
        <f t="shared" si="34"/>
        <v>-1.5047291487532245E-2</v>
      </c>
      <c r="T28" s="31">
        <f t="shared" si="34"/>
        <v>-1</v>
      </c>
      <c r="U28" s="31">
        <f t="shared" si="34"/>
        <v>-1</v>
      </c>
      <c r="V28" s="32">
        <f t="shared" si="34"/>
        <v>-0.46854285382021166</v>
      </c>
    </row>
    <row r="29" spans="2:24" x14ac:dyDescent="0.25">
      <c r="B29" s="28" t="s">
        <v>50</v>
      </c>
      <c r="C29" s="14">
        <v>20.2</v>
      </c>
      <c r="D29" s="14">
        <v>24</v>
      </c>
      <c r="E29" s="14">
        <v>-8.3000000000000007</v>
      </c>
      <c r="F29" s="14">
        <v>32.700000000000003</v>
      </c>
      <c r="G29" s="12">
        <f>SUM(C29:F29)</f>
        <v>68.600000000000009</v>
      </c>
      <c r="H29" s="14">
        <v>26.5</v>
      </c>
      <c r="I29" s="14">
        <v>19</v>
      </c>
      <c r="J29" s="14">
        <v>-10.199999999999999</v>
      </c>
      <c r="K29" s="14">
        <v>22.2</v>
      </c>
      <c r="L29" s="12">
        <f>SUM(H29:K29)</f>
        <v>57.5</v>
      </c>
      <c r="M29" s="14">
        <v>19.8</v>
      </c>
      <c r="N29" s="14">
        <v>15.1</v>
      </c>
      <c r="O29" s="14">
        <v>-10.3</v>
      </c>
      <c r="P29" s="14">
        <v>12.4</v>
      </c>
      <c r="Q29" s="12">
        <f>SUM(M29:P29)</f>
        <v>37</v>
      </c>
      <c r="R29" s="14">
        <v>13.4</v>
      </c>
      <c r="S29" s="14">
        <v>8.6</v>
      </c>
      <c r="T29" s="14"/>
      <c r="U29" s="14"/>
      <c r="V29" s="12">
        <f>SUM(R29:U29)</f>
        <v>22</v>
      </c>
    </row>
    <row r="30" spans="2:24" x14ac:dyDescent="0.25">
      <c r="B30" s="30" t="s">
        <v>113</v>
      </c>
      <c r="C30" s="31">
        <f t="shared" ref="C30:D30" si="35">C29/C27</f>
        <v>0.1188934667451442</v>
      </c>
      <c r="D30" s="31">
        <f t="shared" si="35"/>
        <v>0.14059753954305801</v>
      </c>
      <c r="E30" s="31">
        <f t="shared" ref="E30" si="36">E29/E27</f>
        <v>-6.1029411764705888E-2</v>
      </c>
      <c r="F30" s="31">
        <f t="shared" ref="F30:G30" si="37">F29/F27</f>
        <v>0.12858828155721588</v>
      </c>
      <c r="G30" s="32">
        <f t="shared" si="37"/>
        <v>9.385688876727323E-2</v>
      </c>
      <c r="H30" s="31">
        <f t="shared" ref="H30" si="38">H29/H27</f>
        <v>0.10733090319967598</v>
      </c>
      <c r="I30" s="31">
        <f t="shared" ref="I30" si="39">I29/I27</f>
        <v>8.4033613445378158E-2</v>
      </c>
      <c r="J30" s="31">
        <f t="shared" ref="J30" si="40">J29/J27</f>
        <v>-6.2885326757090007E-2</v>
      </c>
      <c r="K30" s="31">
        <f t="shared" ref="K30:L30" si="41">K29/K27</f>
        <v>9.3631379164909323E-2</v>
      </c>
      <c r="L30" s="32">
        <f t="shared" si="41"/>
        <v>6.5917688868508531E-2</v>
      </c>
      <c r="M30" s="31">
        <f t="shared" ref="M30" si="42">M29/M27</f>
        <v>8.4327086882453148E-2</v>
      </c>
      <c r="N30" s="31">
        <f t="shared" ref="N30" si="43">N29/N27</f>
        <v>6.4918314703353394E-2</v>
      </c>
      <c r="O30" s="31">
        <f t="shared" ref="O30" si="44">O29/O27</f>
        <v>-6.4739157762413582E-2</v>
      </c>
      <c r="P30" s="31">
        <f t="shared" ref="P30:Q30" si="45">P29/P27</f>
        <v>5.3127677806341048E-2</v>
      </c>
      <c r="Q30" s="32">
        <f t="shared" si="45"/>
        <v>4.3028259099895341E-2</v>
      </c>
      <c r="R30" s="31">
        <f t="shared" ref="R30" si="46">R29/R27</f>
        <v>5.8797718297498906E-2</v>
      </c>
      <c r="S30" s="31">
        <f t="shared" ref="S30" si="47">S29/S27</f>
        <v>3.7538192928852028E-2</v>
      </c>
      <c r="T30" s="31" t="e">
        <f>T29/T27</f>
        <v>#DIV/0!</v>
      </c>
      <c r="U30" s="31" t="e">
        <f t="shared" ref="U30:V30" si="48">U29/U27</f>
        <v>#DIV/0!</v>
      </c>
      <c r="V30" s="32">
        <f t="shared" si="48"/>
        <v>4.8140043763676151E-2</v>
      </c>
    </row>
    <row r="31" spans="2:24" x14ac:dyDescent="0.25">
      <c r="B31" s="28" t="s">
        <v>103</v>
      </c>
      <c r="C31" s="2">
        <v>376</v>
      </c>
      <c r="D31" s="2">
        <v>370</v>
      </c>
      <c r="E31" s="2">
        <v>482</v>
      </c>
      <c r="F31" s="2">
        <v>553</v>
      </c>
      <c r="G31" s="1"/>
      <c r="H31" s="2">
        <v>544</v>
      </c>
      <c r="I31" s="2">
        <v>542</v>
      </c>
      <c r="J31" s="2">
        <v>594</v>
      </c>
      <c r="K31" s="2">
        <v>578</v>
      </c>
      <c r="L31" s="1"/>
      <c r="M31" s="2">
        <v>565</v>
      </c>
      <c r="N31" s="2">
        <v>548</v>
      </c>
      <c r="O31" s="2">
        <v>565</v>
      </c>
      <c r="P31" s="2">
        <v>554</v>
      </c>
      <c r="Q31" s="1"/>
      <c r="R31" s="2">
        <v>538</v>
      </c>
      <c r="S31" s="2">
        <v>539</v>
      </c>
      <c r="V31" s="1"/>
    </row>
    <row r="32" spans="2:24" ht="20" thickBot="1" x14ac:dyDescent="0.3">
      <c r="B32" s="37" t="s">
        <v>117</v>
      </c>
      <c r="C32" s="38"/>
      <c r="D32" s="38"/>
      <c r="E32" s="38"/>
      <c r="F32" s="38"/>
      <c r="G32" s="39"/>
      <c r="H32" s="38">
        <f>(H31-C31)/C31</f>
        <v>0.44680851063829785</v>
      </c>
      <c r="I32" s="38">
        <f>(I31-D31)/D31</f>
        <v>0.46486486486486489</v>
      </c>
      <c r="J32" s="38">
        <f>(J31-E31)/E31</f>
        <v>0.23236514522821577</v>
      </c>
      <c r="K32" s="38">
        <f>(K31-F31)/F31</f>
        <v>4.5207956600361664E-2</v>
      </c>
      <c r="L32" s="39"/>
      <c r="M32" s="38">
        <f>(M31-H31)/H31</f>
        <v>3.860294117647059E-2</v>
      </c>
      <c r="N32" s="38">
        <f>(N31-I31)/I31</f>
        <v>1.107011070110701E-2</v>
      </c>
      <c r="O32" s="38">
        <f>(O31-J31)/J31</f>
        <v>-4.8821548821548821E-2</v>
      </c>
      <c r="P32" s="38">
        <f>(P31-K31)/K31</f>
        <v>-4.1522491349480967E-2</v>
      </c>
      <c r="Q32" s="39"/>
      <c r="R32" s="38">
        <f>(R31-M31)/M31</f>
        <v>-4.7787610619469026E-2</v>
      </c>
      <c r="S32" s="38">
        <f>(S31-N31)/N31</f>
        <v>-1.6423357664233577E-2</v>
      </c>
      <c r="T32" s="38">
        <f>(T31-O31)/O31</f>
        <v>-1</v>
      </c>
      <c r="U32" s="38">
        <f>(U31-P31)/P31</f>
        <v>-1</v>
      </c>
      <c r="V32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D31" sqref="D31"/>
    </sheetView>
  </sheetViews>
  <sheetFormatPr baseColWidth="10" defaultRowHeight="16" x14ac:dyDescent="0.2"/>
  <cols>
    <col min="3" max="3" width="29.5" bestFit="1" customWidth="1"/>
    <col min="4" max="4" width="28.5" bestFit="1" customWidth="1"/>
    <col min="5" max="6" width="28.33203125" bestFit="1" customWidth="1"/>
  </cols>
  <sheetData>
    <row r="4" spans="3:6" ht="62" x14ac:dyDescent="0.7">
      <c r="C4" s="26"/>
      <c r="D4" s="26">
        <v>2025</v>
      </c>
      <c r="E4" s="26">
        <v>2026</v>
      </c>
      <c r="F4" s="26">
        <v>2027</v>
      </c>
    </row>
    <row r="5" spans="3:6" ht="62" x14ac:dyDescent="0.7">
      <c r="C5" s="26" t="s">
        <v>29</v>
      </c>
      <c r="D5" s="27">
        <f>Modell!$B$9/Modell!AF9</f>
        <v>16.877862404189337</v>
      </c>
      <c r="E5" s="27">
        <f>Modell!$B$9/Modell!AG9</f>
        <v>14.674476515419482</v>
      </c>
      <c r="F5" s="27">
        <f>Modell!$B$9/Modell!AH9</f>
        <v>11.685825721518839</v>
      </c>
    </row>
    <row r="6" spans="3:6" ht="62" x14ac:dyDescent="0.7">
      <c r="C6" s="26" t="s">
        <v>30</v>
      </c>
      <c r="D6" s="27">
        <f>Modell!$B$4/Modell!AF16</f>
        <v>17.551085340936449</v>
      </c>
      <c r="E6" s="27">
        <f>Modell!$B$4/Modell!AG16</f>
        <v>15.259810957563355</v>
      </c>
      <c r="F6" s="27">
        <f>Modell!$B$4/Modell!AH16</f>
        <v>12.151949080161879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A9D2-A120-D243-98E4-365EB27547A6}">
  <dimension ref="A3:DV22"/>
  <sheetViews>
    <sheetView showGridLines="0" tabSelected="1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AA9" sqref="AA9"/>
    </sheetView>
  </sheetViews>
  <sheetFormatPr baseColWidth="10" defaultRowHeight="19" x14ac:dyDescent="0.25"/>
  <cols>
    <col min="1" max="1" width="10.83203125" style="2"/>
    <col min="2" max="2" width="16.6640625" style="4" customWidth="1"/>
    <col min="3" max="3" width="42" style="2" customWidth="1"/>
    <col min="4" max="26" width="10.83203125" style="2"/>
    <col min="27" max="27" width="12.1640625" style="2" bestFit="1" customWidth="1"/>
    <col min="28" max="16384" width="10.83203125" style="2"/>
  </cols>
  <sheetData>
    <row r="3" spans="1:126" x14ac:dyDescent="0.25">
      <c r="A3" s="1" t="s">
        <v>120</v>
      </c>
      <c r="D3" s="7" t="s">
        <v>118</v>
      </c>
      <c r="E3" s="7" t="s">
        <v>119</v>
      </c>
      <c r="F3" s="7" t="s">
        <v>115</v>
      </c>
      <c r="G3" s="7" t="s">
        <v>116</v>
      </c>
      <c r="H3" s="7" t="s">
        <v>32</v>
      </c>
      <c r="I3" s="7" t="s">
        <v>33</v>
      </c>
      <c r="J3" s="7" t="s">
        <v>34</v>
      </c>
      <c r="K3" s="7" t="s">
        <v>15</v>
      </c>
      <c r="L3" s="7" t="s">
        <v>16</v>
      </c>
      <c r="M3" s="7" t="s">
        <v>17</v>
      </c>
      <c r="N3" s="1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  <c r="U3" s="7" t="s">
        <v>25</v>
      </c>
      <c r="V3" s="7" t="s">
        <v>26</v>
      </c>
      <c r="W3" s="7" t="s">
        <v>27</v>
      </c>
      <c r="X3" s="7" t="s">
        <v>28</v>
      </c>
    </row>
    <row r="4" spans="1:126" x14ac:dyDescent="0.25">
      <c r="A4" s="2" t="s">
        <v>121</v>
      </c>
      <c r="C4" s="1" t="s">
        <v>102</v>
      </c>
      <c r="D4" s="12">
        <v>2230</v>
      </c>
      <c r="E4" s="12">
        <v>2426.2179999999998</v>
      </c>
      <c r="F4" s="12">
        <v>2733.5010000000002</v>
      </c>
      <c r="G4" s="12">
        <v>3083.3040000000001</v>
      </c>
      <c r="H4" s="12">
        <v>3335</v>
      </c>
      <c r="I4" s="12">
        <v>3379</v>
      </c>
      <c r="J4" s="12">
        <v>4811.8389999999999</v>
      </c>
      <c r="K4" s="12">
        <v>6833.7460000000001</v>
      </c>
      <c r="L4" s="12">
        <v>7113.82</v>
      </c>
      <c r="M4" s="12">
        <v>6415.7439999999997</v>
      </c>
      <c r="N4" s="13">
        <f>M4*0.9</f>
        <v>5774.1696000000002</v>
      </c>
      <c r="O4" s="12">
        <f>N4*1</f>
        <v>5774.1696000000002</v>
      </c>
      <c r="P4" s="12">
        <f t="shared" ref="P4:X4" si="0">O4*1</f>
        <v>5774.1696000000002</v>
      </c>
      <c r="Q4" s="12">
        <f t="shared" si="0"/>
        <v>5774.1696000000002</v>
      </c>
      <c r="R4" s="12">
        <f t="shared" si="0"/>
        <v>5774.1696000000002</v>
      </c>
      <c r="S4" s="12">
        <f t="shared" si="0"/>
        <v>5774.1696000000002</v>
      </c>
      <c r="T4" s="12">
        <f t="shared" si="0"/>
        <v>5774.1696000000002</v>
      </c>
      <c r="U4" s="12">
        <f t="shared" si="0"/>
        <v>5774.1696000000002</v>
      </c>
      <c r="V4" s="12">
        <f t="shared" si="0"/>
        <v>5774.1696000000002</v>
      </c>
      <c r="W4" s="12">
        <f t="shared" si="0"/>
        <v>5774.1696000000002</v>
      </c>
      <c r="X4" s="12">
        <f t="shared" si="0"/>
        <v>5774.1696000000002</v>
      </c>
    </row>
    <row r="5" spans="1:126" x14ac:dyDescent="0.25">
      <c r="A5" s="47">
        <f>AA21</f>
        <v>80.465901006293691</v>
      </c>
      <c r="C5" s="2" t="s">
        <v>48</v>
      </c>
      <c r="D5" s="14">
        <f>-304-212.543-1537.9</f>
        <v>-2054.4430000000002</v>
      </c>
      <c r="E5" s="14">
        <f>-387.311-203.347-1612.596</f>
        <v>-2203.2539999999999</v>
      </c>
      <c r="F5" s="14">
        <f>-457.262-216.441-1767.168</f>
        <v>-2440.8710000000001</v>
      </c>
      <c r="G5" s="14">
        <f>-512.288-226.87-2017.075</f>
        <v>-2756.2330000000002</v>
      </c>
      <c r="H5" s="14">
        <f>-556.803-171.737-2215.079</f>
        <v>-2943.6190000000001</v>
      </c>
      <c r="I5" s="14">
        <f>-637.286-168.285-2166.451</f>
        <v>-2972.0219999999999</v>
      </c>
      <c r="J5" s="14">
        <f>-987.377-299.714-2963.271</f>
        <v>-4250.3620000000001</v>
      </c>
      <c r="K5" s="14">
        <f>-1699.746-425.25-3963.482</f>
        <v>-6088.4780000000001</v>
      </c>
      <c r="L5" s="14">
        <f>-1588.977-410.948-4439.502</f>
        <v>-6439.4270000000006</v>
      </c>
      <c r="M5" s="14">
        <f>-1241.735-4285.279-348</f>
        <v>-5875.0140000000001</v>
      </c>
      <c r="N5" s="15">
        <f>M5*0.89</f>
        <v>-5228.7624599999999</v>
      </c>
      <c r="O5" s="14">
        <f>N5*1</f>
        <v>-5228.7624599999999</v>
      </c>
      <c r="P5" s="14">
        <f t="shared" ref="P5:X5" si="1">O5*1</f>
        <v>-5228.7624599999999</v>
      </c>
      <c r="Q5" s="14">
        <f t="shared" si="1"/>
        <v>-5228.7624599999999</v>
      </c>
      <c r="R5" s="14">
        <f t="shared" si="1"/>
        <v>-5228.7624599999999</v>
      </c>
      <c r="S5" s="14">
        <f t="shared" si="1"/>
        <v>-5228.7624599999999</v>
      </c>
      <c r="T5" s="14">
        <f t="shared" si="1"/>
        <v>-5228.7624599999999</v>
      </c>
      <c r="U5" s="14">
        <f t="shared" si="1"/>
        <v>-5228.7624599999999</v>
      </c>
      <c r="V5" s="14">
        <f t="shared" si="1"/>
        <v>-5228.7624599999999</v>
      </c>
      <c r="W5" s="14">
        <f t="shared" si="1"/>
        <v>-5228.7624599999999</v>
      </c>
      <c r="X5" s="14">
        <f t="shared" si="1"/>
        <v>-5228.7624599999999</v>
      </c>
    </row>
    <row r="6" spans="1:126" x14ac:dyDescent="0.25">
      <c r="A6" s="18">
        <f>AA22</f>
        <v>-0.28791238047527706</v>
      </c>
      <c r="C6" s="2" t="s">
        <v>49</v>
      </c>
      <c r="D6" s="14">
        <v>-28.6</v>
      </c>
      <c r="E6" s="14">
        <v>-10.58</v>
      </c>
      <c r="F6" s="14">
        <v>-5.7</v>
      </c>
      <c r="G6" s="14">
        <v>-6</v>
      </c>
      <c r="H6" s="14">
        <v>-73.304000000000002</v>
      </c>
      <c r="I6" s="14">
        <v>-73.665999999999997</v>
      </c>
      <c r="J6" s="14">
        <v>-123.572</v>
      </c>
      <c r="K6" s="14">
        <v>-148.79300000000001</v>
      </c>
      <c r="L6" s="14">
        <v>-178</v>
      </c>
      <c r="M6" s="14">
        <v>-174</v>
      </c>
      <c r="N6" s="15">
        <f>M6*0.9</f>
        <v>-156.6</v>
      </c>
      <c r="O6" s="14">
        <f>N6*1</f>
        <v>-156.6</v>
      </c>
      <c r="P6" s="14">
        <f t="shared" ref="P6:X6" si="2">O6*1</f>
        <v>-156.6</v>
      </c>
      <c r="Q6" s="14">
        <f t="shared" si="2"/>
        <v>-156.6</v>
      </c>
      <c r="R6" s="14">
        <f t="shared" si="2"/>
        <v>-156.6</v>
      </c>
      <c r="S6" s="14">
        <f t="shared" si="2"/>
        <v>-156.6</v>
      </c>
      <c r="T6" s="14">
        <f t="shared" si="2"/>
        <v>-156.6</v>
      </c>
      <c r="U6" s="14">
        <f t="shared" si="2"/>
        <v>-156.6</v>
      </c>
      <c r="V6" s="14">
        <f t="shared" si="2"/>
        <v>-156.6</v>
      </c>
      <c r="W6" s="14">
        <f t="shared" si="2"/>
        <v>-156.6</v>
      </c>
      <c r="X6" s="14">
        <f t="shared" si="2"/>
        <v>-156.6</v>
      </c>
    </row>
    <row r="7" spans="1:126" x14ac:dyDescent="0.25">
      <c r="C7" s="1" t="s">
        <v>50</v>
      </c>
      <c r="D7" s="12">
        <f t="shared" ref="D7:X7" si="3">SUM(D4:D6)</f>
        <v>146.95699999999979</v>
      </c>
      <c r="E7" s="12">
        <f t="shared" si="3"/>
        <v>212.38399999999993</v>
      </c>
      <c r="F7" s="12">
        <f t="shared" si="3"/>
        <v>286.93000000000012</v>
      </c>
      <c r="G7" s="12">
        <f t="shared" si="3"/>
        <v>321.07099999999991</v>
      </c>
      <c r="H7" s="12">
        <f t="shared" si="3"/>
        <v>318.07699999999988</v>
      </c>
      <c r="I7" s="12">
        <f t="shared" si="3"/>
        <v>333.31200000000007</v>
      </c>
      <c r="J7" s="12">
        <f t="shared" si="3"/>
        <v>437.90499999999986</v>
      </c>
      <c r="K7" s="12">
        <f t="shared" si="3"/>
        <v>596.47500000000002</v>
      </c>
      <c r="L7" s="12">
        <f t="shared" si="3"/>
        <v>496.39299999999912</v>
      </c>
      <c r="M7" s="12">
        <f t="shared" si="3"/>
        <v>366.72999999999956</v>
      </c>
      <c r="N7" s="13">
        <f t="shared" si="3"/>
        <v>388.80714000000023</v>
      </c>
      <c r="O7" s="12">
        <f t="shared" si="3"/>
        <v>388.80714000000023</v>
      </c>
      <c r="P7" s="12">
        <f t="shared" si="3"/>
        <v>388.80714000000023</v>
      </c>
      <c r="Q7" s="12">
        <f t="shared" si="3"/>
        <v>388.80714000000023</v>
      </c>
      <c r="R7" s="12">
        <f t="shared" si="3"/>
        <v>388.80714000000023</v>
      </c>
      <c r="S7" s="12">
        <f t="shared" si="3"/>
        <v>388.80714000000023</v>
      </c>
      <c r="T7" s="12">
        <f t="shared" si="3"/>
        <v>388.80714000000023</v>
      </c>
      <c r="U7" s="12">
        <f t="shared" si="3"/>
        <v>388.80714000000023</v>
      </c>
      <c r="V7" s="12">
        <f t="shared" si="3"/>
        <v>388.80714000000023</v>
      </c>
      <c r="W7" s="12">
        <f t="shared" si="3"/>
        <v>388.80714000000023</v>
      </c>
      <c r="X7" s="12">
        <f t="shared" si="3"/>
        <v>388.80714000000023</v>
      </c>
    </row>
    <row r="8" spans="1:126" x14ac:dyDescent="0.25">
      <c r="C8" s="2" t="s">
        <v>51</v>
      </c>
      <c r="D8" s="14">
        <v>-11.56</v>
      </c>
      <c r="E8" s="14">
        <v>-11.8</v>
      </c>
      <c r="F8" s="14">
        <v>-11.7</v>
      </c>
      <c r="G8" s="14">
        <v>-11.9</v>
      </c>
      <c r="H8" s="14">
        <v>-5</v>
      </c>
      <c r="I8" s="14">
        <f>-12.301+1.6</f>
        <v>-10.701000000000001</v>
      </c>
      <c r="J8" s="14">
        <v>-75.247</v>
      </c>
      <c r="K8" s="14">
        <v>-149.33099999999999</v>
      </c>
      <c r="L8" s="14">
        <v>-186.53700000000001</v>
      </c>
      <c r="M8" s="14">
        <v>-166</v>
      </c>
      <c r="N8" s="15">
        <f>M8*1.01</f>
        <v>-167.66</v>
      </c>
      <c r="O8" s="14">
        <f>N8*1</f>
        <v>-167.66</v>
      </c>
      <c r="P8" s="14">
        <f t="shared" ref="P8:X8" si="4">O8*1</f>
        <v>-167.66</v>
      </c>
      <c r="Q8" s="14">
        <f t="shared" si="4"/>
        <v>-167.66</v>
      </c>
      <c r="R8" s="14">
        <f t="shared" si="4"/>
        <v>-167.66</v>
      </c>
      <c r="S8" s="14">
        <f t="shared" si="4"/>
        <v>-167.66</v>
      </c>
      <c r="T8" s="14">
        <f t="shared" si="4"/>
        <v>-167.66</v>
      </c>
      <c r="U8" s="14">
        <f t="shared" si="4"/>
        <v>-167.66</v>
      </c>
      <c r="V8" s="14">
        <f t="shared" si="4"/>
        <v>-167.66</v>
      </c>
      <c r="W8" s="14">
        <f t="shared" si="4"/>
        <v>-167.66</v>
      </c>
      <c r="X8" s="14">
        <f t="shared" si="4"/>
        <v>-167.66</v>
      </c>
    </row>
    <row r="9" spans="1:126" x14ac:dyDescent="0.25">
      <c r="C9" s="1" t="s">
        <v>52</v>
      </c>
      <c r="D9" s="12">
        <f t="shared" ref="D9:X9" si="5">SUM(D7:D8)</f>
        <v>135.39699999999979</v>
      </c>
      <c r="E9" s="12">
        <f t="shared" si="5"/>
        <v>200.58399999999992</v>
      </c>
      <c r="F9" s="12">
        <f t="shared" si="5"/>
        <v>275.23000000000013</v>
      </c>
      <c r="G9" s="12">
        <f t="shared" si="5"/>
        <v>309.17099999999994</v>
      </c>
      <c r="H9" s="12">
        <f t="shared" si="5"/>
        <v>313.07699999999988</v>
      </c>
      <c r="I9" s="12">
        <f t="shared" si="5"/>
        <v>322.61100000000005</v>
      </c>
      <c r="J9" s="12">
        <f t="shared" si="5"/>
        <v>362.65799999999984</v>
      </c>
      <c r="K9" s="12">
        <f t="shared" si="5"/>
        <v>447.14400000000001</v>
      </c>
      <c r="L9" s="12">
        <f t="shared" si="5"/>
        <v>309.85599999999909</v>
      </c>
      <c r="M9" s="12">
        <f t="shared" si="5"/>
        <v>200.72999999999956</v>
      </c>
      <c r="N9" s="13">
        <f t="shared" si="5"/>
        <v>221.14714000000023</v>
      </c>
      <c r="O9" s="12">
        <f t="shared" si="5"/>
        <v>221.14714000000023</v>
      </c>
      <c r="P9" s="12">
        <f t="shared" si="5"/>
        <v>221.14714000000023</v>
      </c>
      <c r="Q9" s="12">
        <f t="shared" si="5"/>
        <v>221.14714000000023</v>
      </c>
      <c r="R9" s="12">
        <f t="shared" si="5"/>
        <v>221.14714000000023</v>
      </c>
      <c r="S9" s="12">
        <f t="shared" si="5"/>
        <v>221.14714000000023</v>
      </c>
      <c r="T9" s="12">
        <f t="shared" si="5"/>
        <v>221.14714000000023</v>
      </c>
      <c r="U9" s="12">
        <f t="shared" si="5"/>
        <v>221.14714000000023</v>
      </c>
      <c r="V9" s="12">
        <f t="shared" si="5"/>
        <v>221.14714000000023</v>
      </c>
      <c r="W9" s="12">
        <f t="shared" si="5"/>
        <v>221.14714000000023</v>
      </c>
      <c r="X9" s="12">
        <f t="shared" si="5"/>
        <v>221.14714000000023</v>
      </c>
    </row>
    <row r="10" spans="1:126" x14ac:dyDescent="0.25">
      <c r="C10" s="2" t="s">
        <v>53</v>
      </c>
      <c r="D10" s="14">
        <v>1.1000000000000001</v>
      </c>
      <c r="E10" s="14">
        <v>2.5</v>
      </c>
      <c r="F10" s="14">
        <v>0.61199999999999999</v>
      </c>
      <c r="G10" s="14">
        <v>0.97899999999999998</v>
      </c>
      <c r="H10" s="14">
        <v>15.518000000000001</v>
      </c>
      <c r="I10" s="14">
        <v>15.548</v>
      </c>
      <c r="J10" s="14">
        <v>20.606999999999999</v>
      </c>
      <c r="K10" s="14">
        <v>94.962999999999994</v>
      </c>
      <c r="L10" s="14">
        <v>76</v>
      </c>
      <c r="M10" s="14">
        <v>12.56</v>
      </c>
      <c r="N10" s="15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</row>
    <row r="11" spans="1:126" x14ac:dyDescent="0.25">
      <c r="C11" s="2" t="s">
        <v>54</v>
      </c>
      <c r="D11" s="14">
        <v>-20.177</v>
      </c>
      <c r="E11" s="14">
        <v>-11.8</v>
      </c>
      <c r="F11" s="14">
        <v>-9.8000000000000007</v>
      </c>
      <c r="G11" s="14">
        <v>-6.2</v>
      </c>
      <c r="H11" s="14">
        <v>-15.4</v>
      </c>
      <c r="I11" s="14">
        <v>-6.3689999999999998</v>
      </c>
      <c r="J11" s="14">
        <v>-13.77</v>
      </c>
      <c r="K11" s="14">
        <v>-58.430999999999997</v>
      </c>
      <c r="L11" s="14">
        <v>-81.724999999999994</v>
      </c>
      <c r="M11" s="14">
        <v>-59.271999999999998</v>
      </c>
      <c r="N11" s="15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</row>
    <row r="12" spans="1:126" x14ac:dyDescent="0.25">
      <c r="C12" s="2" t="s">
        <v>55</v>
      </c>
      <c r="D12" s="14">
        <f t="shared" ref="D12:X12" si="6">SUM(D9:D11)</f>
        <v>116.31999999999979</v>
      </c>
      <c r="E12" s="14">
        <f t="shared" si="6"/>
        <v>191.28399999999991</v>
      </c>
      <c r="F12" s="14">
        <f t="shared" si="6"/>
        <v>266.04200000000014</v>
      </c>
      <c r="G12" s="14">
        <f t="shared" si="6"/>
        <v>303.94999999999993</v>
      </c>
      <c r="H12" s="14">
        <f t="shared" si="6"/>
        <v>313.19499999999994</v>
      </c>
      <c r="I12" s="14">
        <f t="shared" si="6"/>
        <v>331.79000000000008</v>
      </c>
      <c r="J12" s="14">
        <f t="shared" si="6"/>
        <v>369.49499999999989</v>
      </c>
      <c r="K12" s="14">
        <f t="shared" si="6"/>
        <v>483.67599999999999</v>
      </c>
      <c r="L12" s="14">
        <f t="shared" si="6"/>
        <v>304.13099999999906</v>
      </c>
      <c r="M12" s="14">
        <f t="shared" si="6"/>
        <v>154.01799999999957</v>
      </c>
      <c r="N12" s="15">
        <f t="shared" si="6"/>
        <v>221.14714000000023</v>
      </c>
      <c r="O12" s="14">
        <f t="shared" si="6"/>
        <v>221.14714000000023</v>
      </c>
      <c r="P12" s="14">
        <f t="shared" si="6"/>
        <v>221.14714000000023</v>
      </c>
      <c r="Q12" s="14">
        <f t="shared" si="6"/>
        <v>221.14714000000023</v>
      </c>
      <c r="R12" s="14">
        <f t="shared" si="6"/>
        <v>221.14714000000023</v>
      </c>
      <c r="S12" s="14">
        <f t="shared" si="6"/>
        <v>221.14714000000023</v>
      </c>
      <c r="T12" s="14">
        <f t="shared" si="6"/>
        <v>221.14714000000023</v>
      </c>
      <c r="U12" s="14">
        <f t="shared" si="6"/>
        <v>221.14714000000023</v>
      </c>
      <c r="V12" s="14">
        <f t="shared" si="6"/>
        <v>221.14714000000023</v>
      </c>
      <c r="W12" s="14">
        <f t="shared" si="6"/>
        <v>221.14714000000023</v>
      </c>
      <c r="X12" s="14">
        <f t="shared" si="6"/>
        <v>221.14714000000023</v>
      </c>
    </row>
    <row r="13" spans="1:126" x14ac:dyDescent="0.25">
      <c r="C13" s="2" t="s">
        <v>56</v>
      </c>
      <c r="D13" s="14">
        <v>-24</v>
      </c>
      <c r="E13" s="14">
        <v>-47.2</v>
      </c>
      <c r="F13" s="14">
        <v>-64.3</v>
      </c>
      <c r="G13" s="14">
        <v>-71.7</v>
      </c>
      <c r="H13" s="14">
        <v>-71.451999999999998</v>
      </c>
      <c r="I13" s="14">
        <v>-74</v>
      </c>
      <c r="J13" s="14">
        <v>-75.317999999999998</v>
      </c>
      <c r="K13" s="14">
        <v>-91.489000000000004</v>
      </c>
      <c r="L13" s="14">
        <v>-62.292999999999999</v>
      </c>
      <c r="M13" s="14">
        <v>-42.667999999999999</v>
      </c>
      <c r="N13" s="15">
        <f>N12*-0.205</f>
        <v>-45.335163700000045</v>
      </c>
      <c r="O13" s="14">
        <f t="shared" ref="O13:X13" si="7">O12*-0.205</f>
        <v>-45.335163700000045</v>
      </c>
      <c r="P13" s="14">
        <f t="shared" si="7"/>
        <v>-45.335163700000045</v>
      </c>
      <c r="Q13" s="14">
        <f t="shared" si="7"/>
        <v>-45.335163700000045</v>
      </c>
      <c r="R13" s="14">
        <f t="shared" si="7"/>
        <v>-45.335163700000045</v>
      </c>
      <c r="S13" s="14">
        <f t="shared" si="7"/>
        <v>-45.335163700000045</v>
      </c>
      <c r="T13" s="14">
        <f t="shared" si="7"/>
        <v>-45.335163700000045</v>
      </c>
      <c r="U13" s="14">
        <f t="shared" si="7"/>
        <v>-45.335163700000045</v>
      </c>
      <c r="V13" s="14">
        <f t="shared" si="7"/>
        <v>-45.335163700000045</v>
      </c>
      <c r="W13" s="14">
        <f t="shared" si="7"/>
        <v>-45.335163700000045</v>
      </c>
      <c r="X13" s="14">
        <f t="shared" si="7"/>
        <v>-45.335163700000045</v>
      </c>
    </row>
    <row r="14" spans="1:126" x14ac:dyDescent="0.25">
      <c r="C14" s="1" t="s">
        <v>57</v>
      </c>
      <c r="D14" s="12">
        <f t="shared" ref="D14:X14" si="8">SUM(D12:D13)</f>
        <v>92.319999999999794</v>
      </c>
      <c r="E14" s="12">
        <f t="shared" si="8"/>
        <v>144.08399999999989</v>
      </c>
      <c r="F14" s="12">
        <f t="shared" si="8"/>
        <v>201.74200000000013</v>
      </c>
      <c r="G14" s="12">
        <f t="shared" si="8"/>
        <v>232.24999999999994</v>
      </c>
      <c r="H14" s="12">
        <f t="shared" si="8"/>
        <v>241.74299999999994</v>
      </c>
      <c r="I14" s="12">
        <f t="shared" si="8"/>
        <v>257.79000000000008</v>
      </c>
      <c r="J14" s="12">
        <f t="shared" si="8"/>
        <v>294.17699999999991</v>
      </c>
      <c r="K14" s="12">
        <f t="shared" si="8"/>
        <v>392.18700000000001</v>
      </c>
      <c r="L14" s="12">
        <f t="shared" si="8"/>
        <v>241.83799999999906</v>
      </c>
      <c r="M14" s="12">
        <f t="shared" si="8"/>
        <v>111.34999999999957</v>
      </c>
      <c r="N14" s="13">
        <f t="shared" si="8"/>
        <v>175.8119763000002</v>
      </c>
      <c r="O14" s="12">
        <f t="shared" si="8"/>
        <v>175.8119763000002</v>
      </c>
      <c r="P14" s="12">
        <f t="shared" si="8"/>
        <v>175.8119763000002</v>
      </c>
      <c r="Q14" s="12">
        <f t="shared" si="8"/>
        <v>175.8119763000002</v>
      </c>
      <c r="R14" s="12">
        <f t="shared" si="8"/>
        <v>175.8119763000002</v>
      </c>
      <c r="S14" s="12">
        <f t="shared" si="8"/>
        <v>175.8119763000002</v>
      </c>
      <c r="T14" s="12">
        <f t="shared" si="8"/>
        <v>175.8119763000002</v>
      </c>
      <c r="U14" s="12">
        <f t="shared" si="8"/>
        <v>175.8119763000002</v>
      </c>
      <c r="V14" s="12">
        <f t="shared" si="8"/>
        <v>175.8119763000002</v>
      </c>
      <c r="W14" s="12">
        <f t="shared" si="8"/>
        <v>175.8119763000002</v>
      </c>
      <c r="X14" s="12">
        <f t="shared" si="8"/>
        <v>175.8119763000002</v>
      </c>
      <c r="Y14" s="12">
        <f>X14*(1+$AS$18)</f>
        <v>175.8119763000002</v>
      </c>
      <c r="Z14" s="12">
        <f t="shared" ref="Z14:CK14" si="9">Y14*(1+$AS$18)</f>
        <v>175.8119763000002</v>
      </c>
      <c r="AA14" s="12">
        <f t="shared" si="9"/>
        <v>175.8119763000002</v>
      </c>
      <c r="AB14" s="12">
        <f t="shared" si="9"/>
        <v>175.8119763000002</v>
      </c>
      <c r="AC14" s="12">
        <f t="shared" si="9"/>
        <v>175.8119763000002</v>
      </c>
      <c r="AD14" s="12">
        <f t="shared" si="9"/>
        <v>175.8119763000002</v>
      </c>
      <c r="AE14" s="12">
        <f t="shared" si="9"/>
        <v>175.8119763000002</v>
      </c>
      <c r="AF14" s="12">
        <f t="shared" si="9"/>
        <v>175.8119763000002</v>
      </c>
      <c r="AG14" s="12">
        <f t="shared" si="9"/>
        <v>175.8119763000002</v>
      </c>
      <c r="AH14" s="12">
        <f t="shared" si="9"/>
        <v>175.8119763000002</v>
      </c>
      <c r="AI14" s="12">
        <f t="shared" si="9"/>
        <v>175.8119763000002</v>
      </c>
      <c r="AJ14" s="12">
        <f t="shared" si="9"/>
        <v>175.8119763000002</v>
      </c>
      <c r="AK14" s="12">
        <f t="shared" si="9"/>
        <v>175.8119763000002</v>
      </c>
      <c r="AL14" s="12">
        <f t="shared" si="9"/>
        <v>175.8119763000002</v>
      </c>
      <c r="AM14" s="12">
        <f t="shared" si="9"/>
        <v>175.8119763000002</v>
      </c>
      <c r="AN14" s="12">
        <f t="shared" si="9"/>
        <v>175.8119763000002</v>
      </c>
      <c r="AO14" s="12">
        <f t="shared" si="9"/>
        <v>175.8119763000002</v>
      </c>
      <c r="AP14" s="12">
        <f t="shared" si="9"/>
        <v>175.8119763000002</v>
      </c>
      <c r="AQ14" s="12">
        <f t="shared" si="9"/>
        <v>175.8119763000002</v>
      </c>
      <c r="AR14" s="12">
        <f t="shared" si="9"/>
        <v>175.8119763000002</v>
      </c>
      <c r="AS14" s="12">
        <f t="shared" si="9"/>
        <v>175.8119763000002</v>
      </c>
      <c r="AT14" s="12">
        <f t="shared" si="9"/>
        <v>175.8119763000002</v>
      </c>
      <c r="AU14" s="12">
        <f t="shared" si="9"/>
        <v>175.8119763000002</v>
      </c>
      <c r="AV14" s="12">
        <f t="shared" si="9"/>
        <v>175.8119763000002</v>
      </c>
      <c r="AW14" s="12">
        <f t="shared" si="9"/>
        <v>175.8119763000002</v>
      </c>
      <c r="AX14" s="12">
        <f t="shared" si="9"/>
        <v>175.8119763000002</v>
      </c>
      <c r="AY14" s="12">
        <f t="shared" si="9"/>
        <v>175.8119763000002</v>
      </c>
      <c r="AZ14" s="12">
        <f t="shared" si="9"/>
        <v>175.8119763000002</v>
      </c>
      <c r="BA14" s="12">
        <f t="shared" si="9"/>
        <v>175.8119763000002</v>
      </c>
      <c r="BB14" s="12">
        <f t="shared" si="9"/>
        <v>175.8119763000002</v>
      </c>
      <c r="BC14" s="12">
        <f t="shared" si="9"/>
        <v>175.8119763000002</v>
      </c>
      <c r="BD14" s="12">
        <f t="shared" si="9"/>
        <v>175.8119763000002</v>
      </c>
      <c r="BE14" s="12">
        <f t="shared" si="9"/>
        <v>175.8119763000002</v>
      </c>
      <c r="BF14" s="12">
        <f t="shared" si="9"/>
        <v>175.8119763000002</v>
      </c>
      <c r="BG14" s="12">
        <f t="shared" si="9"/>
        <v>175.8119763000002</v>
      </c>
      <c r="BH14" s="12">
        <f t="shared" si="9"/>
        <v>175.8119763000002</v>
      </c>
      <c r="BI14" s="12">
        <f t="shared" si="9"/>
        <v>175.8119763000002</v>
      </c>
      <c r="BJ14" s="12">
        <f t="shared" si="9"/>
        <v>175.8119763000002</v>
      </c>
      <c r="BK14" s="12">
        <f t="shared" si="9"/>
        <v>175.8119763000002</v>
      </c>
      <c r="BL14" s="12">
        <f t="shared" si="9"/>
        <v>175.8119763000002</v>
      </c>
      <c r="BM14" s="12">
        <f t="shared" si="9"/>
        <v>175.8119763000002</v>
      </c>
      <c r="BN14" s="12">
        <f t="shared" si="9"/>
        <v>175.8119763000002</v>
      </c>
      <c r="BO14" s="12">
        <f t="shared" si="9"/>
        <v>175.8119763000002</v>
      </c>
      <c r="BP14" s="12">
        <f t="shared" si="9"/>
        <v>175.8119763000002</v>
      </c>
      <c r="BQ14" s="12">
        <f t="shared" si="9"/>
        <v>175.8119763000002</v>
      </c>
      <c r="BR14" s="12">
        <f t="shared" si="9"/>
        <v>175.8119763000002</v>
      </c>
      <c r="BS14" s="12">
        <f t="shared" si="9"/>
        <v>175.8119763000002</v>
      </c>
      <c r="BT14" s="12">
        <f t="shared" si="9"/>
        <v>175.8119763000002</v>
      </c>
      <c r="BU14" s="12">
        <f t="shared" si="9"/>
        <v>175.8119763000002</v>
      </c>
      <c r="BV14" s="12">
        <f t="shared" si="9"/>
        <v>175.8119763000002</v>
      </c>
      <c r="BW14" s="12">
        <f t="shared" si="9"/>
        <v>175.8119763000002</v>
      </c>
      <c r="BX14" s="12">
        <f t="shared" si="9"/>
        <v>175.8119763000002</v>
      </c>
      <c r="BY14" s="12">
        <f t="shared" si="9"/>
        <v>175.8119763000002</v>
      </c>
      <c r="BZ14" s="12">
        <f t="shared" si="9"/>
        <v>175.8119763000002</v>
      </c>
      <c r="CA14" s="12">
        <f t="shared" si="9"/>
        <v>175.8119763000002</v>
      </c>
      <c r="CB14" s="12">
        <f t="shared" si="9"/>
        <v>175.8119763000002</v>
      </c>
      <c r="CC14" s="12">
        <f t="shared" si="9"/>
        <v>175.8119763000002</v>
      </c>
      <c r="CD14" s="12">
        <f t="shared" si="9"/>
        <v>175.8119763000002</v>
      </c>
      <c r="CE14" s="12">
        <f t="shared" si="9"/>
        <v>175.8119763000002</v>
      </c>
      <c r="CF14" s="12">
        <f t="shared" si="9"/>
        <v>175.8119763000002</v>
      </c>
      <c r="CG14" s="12">
        <f t="shared" si="9"/>
        <v>175.8119763000002</v>
      </c>
      <c r="CH14" s="12">
        <f t="shared" si="9"/>
        <v>175.8119763000002</v>
      </c>
      <c r="CI14" s="12">
        <f t="shared" si="9"/>
        <v>175.8119763000002</v>
      </c>
      <c r="CJ14" s="12">
        <f t="shared" si="9"/>
        <v>175.8119763000002</v>
      </c>
      <c r="CK14" s="12">
        <f t="shared" si="9"/>
        <v>175.8119763000002</v>
      </c>
      <c r="CL14" s="12">
        <f t="shared" ref="CL14:DV14" si="10">CK14*(1+$AS$18)</f>
        <v>175.8119763000002</v>
      </c>
      <c r="CM14" s="12">
        <f t="shared" si="10"/>
        <v>175.8119763000002</v>
      </c>
      <c r="CN14" s="12">
        <f t="shared" si="10"/>
        <v>175.8119763000002</v>
      </c>
      <c r="CO14" s="12">
        <f t="shared" si="10"/>
        <v>175.8119763000002</v>
      </c>
      <c r="CP14" s="12">
        <f t="shared" si="10"/>
        <v>175.8119763000002</v>
      </c>
      <c r="CQ14" s="12">
        <f t="shared" si="10"/>
        <v>175.8119763000002</v>
      </c>
      <c r="CR14" s="12">
        <f t="shared" si="10"/>
        <v>175.8119763000002</v>
      </c>
      <c r="CS14" s="12">
        <f t="shared" si="10"/>
        <v>175.8119763000002</v>
      </c>
      <c r="CT14" s="12">
        <f t="shared" si="10"/>
        <v>175.8119763000002</v>
      </c>
      <c r="CU14" s="12">
        <f t="shared" si="10"/>
        <v>175.8119763000002</v>
      </c>
      <c r="CV14" s="12">
        <f t="shared" si="10"/>
        <v>175.8119763000002</v>
      </c>
      <c r="CW14" s="12">
        <f t="shared" si="10"/>
        <v>175.8119763000002</v>
      </c>
      <c r="CX14" s="12">
        <f t="shared" si="10"/>
        <v>175.8119763000002</v>
      </c>
      <c r="CY14" s="12">
        <f t="shared" si="10"/>
        <v>175.8119763000002</v>
      </c>
      <c r="CZ14" s="12">
        <f t="shared" si="10"/>
        <v>175.8119763000002</v>
      </c>
      <c r="DA14" s="12">
        <f t="shared" si="10"/>
        <v>175.8119763000002</v>
      </c>
      <c r="DB14" s="12">
        <f t="shared" si="10"/>
        <v>175.8119763000002</v>
      </c>
      <c r="DC14" s="12">
        <f t="shared" si="10"/>
        <v>175.8119763000002</v>
      </c>
      <c r="DD14" s="12">
        <f t="shared" si="10"/>
        <v>175.8119763000002</v>
      </c>
      <c r="DE14" s="12">
        <f t="shared" si="10"/>
        <v>175.8119763000002</v>
      </c>
      <c r="DF14" s="12">
        <f t="shared" si="10"/>
        <v>175.8119763000002</v>
      </c>
      <c r="DG14" s="12">
        <f t="shared" si="10"/>
        <v>175.8119763000002</v>
      </c>
      <c r="DH14" s="12">
        <f t="shared" si="10"/>
        <v>175.8119763000002</v>
      </c>
      <c r="DI14" s="12">
        <f t="shared" si="10"/>
        <v>175.8119763000002</v>
      </c>
      <c r="DJ14" s="12">
        <f t="shared" si="10"/>
        <v>175.8119763000002</v>
      </c>
      <c r="DK14" s="12">
        <f t="shared" si="10"/>
        <v>175.8119763000002</v>
      </c>
      <c r="DL14" s="12">
        <f t="shared" si="10"/>
        <v>175.8119763000002</v>
      </c>
      <c r="DM14" s="12">
        <f t="shared" si="10"/>
        <v>175.8119763000002</v>
      </c>
      <c r="DN14" s="12">
        <f t="shared" si="10"/>
        <v>175.8119763000002</v>
      </c>
      <c r="DO14" s="12">
        <f t="shared" si="10"/>
        <v>175.8119763000002</v>
      </c>
      <c r="DP14" s="12">
        <f t="shared" si="10"/>
        <v>175.8119763000002</v>
      </c>
      <c r="DQ14" s="12">
        <f t="shared" si="10"/>
        <v>175.8119763000002</v>
      </c>
      <c r="DR14" s="12">
        <f t="shared" si="10"/>
        <v>175.8119763000002</v>
      </c>
      <c r="DS14" s="12">
        <f t="shared" si="10"/>
        <v>175.8119763000002</v>
      </c>
      <c r="DT14" s="12">
        <f t="shared" si="10"/>
        <v>175.8119763000002</v>
      </c>
      <c r="DU14" s="12">
        <f t="shared" si="10"/>
        <v>175.8119763000002</v>
      </c>
      <c r="DV14" s="12">
        <f t="shared" si="10"/>
        <v>175.8119763000002</v>
      </c>
    </row>
    <row r="15" spans="1:126" x14ac:dyDescent="0.25">
      <c r="C15" s="2" t="s">
        <v>58</v>
      </c>
      <c r="D15" s="2">
        <v>18.388999999999999</v>
      </c>
      <c r="E15" s="2">
        <v>18.914000000000001</v>
      </c>
      <c r="F15" s="2">
        <v>19.138999999999999</v>
      </c>
      <c r="G15" s="9">
        <v>19.253</v>
      </c>
      <c r="H15" s="9">
        <v>19.254000000000001</v>
      </c>
      <c r="I15" s="9">
        <v>19.28</v>
      </c>
      <c r="J15" s="9">
        <v>23.725999999999999</v>
      </c>
      <c r="K15" s="9">
        <v>27.408999999999999</v>
      </c>
      <c r="L15" s="9">
        <v>27.306999999999999</v>
      </c>
      <c r="M15" s="9">
        <v>27.306999999999999</v>
      </c>
      <c r="N15" s="8">
        <v>27.306999999999999</v>
      </c>
      <c r="O15" s="9">
        <v>27.306999999999999</v>
      </c>
      <c r="P15" s="9">
        <v>27.306999999999999</v>
      </c>
      <c r="Q15" s="9">
        <v>27.306999999999999</v>
      </c>
      <c r="R15" s="9">
        <v>27.306999999999999</v>
      </c>
      <c r="S15" s="9">
        <v>27.306999999999999</v>
      </c>
      <c r="T15" s="9">
        <v>27.306999999999999</v>
      </c>
      <c r="U15" s="9">
        <v>27.306999999999999</v>
      </c>
      <c r="V15" s="9">
        <v>27.306999999999999</v>
      </c>
      <c r="W15" s="9">
        <v>27.306999999999999</v>
      </c>
      <c r="X15" s="9">
        <v>27.306999999999999</v>
      </c>
    </row>
    <row r="16" spans="1:126" x14ac:dyDescent="0.25">
      <c r="C16" s="2" t="s">
        <v>59</v>
      </c>
      <c r="D16" s="19">
        <f t="shared" ref="D16:K16" si="11">D14/D15</f>
        <v>5.0203926260264176</v>
      </c>
      <c r="E16" s="19">
        <f t="shared" si="11"/>
        <v>7.6178492122237431</v>
      </c>
      <c r="F16" s="19">
        <f t="shared" si="11"/>
        <v>10.540885103714935</v>
      </c>
      <c r="G16" s="19">
        <f t="shared" si="11"/>
        <v>12.063055108294808</v>
      </c>
      <c r="H16" s="19">
        <f t="shared" si="11"/>
        <v>12.555468993455902</v>
      </c>
      <c r="I16" s="19">
        <f t="shared" si="11"/>
        <v>13.370850622406643</v>
      </c>
      <c r="J16" s="19">
        <f t="shared" si="11"/>
        <v>12.398929444491271</v>
      </c>
      <c r="K16" s="19">
        <f t="shared" si="11"/>
        <v>14.308694224524793</v>
      </c>
      <c r="L16" s="19">
        <f>L14/L15</f>
        <v>8.8562639616215275</v>
      </c>
      <c r="M16" s="19">
        <f>M14/M15</f>
        <v>4.0777090123411419</v>
      </c>
      <c r="N16" s="22">
        <f t="shared" ref="N16:X16" si="12">N14/N15</f>
        <v>6.4383482733365147</v>
      </c>
      <c r="O16" s="19">
        <f t="shared" si="12"/>
        <v>6.4383482733365147</v>
      </c>
      <c r="P16" s="19">
        <f t="shared" si="12"/>
        <v>6.4383482733365147</v>
      </c>
      <c r="Q16" s="19">
        <f t="shared" si="12"/>
        <v>6.4383482733365147</v>
      </c>
      <c r="R16" s="19">
        <f t="shared" si="12"/>
        <v>6.4383482733365147</v>
      </c>
      <c r="S16" s="19">
        <f t="shared" si="12"/>
        <v>6.4383482733365147</v>
      </c>
      <c r="T16" s="19">
        <f t="shared" si="12"/>
        <v>6.4383482733365147</v>
      </c>
      <c r="U16" s="19">
        <f t="shared" si="12"/>
        <v>6.4383482733365147</v>
      </c>
      <c r="V16" s="19">
        <f t="shared" si="12"/>
        <v>6.4383482733365147</v>
      </c>
      <c r="W16" s="19">
        <f t="shared" si="12"/>
        <v>6.4383482733365147</v>
      </c>
      <c r="X16" s="19">
        <f t="shared" si="12"/>
        <v>6.4383482733365147</v>
      </c>
    </row>
    <row r="17" spans="2:27" x14ac:dyDescent="0.25"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  <c r="Z17" s="2" t="s">
        <v>108</v>
      </c>
      <c r="AA17" s="25">
        <v>0.08</v>
      </c>
    </row>
    <row r="18" spans="2:27" x14ac:dyDescent="0.25">
      <c r="C18" s="1" t="s">
        <v>43</v>
      </c>
      <c r="D18" s="21"/>
      <c r="E18" s="21">
        <f t="shared" ref="E18:L19" si="13">(E4-D4)/D4</f>
        <v>8.7990134529147918E-2</v>
      </c>
      <c r="F18" s="21">
        <f t="shared" si="13"/>
        <v>0.12665102641230111</v>
      </c>
      <c r="G18" s="21">
        <f t="shared" si="13"/>
        <v>0.12796885752008133</v>
      </c>
      <c r="H18" s="21">
        <f t="shared" si="13"/>
        <v>8.1631911741430585E-2</v>
      </c>
      <c r="I18" s="21">
        <f t="shared" si="13"/>
        <v>1.3193403298350824E-2</v>
      </c>
      <c r="J18" s="21">
        <f t="shared" si="13"/>
        <v>0.4240423202130808</v>
      </c>
      <c r="K18" s="21">
        <f t="shared" si="13"/>
        <v>0.42019423343133472</v>
      </c>
      <c r="L18" s="21">
        <f t="shared" si="13"/>
        <v>4.098396399280857E-2</v>
      </c>
      <c r="M18" s="21">
        <f>(M4-L4)/L4</f>
        <v>-9.8129556272157581E-2</v>
      </c>
      <c r="N18" s="23">
        <f t="shared" ref="N18:X19" si="14">(N4-M4)/M4</f>
        <v>-9.9999999999999922E-2</v>
      </c>
      <c r="O18" s="21">
        <f t="shared" si="14"/>
        <v>0</v>
      </c>
      <c r="P18" s="21">
        <f t="shared" si="14"/>
        <v>0</v>
      </c>
      <c r="Q18" s="21">
        <f t="shared" si="14"/>
        <v>0</v>
      </c>
      <c r="R18" s="21">
        <f t="shared" si="14"/>
        <v>0</v>
      </c>
      <c r="S18" s="21">
        <f t="shared" si="14"/>
        <v>0</v>
      </c>
      <c r="T18" s="21">
        <f t="shared" si="14"/>
        <v>0</v>
      </c>
      <c r="U18" s="21">
        <f t="shared" si="14"/>
        <v>0</v>
      </c>
      <c r="V18" s="21">
        <f t="shared" si="14"/>
        <v>0</v>
      </c>
      <c r="W18" s="21">
        <f t="shared" si="14"/>
        <v>0</v>
      </c>
      <c r="X18" s="21">
        <f t="shared" si="14"/>
        <v>0</v>
      </c>
      <c r="Z18" s="2" t="s">
        <v>109</v>
      </c>
      <c r="AA18" s="25">
        <v>-0.01</v>
      </c>
    </row>
    <row r="19" spans="2:27" x14ac:dyDescent="0.25">
      <c r="C19" s="1" t="s">
        <v>95</v>
      </c>
      <c r="D19" s="21"/>
      <c r="E19" s="21">
        <f t="shared" si="13"/>
        <v>7.2433744815504575E-2</v>
      </c>
      <c r="F19" s="21">
        <f t="shared" si="13"/>
        <v>0.10784820996580521</v>
      </c>
      <c r="G19" s="21">
        <f t="shared" si="13"/>
        <v>0.12920060093302763</v>
      </c>
      <c r="H19" s="21">
        <f t="shared" si="13"/>
        <v>6.7986269665880922E-2</v>
      </c>
      <c r="I19" s="21">
        <f t="shared" si="13"/>
        <v>9.6490068857415963E-3</v>
      </c>
      <c r="J19" s="21">
        <f t="shared" si="13"/>
        <v>0.43012467606229032</v>
      </c>
      <c r="K19" s="21">
        <f t="shared" si="13"/>
        <v>0.4324610468473038</v>
      </c>
      <c r="L19" s="21">
        <f t="shared" si="13"/>
        <v>5.7641499238397599E-2</v>
      </c>
      <c r="M19" s="21">
        <f>(M5-L5)/L5</f>
        <v>-8.7649568820331439E-2</v>
      </c>
      <c r="N19" s="23">
        <f t="shared" si="14"/>
        <v>-0.11000000000000003</v>
      </c>
      <c r="O19" s="21">
        <f t="shared" si="14"/>
        <v>0</v>
      </c>
      <c r="P19" s="21">
        <f t="shared" si="14"/>
        <v>0</v>
      </c>
      <c r="Q19" s="21">
        <f t="shared" si="14"/>
        <v>0</v>
      </c>
      <c r="R19" s="21">
        <f t="shared" si="14"/>
        <v>0</v>
      </c>
      <c r="S19" s="21">
        <f t="shared" si="14"/>
        <v>0</v>
      </c>
      <c r="T19" s="21">
        <f t="shared" si="14"/>
        <v>0</v>
      </c>
      <c r="U19" s="21">
        <f t="shared" si="14"/>
        <v>0</v>
      </c>
      <c r="V19" s="21">
        <f t="shared" si="14"/>
        <v>0</v>
      </c>
      <c r="W19" s="21">
        <f t="shared" si="14"/>
        <v>0</v>
      </c>
      <c r="X19" s="21">
        <f t="shared" si="14"/>
        <v>0</v>
      </c>
      <c r="Z19" s="33" t="s">
        <v>110</v>
      </c>
      <c r="AA19" s="34">
        <f>NPV(AA17,N14:DV14)</f>
        <v>2197.2823587788616</v>
      </c>
    </row>
    <row r="20" spans="2:27" x14ac:dyDescent="0.25">
      <c r="C20" s="2" t="s">
        <v>99</v>
      </c>
      <c r="D20" s="10">
        <f t="shared" ref="D20:X20" si="15">D7/D4</f>
        <v>6.5899999999999903E-2</v>
      </c>
      <c r="E20" s="10">
        <f t="shared" si="15"/>
        <v>8.7537063858235301E-2</v>
      </c>
      <c r="F20" s="10">
        <f t="shared" si="15"/>
        <v>0.10496795135615465</v>
      </c>
      <c r="G20" s="10">
        <f t="shared" si="15"/>
        <v>0.10413212579752107</v>
      </c>
      <c r="H20" s="10">
        <f t="shared" si="15"/>
        <v>9.5375412293853046E-2</v>
      </c>
      <c r="I20" s="10">
        <f t="shared" si="15"/>
        <v>9.86422018348624E-2</v>
      </c>
      <c r="J20" s="10">
        <f t="shared" si="15"/>
        <v>9.1005746451616493E-2</v>
      </c>
      <c r="K20" s="10">
        <f t="shared" si="15"/>
        <v>8.7283753303093209E-2</v>
      </c>
      <c r="L20" s="10">
        <f t="shared" si="15"/>
        <v>6.9778684307446506E-2</v>
      </c>
      <c r="M20" s="10">
        <f t="shared" si="15"/>
        <v>5.716094657143421E-2</v>
      </c>
      <c r="N20" s="24">
        <f t="shared" si="15"/>
        <v>6.7335594022039161E-2</v>
      </c>
      <c r="O20" s="10">
        <f t="shared" si="15"/>
        <v>6.7335594022039161E-2</v>
      </c>
      <c r="P20" s="10">
        <f t="shared" si="15"/>
        <v>6.7335594022039161E-2</v>
      </c>
      <c r="Q20" s="10">
        <f t="shared" si="15"/>
        <v>6.7335594022039161E-2</v>
      </c>
      <c r="R20" s="10">
        <f t="shared" si="15"/>
        <v>6.7335594022039161E-2</v>
      </c>
      <c r="S20" s="10">
        <f t="shared" si="15"/>
        <v>6.7335594022039161E-2</v>
      </c>
      <c r="T20" s="10">
        <f t="shared" si="15"/>
        <v>6.7335594022039161E-2</v>
      </c>
      <c r="U20" s="10">
        <f t="shared" si="15"/>
        <v>6.7335594022039161E-2</v>
      </c>
      <c r="V20" s="10">
        <f t="shared" si="15"/>
        <v>6.7335594022039161E-2</v>
      </c>
      <c r="W20" s="10">
        <f t="shared" si="15"/>
        <v>6.7335594022039161E-2</v>
      </c>
      <c r="X20" s="10">
        <f t="shared" si="15"/>
        <v>6.7335594022039161E-2</v>
      </c>
      <c r="Z20" s="2" t="s">
        <v>2</v>
      </c>
      <c r="AA20" s="35">
        <v>27.306999999999999</v>
      </c>
    </row>
    <row r="21" spans="2:27" x14ac:dyDescent="0.25">
      <c r="C21" s="2" t="s">
        <v>44</v>
      </c>
      <c r="D21" s="10">
        <f t="shared" ref="D21:X21" si="16">D9/D4</f>
        <v>6.0716143497757752E-2</v>
      </c>
      <c r="E21" s="10">
        <f t="shared" si="16"/>
        <v>8.2673527275784753E-2</v>
      </c>
      <c r="F21" s="10">
        <f t="shared" si="16"/>
        <v>0.10068772610655716</v>
      </c>
      <c r="G21" s="10">
        <f t="shared" si="16"/>
        <v>0.10027262962069258</v>
      </c>
      <c r="H21" s="10">
        <f t="shared" si="16"/>
        <v>9.3876161919040441E-2</v>
      </c>
      <c r="I21" s="10">
        <f t="shared" si="16"/>
        <v>9.5475288546907386E-2</v>
      </c>
      <c r="J21" s="10">
        <f t="shared" si="16"/>
        <v>7.5367858317786585E-2</v>
      </c>
      <c r="K21" s="10">
        <f t="shared" si="16"/>
        <v>6.5431755877376777E-2</v>
      </c>
      <c r="L21" s="10">
        <f t="shared" si="16"/>
        <v>4.3556907540533651E-2</v>
      </c>
      <c r="M21" s="10">
        <f t="shared" si="16"/>
        <v>3.1287096243241559E-2</v>
      </c>
      <c r="N21" s="24">
        <f t="shared" si="16"/>
        <v>3.8299384209289633E-2</v>
      </c>
      <c r="O21" s="10">
        <f t="shared" si="16"/>
        <v>3.8299384209289633E-2</v>
      </c>
      <c r="P21" s="10">
        <f t="shared" si="16"/>
        <v>3.8299384209289633E-2</v>
      </c>
      <c r="Q21" s="10">
        <f t="shared" si="16"/>
        <v>3.8299384209289633E-2</v>
      </c>
      <c r="R21" s="10">
        <f t="shared" si="16"/>
        <v>3.8299384209289633E-2</v>
      </c>
      <c r="S21" s="10">
        <f t="shared" si="16"/>
        <v>3.8299384209289633E-2</v>
      </c>
      <c r="T21" s="10">
        <f t="shared" si="16"/>
        <v>3.8299384209289633E-2</v>
      </c>
      <c r="U21" s="10">
        <f t="shared" si="16"/>
        <v>3.8299384209289633E-2</v>
      </c>
      <c r="V21" s="10">
        <f t="shared" si="16"/>
        <v>3.8299384209289633E-2</v>
      </c>
      <c r="W21" s="10">
        <f t="shared" si="16"/>
        <v>3.8299384209289633E-2</v>
      </c>
      <c r="X21" s="10">
        <f t="shared" si="16"/>
        <v>3.8299384209289633E-2</v>
      </c>
      <c r="Z21" s="2" t="s">
        <v>111</v>
      </c>
      <c r="AA21" s="19">
        <f>AA19/AA20</f>
        <v>80.465901006293691</v>
      </c>
    </row>
    <row r="22" spans="2:27" s="33" customFormat="1" x14ac:dyDescent="0.25">
      <c r="B22" s="42"/>
      <c r="C22" s="33" t="s">
        <v>114</v>
      </c>
      <c r="D22" s="43">
        <v>0.11899999999999999</v>
      </c>
      <c r="E22" s="43">
        <v>0.18099999999999999</v>
      </c>
      <c r="F22" s="43">
        <v>0.22500000000000001</v>
      </c>
      <c r="G22" s="43">
        <v>0.22500000000000001</v>
      </c>
      <c r="H22" s="43">
        <v>0.20599999999999999</v>
      </c>
      <c r="I22" s="43">
        <v>0.185</v>
      </c>
      <c r="J22" s="43">
        <v>0.108</v>
      </c>
      <c r="K22" s="43">
        <v>9.7000000000000003E-2</v>
      </c>
      <c r="L22" s="43">
        <v>5.8000000000000003E-2</v>
      </c>
      <c r="M22" s="43">
        <v>2.7E-2</v>
      </c>
      <c r="N22" s="44"/>
      <c r="O22" s="43"/>
      <c r="P22" s="43"/>
      <c r="Q22" s="43"/>
      <c r="R22" s="43"/>
      <c r="S22" s="43"/>
      <c r="T22" s="43"/>
      <c r="U22" s="43"/>
      <c r="V22" s="43"/>
      <c r="W22" s="43"/>
      <c r="X22" s="43"/>
      <c r="Z22" s="45" t="s">
        <v>112</v>
      </c>
      <c r="AA22" s="46">
        <f>(AA21-Modell!B4)/Modell!B4</f>
        <v>-0.28791238047527706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Modell</vt:lpstr>
      <vt:lpstr>Segementer</vt:lpstr>
      <vt:lpstr>Nøkkeltall</vt:lpstr>
      <vt:lpstr>Nedsideberegninger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2025-08-01T19:09:06Z</dcterms:modified>
</cp:coreProperties>
</file>