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05456A45-CD9E-384A-8FE4-A32E21662D07}" xr6:coauthVersionLast="47" xr6:coauthVersionMax="47" xr10:uidLastSave="{00000000-0000-0000-0000-000000000000}"/>
  <bookViews>
    <workbookView xWindow="24280" yWindow="500" windowWidth="2688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E6" i="3"/>
  <c r="F6" i="3"/>
  <c r="D6" i="3"/>
  <c r="AD8" i="2"/>
  <c r="AD9" i="2"/>
  <c r="AD10" i="2"/>
  <c r="AD7" i="2"/>
  <c r="AD4" i="2"/>
  <c r="AD5" i="2" s="1"/>
  <c r="AC8" i="2"/>
  <c r="AC9" i="2"/>
  <c r="AE9" i="2" s="1"/>
  <c r="AF9" i="2" s="1"/>
  <c r="AG9" i="2" s="1"/>
  <c r="AH9" i="2" s="1"/>
  <c r="AI9" i="2" s="1"/>
  <c r="AJ9" i="2" s="1"/>
  <c r="AK9" i="2" s="1"/>
  <c r="AL9" i="2" s="1"/>
  <c r="AC10" i="2"/>
  <c r="AE10" i="2" s="1"/>
  <c r="AF10" i="2" s="1"/>
  <c r="AG10" i="2" s="1"/>
  <c r="AH10" i="2" s="1"/>
  <c r="AI10" i="2" s="1"/>
  <c r="AJ10" i="2" s="1"/>
  <c r="AK10" i="2" s="1"/>
  <c r="AL10" i="2" s="1"/>
  <c r="AC7" i="2"/>
  <c r="AC4" i="2"/>
  <c r="AB15" i="2"/>
  <c r="AE8" i="2"/>
  <c r="AF8" i="2" s="1"/>
  <c r="AG8" i="2" s="1"/>
  <c r="AE7" i="2"/>
  <c r="AF7" i="2" s="1"/>
  <c r="AG7" i="2" s="1"/>
  <c r="AH7" i="2" s="1"/>
  <c r="AI7" i="2" s="1"/>
  <c r="AJ7" i="2" s="1"/>
  <c r="AK7" i="2" s="1"/>
  <c r="AL7" i="2" s="1"/>
  <c r="AB8" i="2"/>
  <c r="AB9" i="2"/>
  <c r="AB10" i="2"/>
  <c r="AB7" i="2"/>
  <c r="AC5" i="2"/>
  <c r="AC20" i="2"/>
  <c r="AB5" i="2"/>
  <c r="AB6" i="2" s="1"/>
  <c r="AB22" i="2" s="1"/>
  <c r="AB4" i="2"/>
  <c r="AB20" i="2"/>
  <c r="K63" i="2"/>
  <c r="K33" i="2"/>
  <c r="D63" i="2"/>
  <c r="E63" i="2"/>
  <c r="G63" i="2"/>
  <c r="H63" i="2"/>
  <c r="L63" i="2"/>
  <c r="I63" i="2"/>
  <c r="V53" i="2"/>
  <c r="V50" i="2"/>
  <c r="W62" i="2"/>
  <c r="W53" i="2"/>
  <c r="W50" i="2"/>
  <c r="V11" i="2"/>
  <c r="V12" i="2" s="1"/>
  <c r="V14" i="2" s="1"/>
  <c r="V16" i="2" s="1"/>
  <c r="V18" i="2" s="1"/>
  <c r="V6" i="2"/>
  <c r="W11" i="2"/>
  <c r="W12" i="2" s="1"/>
  <c r="W14" i="2" s="1"/>
  <c r="W16" i="2" s="1"/>
  <c r="W18" i="2" s="1"/>
  <c r="W6" i="2"/>
  <c r="X62" i="2"/>
  <c r="X53" i="2"/>
  <c r="X50" i="2"/>
  <c r="Y62" i="2"/>
  <c r="Y53" i="2"/>
  <c r="Y50" i="2"/>
  <c r="X11" i="2"/>
  <c r="X12" i="2" s="1"/>
  <c r="X14" i="2" s="1"/>
  <c r="X16" i="2" s="1"/>
  <c r="X18" i="2" s="1"/>
  <c r="X6" i="2"/>
  <c r="Y13" i="2"/>
  <c r="Y11" i="2"/>
  <c r="Y12" i="2" s="1"/>
  <c r="Y14" i="2" s="1"/>
  <c r="Y16" i="2" s="1"/>
  <c r="Y18" i="2" s="1"/>
  <c r="Y6" i="2"/>
  <c r="AD11" i="2" l="1"/>
  <c r="AD12" i="2" s="1"/>
  <c r="AD14" i="2" s="1"/>
  <c r="AE4" i="2"/>
  <c r="AD6" i="2"/>
  <c r="AD22" i="2" s="1"/>
  <c r="AC11" i="2"/>
  <c r="AC12" i="2" s="1"/>
  <c r="AH8" i="2"/>
  <c r="AC6" i="2"/>
  <c r="AC22" i="2" s="1"/>
  <c r="AD20" i="2"/>
  <c r="AB11" i="2"/>
  <c r="Z62" i="2"/>
  <c r="Z63" i="2" s="1"/>
  <c r="Z53" i="2"/>
  <c r="Z54" i="2" s="1"/>
  <c r="Z50" i="2"/>
  <c r="Y63" i="2"/>
  <c r="X63" i="2"/>
  <c r="W63" i="2"/>
  <c r="V63" i="2"/>
  <c r="AA61" i="2"/>
  <c r="AA63" i="2" s="1"/>
  <c r="Y54" i="2"/>
  <c r="X54" i="2"/>
  <c r="W54" i="2"/>
  <c r="V54" i="2"/>
  <c r="AA53" i="2"/>
  <c r="AA54" i="2" s="1"/>
  <c r="Z51" i="2"/>
  <c r="Y51" i="2"/>
  <c r="Y69" i="2" s="1"/>
  <c r="X51" i="2"/>
  <c r="W51" i="2"/>
  <c r="V51" i="2"/>
  <c r="V69" i="2" s="1"/>
  <c r="AA50" i="2"/>
  <c r="AA51" i="2" s="1"/>
  <c r="AA69" i="2" s="1"/>
  <c r="V45" i="2"/>
  <c r="W45" i="2"/>
  <c r="X45" i="2"/>
  <c r="Y45" i="2"/>
  <c r="W21" i="2"/>
  <c r="X21" i="2"/>
  <c r="Y21" i="2"/>
  <c r="W20" i="2"/>
  <c r="X20" i="2"/>
  <c r="Y20" i="2"/>
  <c r="Z20" i="2"/>
  <c r="AA20" i="2"/>
  <c r="Y23" i="2"/>
  <c r="X23" i="2"/>
  <c r="W23" i="2"/>
  <c r="V23" i="2"/>
  <c r="Y22" i="2"/>
  <c r="X22" i="2"/>
  <c r="W22" i="2"/>
  <c r="V22" i="2"/>
  <c r="Z13" i="2"/>
  <c r="Z11" i="2"/>
  <c r="Z12" i="2" s="1"/>
  <c r="Z14" i="2" s="1"/>
  <c r="Z16" i="2" s="1"/>
  <c r="Z18" i="2" s="1"/>
  <c r="Z6" i="2"/>
  <c r="Z22" i="2" s="1"/>
  <c r="AA13" i="2"/>
  <c r="AA11" i="2"/>
  <c r="AA12" i="2" s="1"/>
  <c r="AA14" i="2" s="1"/>
  <c r="AA16" i="2" s="1"/>
  <c r="AA18" i="2" s="1"/>
  <c r="AA6" i="2"/>
  <c r="AA22" i="2" s="1"/>
  <c r="J63" i="2"/>
  <c r="N63" i="2"/>
  <c r="J53" i="2"/>
  <c r="J54" i="2" s="1"/>
  <c r="F63" i="2"/>
  <c r="M63" i="2"/>
  <c r="D51" i="2"/>
  <c r="D69" i="2" s="1"/>
  <c r="E51" i="2"/>
  <c r="E69" i="2" s="1"/>
  <c r="F51" i="2"/>
  <c r="F69" i="2" s="1"/>
  <c r="G51" i="2"/>
  <c r="G69" i="2" s="1"/>
  <c r="H51" i="2"/>
  <c r="H69" i="2" s="1"/>
  <c r="I51" i="2"/>
  <c r="I69" i="2" s="1"/>
  <c r="J51" i="2"/>
  <c r="K51" i="2"/>
  <c r="L51" i="2"/>
  <c r="M51" i="2"/>
  <c r="M69" i="2" s="1"/>
  <c r="D54" i="2"/>
  <c r="E54" i="2"/>
  <c r="F54" i="2"/>
  <c r="G54" i="2"/>
  <c r="H54" i="2"/>
  <c r="I54" i="2"/>
  <c r="K54" i="2"/>
  <c r="L54" i="2"/>
  <c r="M54" i="2"/>
  <c r="N53" i="2"/>
  <c r="N54" i="2" s="1"/>
  <c r="N51" i="2"/>
  <c r="J33" i="2"/>
  <c r="D33" i="2"/>
  <c r="E33" i="2"/>
  <c r="F33" i="2"/>
  <c r="G33" i="2"/>
  <c r="H33" i="2"/>
  <c r="I33" i="2"/>
  <c r="L33" i="2"/>
  <c r="M33" i="2"/>
  <c r="M41" i="2"/>
  <c r="M42" i="2" s="1"/>
  <c r="L41" i="2"/>
  <c r="L42" i="2" s="1"/>
  <c r="K41" i="2"/>
  <c r="K42" i="2" s="1"/>
  <c r="J41" i="2"/>
  <c r="J42" i="2" s="1"/>
  <c r="I41" i="2"/>
  <c r="I42" i="2" s="1"/>
  <c r="H41" i="2"/>
  <c r="H42" i="2" s="1"/>
  <c r="G41" i="2"/>
  <c r="G42" i="2" s="1"/>
  <c r="F41" i="2"/>
  <c r="F42" i="2" s="1"/>
  <c r="E41" i="2"/>
  <c r="E42" i="2" s="1"/>
  <c r="D41" i="2"/>
  <c r="D42" i="2" s="1"/>
  <c r="N41" i="2"/>
  <c r="N42" i="2" s="1"/>
  <c r="N33" i="2"/>
  <c r="H20" i="2"/>
  <c r="I20" i="2"/>
  <c r="J20" i="2"/>
  <c r="K20" i="2"/>
  <c r="L20" i="2"/>
  <c r="M20" i="2"/>
  <c r="N20" i="2"/>
  <c r="D11" i="2"/>
  <c r="D12" i="2" s="1"/>
  <c r="E11" i="2"/>
  <c r="E12" i="2" s="1"/>
  <c r="F11" i="2"/>
  <c r="F12" i="2" s="1"/>
  <c r="F45" i="2" s="1"/>
  <c r="G11" i="2"/>
  <c r="G12" i="2" s="1"/>
  <c r="G23" i="2" s="1"/>
  <c r="H11" i="2"/>
  <c r="H12" i="2" s="1"/>
  <c r="H23" i="2" s="1"/>
  <c r="I11" i="2"/>
  <c r="I12" i="2" s="1"/>
  <c r="I14" i="2" s="1"/>
  <c r="I16" i="2" s="1"/>
  <c r="I18" i="2" s="1"/>
  <c r="J11" i="2"/>
  <c r="J12" i="2" s="1"/>
  <c r="J14" i="2" s="1"/>
  <c r="J16" i="2" s="1"/>
  <c r="J18" i="2" s="1"/>
  <c r="K11" i="2"/>
  <c r="K12" i="2" s="1"/>
  <c r="L11" i="2"/>
  <c r="M11" i="2"/>
  <c r="D6" i="2"/>
  <c r="D22" i="2" s="1"/>
  <c r="E6" i="2"/>
  <c r="E22" i="2" s="1"/>
  <c r="F6" i="2"/>
  <c r="F22" i="2" s="1"/>
  <c r="G6" i="2"/>
  <c r="G22" i="2" s="1"/>
  <c r="H6" i="2"/>
  <c r="H22" i="2" s="1"/>
  <c r="I6" i="2"/>
  <c r="I22" i="2" s="1"/>
  <c r="J6" i="2"/>
  <c r="J22" i="2" s="1"/>
  <c r="K6" i="2"/>
  <c r="K22" i="2" s="1"/>
  <c r="L6" i="2"/>
  <c r="L22" i="2" s="1"/>
  <c r="M6" i="2"/>
  <c r="M22" i="2" s="1"/>
  <c r="N11" i="2"/>
  <c r="N12" i="2" s="1"/>
  <c r="N6" i="2"/>
  <c r="N22" i="2" s="1"/>
  <c r="B6" i="2"/>
  <c r="B9" i="2" s="1"/>
  <c r="E5" i="3" l="1"/>
  <c r="F5" i="3"/>
  <c r="D5" i="3"/>
  <c r="AD23" i="2"/>
  <c r="AE20" i="2"/>
  <c r="AE5" i="2"/>
  <c r="AE11" i="2" s="1"/>
  <c r="AF4" i="2"/>
  <c r="AD21" i="2"/>
  <c r="AD15" i="2"/>
  <c r="AD16" i="2" s="1"/>
  <c r="AD18" i="2" s="1"/>
  <c r="AI8" i="2"/>
  <c r="AC14" i="2"/>
  <c r="AC23" i="2"/>
  <c r="AB12" i="2"/>
  <c r="AB21" i="2"/>
  <c r="AC21" i="2"/>
  <c r="AA23" i="2"/>
  <c r="AA45" i="2"/>
  <c r="AA67" i="2"/>
  <c r="Z45" i="2"/>
  <c r="Z69" i="2"/>
  <c r="Z23" i="2"/>
  <c r="N21" i="2"/>
  <c r="K67" i="2"/>
  <c r="AA21" i="2"/>
  <c r="N67" i="2"/>
  <c r="J67" i="2"/>
  <c r="Z21" i="2"/>
  <c r="Z67" i="2"/>
  <c r="L67" i="2"/>
  <c r="M67" i="2"/>
  <c r="M21" i="2"/>
  <c r="I45" i="2"/>
  <c r="I23" i="2"/>
  <c r="W67" i="2"/>
  <c r="V67" i="2"/>
  <c r="W69" i="2"/>
  <c r="X67" i="2"/>
  <c r="X69" i="2"/>
  <c r="Y67" i="2"/>
  <c r="H14" i="2"/>
  <c r="H16" i="2" s="1"/>
  <c r="H18" i="2" s="1"/>
  <c r="G14" i="2"/>
  <c r="G16" i="2" s="1"/>
  <c r="G18" i="2" s="1"/>
  <c r="H45" i="2"/>
  <c r="D67" i="2"/>
  <c r="G45" i="2"/>
  <c r="E67" i="2"/>
  <c r="L21" i="2"/>
  <c r="N69" i="2"/>
  <c r="J45" i="2"/>
  <c r="E45" i="2"/>
  <c r="E23" i="2"/>
  <c r="E14" i="2"/>
  <c r="E16" i="2" s="1"/>
  <c r="E18" i="2" s="1"/>
  <c r="D45" i="2"/>
  <c r="D23" i="2"/>
  <c r="D14" i="2"/>
  <c r="D16" i="2" s="1"/>
  <c r="D18" i="2" s="1"/>
  <c r="N45" i="2"/>
  <c r="N14" i="2"/>
  <c r="N16" i="2" s="1"/>
  <c r="N18" i="2" s="1"/>
  <c r="N23" i="2"/>
  <c r="K14" i="2"/>
  <c r="K16" i="2" s="1"/>
  <c r="K18" i="2" s="1"/>
  <c r="K23" i="2"/>
  <c r="K45" i="2"/>
  <c r="M12" i="2"/>
  <c r="L69" i="2"/>
  <c r="L12" i="2"/>
  <c r="K21" i="2"/>
  <c r="F14" i="2"/>
  <c r="F16" i="2" s="1"/>
  <c r="F18" i="2" s="1"/>
  <c r="F23" i="2"/>
  <c r="K69" i="2"/>
  <c r="J21" i="2"/>
  <c r="I21" i="2"/>
  <c r="H21" i="2"/>
  <c r="J23" i="2"/>
  <c r="J69" i="2"/>
  <c r="I67" i="2"/>
  <c r="H67" i="2"/>
  <c r="G67" i="2"/>
  <c r="F67" i="2"/>
  <c r="AE21" i="2" l="1"/>
  <c r="AE12" i="2"/>
  <c r="AG4" i="2"/>
  <c r="AF5" i="2"/>
  <c r="AF20" i="2"/>
  <c r="AC15" i="2"/>
  <c r="AC16" i="2" s="1"/>
  <c r="AE6" i="2"/>
  <c r="AE22" i="2" s="1"/>
  <c r="AJ8" i="2"/>
  <c r="AB23" i="2"/>
  <c r="AB14" i="2"/>
  <c r="AB16" i="2" s="1"/>
  <c r="AB18" i="2" s="1"/>
  <c r="L45" i="2"/>
  <c r="L14" i="2"/>
  <c r="L16" i="2" s="1"/>
  <c r="L18" i="2" s="1"/>
  <c r="L23" i="2"/>
  <c r="M45" i="2"/>
  <c r="M14" i="2"/>
  <c r="M16" i="2" s="1"/>
  <c r="M18" i="2" s="1"/>
  <c r="M23" i="2"/>
  <c r="AC18" i="2" l="1"/>
  <c r="AF6" i="2"/>
  <c r="AF22" i="2" s="1"/>
  <c r="AF11" i="2"/>
  <c r="AH4" i="2"/>
  <c r="AG20" i="2"/>
  <c r="AG5" i="2"/>
  <c r="AE14" i="2"/>
  <c r="AE23" i="2"/>
  <c r="AK8" i="2"/>
  <c r="AG6" i="2" l="1"/>
  <c r="AG22" i="2" s="1"/>
  <c r="AG11" i="2"/>
  <c r="AH5" i="2"/>
  <c r="AH11" i="2" s="1"/>
  <c r="AH21" i="2" s="1"/>
  <c r="AH6" i="2"/>
  <c r="AH22" i="2" s="1"/>
  <c r="AH20" i="2"/>
  <c r="AI4" i="2"/>
  <c r="AH12" i="2"/>
  <c r="AF12" i="2"/>
  <c r="AF21" i="2"/>
  <c r="AE15" i="2"/>
  <c r="AE16" i="2" s="1"/>
  <c r="AL8" i="2"/>
  <c r="AE18" i="2" l="1"/>
  <c r="AF14" i="2"/>
  <c r="AF23" i="2"/>
  <c r="AH23" i="2"/>
  <c r="AH14" i="2"/>
  <c r="AI5" i="2"/>
  <c r="AI11" i="2" s="1"/>
  <c r="AI21" i="2" s="1"/>
  <c r="AI20" i="2"/>
  <c r="AJ4" i="2"/>
  <c r="AG21" i="2"/>
  <c r="AG12" i="2"/>
  <c r="AG14" i="2" l="1"/>
  <c r="AG23" i="2"/>
  <c r="AI12" i="2"/>
  <c r="AF15" i="2"/>
  <c r="AF16" i="2" s="1"/>
  <c r="AH15" i="2"/>
  <c r="AH16" i="2" s="1"/>
  <c r="AH18" i="2" s="1"/>
  <c r="AJ5" i="2"/>
  <c r="AJ11" i="2" s="1"/>
  <c r="AJ21" i="2" s="1"/>
  <c r="AK4" i="2"/>
  <c r="AJ20" i="2"/>
  <c r="AI6" i="2"/>
  <c r="AI22" i="2" s="1"/>
  <c r="AF18" i="2" l="1"/>
  <c r="AJ12" i="2"/>
  <c r="AJ6" i="2"/>
  <c r="AJ22" i="2" s="1"/>
  <c r="AI14" i="2"/>
  <c r="AI23" i="2"/>
  <c r="AK5" i="2"/>
  <c r="AK11" i="2" s="1"/>
  <c r="AK21" i="2" s="1"/>
  <c r="AK20" i="2"/>
  <c r="AL4" i="2"/>
  <c r="AG15" i="2"/>
  <c r="AG16" i="2" s="1"/>
  <c r="AG18" i="2" l="1"/>
  <c r="AI15" i="2"/>
  <c r="AI16" i="2" s="1"/>
  <c r="AK12" i="2"/>
  <c r="AJ14" i="2"/>
  <c r="AJ23" i="2"/>
  <c r="AL5" i="2"/>
  <c r="AL11" i="2" s="1"/>
  <c r="AL21" i="2" s="1"/>
  <c r="AL20" i="2"/>
  <c r="AK6" i="2"/>
  <c r="AK22" i="2" s="1"/>
  <c r="AI18" i="2" l="1"/>
  <c r="AK14" i="2"/>
  <c r="AK23" i="2"/>
  <c r="AL6" i="2"/>
  <c r="AL22" i="2" s="1"/>
  <c r="AJ15" i="2"/>
  <c r="AJ16" i="2" s="1"/>
  <c r="AJ18" i="2" s="1"/>
  <c r="AL12" i="2"/>
  <c r="AK15" i="2" l="1"/>
  <c r="AK16" i="2" s="1"/>
  <c r="AK18" i="2" s="1"/>
  <c r="AL23" i="2"/>
  <c r="AL14" i="2"/>
  <c r="AL15" i="2" l="1"/>
  <c r="AL16" i="2" s="1"/>
  <c r="AL18" i="2" l="1"/>
  <c r="AM16" i="2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FK16" i="2" s="1"/>
  <c r="FL16" i="2" s="1"/>
  <c r="FM16" i="2" s="1"/>
  <c r="FN16" i="2" s="1"/>
  <c r="FO16" i="2" s="1"/>
  <c r="FP16" i="2" s="1"/>
  <c r="AO21" i="2" s="1"/>
  <c r="AO23" i="2" s="1"/>
  <c r="AO24" i="2" s="1"/>
</calcChain>
</file>

<file path=xl/sharedStrings.xml><?xml version="1.0" encoding="utf-8"?>
<sst xmlns="http://schemas.openxmlformats.org/spreadsheetml/2006/main" count="116" uniqueCount="114">
  <si>
    <t>Kapitalstruktur</t>
  </si>
  <si>
    <t>Price</t>
  </si>
  <si>
    <t>S/O</t>
  </si>
  <si>
    <t>Revenue y/y</t>
  </si>
  <si>
    <t>EBIT margin</t>
  </si>
  <si>
    <t>EV/EBIT</t>
  </si>
  <si>
    <t>P/E</t>
  </si>
  <si>
    <t>SEK million</t>
  </si>
  <si>
    <t>MC SEKm</t>
  </si>
  <si>
    <t>Cash SEKm</t>
  </si>
  <si>
    <t>Debt SEKm</t>
  </si>
  <si>
    <t>EV SEKm</t>
  </si>
  <si>
    <t>Balanse SEKm</t>
  </si>
  <si>
    <t>Cash flow SEKm</t>
  </si>
  <si>
    <t>Revenue</t>
  </si>
  <si>
    <t>Gross profit</t>
  </si>
  <si>
    <t>Total opex</t>
  </si>
  <si>
    <t>Operating income (EBIT)</t>
  </si>
  <si>
    <t>Net financial items</t>
  </si>
  <si>
    <t>PTP</t>
  </si>
  <si>
    <t>Net income</t>
  </si>
  <si>
    <t>Share</t>
  </si>
  <si>
    <t>EPS</t>
  </si>
  <si>
    <t>Gross margin</t>
  </si>
  <si>
    <t>Current receivables</t>
  </si>
  <si>
    <t>Cash</t>
  </si>
  <si>
    <t>Total assets</t>
  </si>
  <si>
    <t>Other current liabilities</t>
  </si>
  <si>
    <t>Total debt</t>
  </si>
  <si>
    <t>Total E/D</t>
  </si>
  <si>
    <t>Model EBIT</t>
  </si>
  <si>
    <t>Reported EBIT</t>
  </si>
  <si>
    <t>Tax paid</t>
  </si>
  <si>
    <t>WC</t>
  </si>
  <si>
    <t>CFFO</t>
  </si>
  <si>
    <t>Capex</t>
  </si>
  <si>
    <t>CFFI</t>
  </si>
  <si>
    <t>CFFF</t>
  </si>
  <si>
    <t>FX</t>
  </si>
  <si>
    <t>CIC</t>
  </si>
  <si>
    <t>FCF</t>
  </si>
  <si>
    <t>Avvikende regnskapsår:</t>
  </si>
  <si>
    <t>Q1: 1. juli - 30. september</t>
  </si>
  <si>
    <t>Q2: 1. oktober - 31. desember</t>
  </si>
  <si>
    <t>Q3: 1. januar - 31. mars</t>
  </si>
  <si>
    <t>Q4: 1. april- 30. juni</t>
  </si>
  <si>
    <t>Cost of service</t>
  </si>
  <si>
    <t>Other external expenses</t>
  </si>
  <si>
    <t>Personnel expenses</t>
  </si>
  <si>
    <t>D/A</t>
  </si>
  <si>
    <t>Items affecting comparability</t>
  </si>
  <si>
    <t>Tax</t>
  </si>
  <si>
    <t>Opex y/y</t>
  </si>
  <si>
    <t>Q3 24/25</t>
  </si>
  <si>
    <t>Q4 24/25</t>
  </si>
  <si>
    <t>Q2 24/25</t>
  </si>
  <si>
    <t>Q1 24/25</t>
  </si>
  <si>
    <t>Q4 23/24</t>
  </si>
  <si>
    <t>Q3 23/24</t>
  </si>
  <si>
    <t>Q2 23/24</t>
  </si>
  <si>
    <t>Q1 23/24</t>
  </si>
  <si>
    <t>Intangible non-current assets</t>
  </si>
  <si>
    <t>Buildings</t>
  </si>
  <si>
    <t>Right-of-use assets</t>
  </si>
  <si>
    <t>Other PP&amp;E</t>
  </si>
  <si>
    <t>Other non-current assets</t>
  </si>
  <si>
    <t>Total Equity</t>
  </si>
  <si>
    <t>Non-current liabilities to banks</t>
  </si>
  <si>
    <t>Long-term lease liabilities</t>
  </si>
  <si>
    <t>Provisions and other non-current lia</t>
  </si>
  <si>
    <t>Current IB liabilities</t>
  </si>
  <si>
    <t>Short-term lease liabilities</t>
  </si>
  <si>
    <t>Non-cash items</t>
  </si>
  <si>
    <t>Interest received/paid</t>
  </si>
  <si>
    <t>Interest paid, lease liabilities</t>
  </si>
  <si>
    <t>Dividend paid</t>
  </si>
  <si>
    <t>New share issue</t>
  </si>
  <si>
    <t>Issue of warrents</t>
  </si>
  <si>
    <t>Increae/decrease IB debt</t>
  </si>
  <si>
    <t>Repayment of lease liabiliteis</t>
  </si>
  <si>
    <t>FY 23/24</t>
  </si>
  <si>
    <t>FY 22/23</t>
  </si>
  <si>
    <t>FY 21/22</t>
  </si>
  <si>
    <t>FY 20/21</t>
  </si>
  <si>
    <t>FY 19/20</t>
  </si>
  <si>
    <t>FY 18/19</t>
  </si>
  <si>
    <t>FY 24/25</t>
  </si>
  <si>
    <t>FY 25/26</t>
  </si>
  <si>
    <t>FY 26/27</t>
  </si>
  <si>
    <t>FY 27/28</t>
  </si>
  <si>
    <t>FY 28/29</t>
  </si>
  <si>
    <t>FY 29/30</t>
  </si>
  <si>
    <t>FY 30/31</t>
  </si>
  <si>
    <t>FY 31/32</t>
  </si>
  <si>
    <t>FY 32/33</t>
  </si>
  <si>
    <t>FY 33/34</t>
  </si>
  <si>
    <t>FY 34/35</t>
  </si>
  <si>
    <t>Q4 22/23</t>
  </si>
  <si>
    <t>Q3 22/23</t>
  </si>
  <si>
    <t>Q2 22/23</t>
  </si>
  <si>
    <t>Q1 22/23</t>
  </si>
  <si>
    <t>Q1 25/26</t>
  </si>
  <si>
    <t>Q2 25/26</t>
  </si>
  <si>
    <t>Q3 25/26</t>
  </si>
  <si>
    <t>Q4 25/26</t>
  </si>
  <si>
    <t> </t>
  </si>
  <si>
    <t>Discount</t>
  </si>
  <si>
    <t>TV</t>
  </si>
  <si>
    <t>NPV</t>
  </si>
  <si>
    <t>NPV/Share</t>
  </si>
  <si>
    <t>Opp/nedside</t>
  </si>
  <si>
    <t>24/25</t>
  </si>
  <si>
    <t>25/26</t>
  </si>
  <si>
    <t>26/27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</si>
</sst>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2" fontId="2" fillId="0" borderId="1" xfId="0" applyNumberFormat="1" applyFont="1" applyBorder="1"/>
    <xf numFmtId="10" fontId="1" fillId="0" borderId="1" xfId="0" applyNumberFormat="1" applyFont="1" applyBorder="1"/>
    <xf numFmtId="10" fontId="2" fillId="0" borderId="1" xfId="0" applyNumberFormat="1" applyFont="1" applyBorder="1"/>
    <xf numFmtId="166" fontId="2" fillId="0" borderId="1" xfId="0" applyNumberFormat="1" applyFont="1" applyBorder="1"/>
    <xf numFmtId="0" fontId="1" fillId="0" borderId="1" xfId="0" applyFont="1" applyBorder="1"/>
    <xf numFmtId="3" fontId="4" fillId="0" borderId="1" xfId="0" applyNumberFormat="1" applyFont="1" applyBorder="1"/>
    <xf numFmtId="0" fontId="5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1" fillId="0" borderId="0" xfId="0" applyNumberFormat="1" applyFont="1" applyBorder="1"/>
    <xf numFmtId="3" fontId="2" fillId="0" borderId="0" xfId="0" applyNumberFormat="1" applyFont="1" applyBorder="1"/>
    <xf numFmtId="9" fontId="2" fillId="0" borderId="0" xfId="0" applyNumberFormat="1" applyFont="1"/>
    <xf numFmtId="0" fontId="2" fillId="0" borderId="3" xfId="0" applyFont="1" applyBorder="1"/>
    <xf numFmtId="164" fontId="2" fillId="0" borderId="0" xfId="0" applyNumberFormat="1" applyFont="1" applyBorder="1"/>
    <xf numFmtId="8" fontId="2" fillId="0" borderId="3" xfId="0" applyNumberFormat="1" applyFont="1" applyBorder="1"/>
    <xf numFmtId="8" fontId="2" fillId="0" borderId="0" xfId="0" applyNumberFormat="1" applyFont="1"/>
    <xf numFmtId="165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5:A11"/>
  <sheetViews>
    <sheetView showGridLines="0" workbookViewId="0">
      <selection activeCell="C11" sqref="C11"/>
    </sheetView>
  </sheetViews>
  <sheetFormatPr baseColWidth="10" defaultRowHeight="19" x14ac:dyDescent="0.25"/>
  <cols>
    <col min="1" max="16384" width="10.83203125" style="2"/>
  </cols>
  <sheetData>
    <row r="5" spans="1:1" x14ac:dyDescent="0.25">
      <c r="A5" s="1"/>
    </row>
    <row r="6" spans="1:1" x14ac:dyDescent="0.25">
      <c r="A6" s="1"/>
    </row>
    <row r="7" spans="1:1" x14ac:dyDescent="0.25">
      <c r="A7" s="1" t="s">
        <v>41</v>
      </c>
    </row>
    <row r="8" spans="1:1" x14ac:dyDescent="0.25">
      <c r="A8" s="2" t="s">
        <v>42</v>
      </c>
    </row>
    <row r="9" spans="1:1" x14ac:dyDescent="0.25">
      <c r="A9" s="2" t="s">
        <v>43</v>
      </c>
    </row>
    <row r="10" spans="1:1" x14ac:dyDescent="0.25">
      <c r="A10" s="2" t="s">
        <v>44</v>
      </c>
    </row>
    <row r="11" spans="1:1" x14ac:dyDescent="0.25">
      <c r="A11" s="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FP83"/>
  <sheetViews>
    <sheetView showGridLines="0" tabSelected="1" workbookViewId="0">
      <pane xSplit="3" ySplit="3" topLeftCell="Z4" activePane="bottomRight" state="frozen"/>
      <selection pane="topRight" activeCell="D1" sqref="D1"/>
      <selection pane="bottomLeft" activeCell="A4" sqref="A4"/>
      <selection pane="bottomRight" activeCell="C9" sqref="C9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4.66406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10.1640625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4" customWidth="1"/>
    <col min="15" max="15" width="10.33203125" style="2" customWidth="1"/>
    <col min="16" max="16" width="10.83203125" style="2"/>
    <col min="17" max="17" width="12" style="2" customWidth="1"/>
    <col min="18" max="18" width="12.33203125" style="2" customWidth="1"/>
    <col min="19" max="27" width="10.83203125" style="2"/>
    <col min="28" max="28" width="10.83203125" style="4"/>
    <col min="29" max="29" width="10.83203125" style="2"/>
    <col min="30" max="30" width="10.83203125" style="27"/>
    <col min="31" max="39" width="10.83203125" style="2"/>
    <col min="40" max="40" width="13" style="2" bestFit="1" customWidth="1"/>
    <col min="41" max="41" width="13.33203125" style="2" bestFit="1" customWidth="1"/>
    <col min="42" max="16384" width="10.83203125" style="2"/>
  </cols>
  <sheetData>
    <row r="1" spans="1:172" x14ac:dyDescent="0.25">
      <c r="D1" s="7"/>
      <c r="E1" s="7"/>
      <c r="F1" s="7"/>
      <c r="G1" s="7"/>
      <c r="H1" s="7"/>
      <c r="I1" s="7"/>
      <c r="J1" s="7"/>
      <c r="K1" s="7"/>
      <c r="L1" s="7"/>
      <c r="M1" s="7"/>
      <c r="X1" s="1"/>
    </row>
    <row r="3" spans="1:172" x14ac:dyDescent="0.25">
      <c r="A3" s="1" t="s">
        <v>0</v>
      </c>
      <c r="C3" s="2" t="s">
        <v>7</v>
      </c>
      <c r="D3" s="7" t="s">
        <v>100</v>
      </c>
      <c r="E3" s="7" t="s">
        <v>99</v>
      </c>
      <c r="F3" s="7" t="s">
        <v>98</v>
      </c>
      <c r="G3" s="7" t="s">
        <v>97</v>
      </c>
      <c r="H3" s="7" t="s">
        <v>60</v>
      </c>
      <c r="I3" s="7" t="s">
        <v>59</v>
      </c>
      <c r="J3" s="7" t="s">
        <v>58</v>
      </c>
      <c r="K3" s="7" t="s">
        <v>57</v>
      </c>
      <c r="L3" s="7" t="s">
        <v>56</v>
      </c>
      <c r="M3" s="7" t="s">
        <v>55</v>
      </c>
      <c r="N3" s="16" t="s">
        <v>53</v>
      </c>
      <c r="O3" s="7" t="s">
        <v>54</v>
      </c>
      <c r="P3" s="7" t="s">
        <v>101</v>
      </c>
      <c r="Q3" s="7" t="s">
        <v>102</v>
      </c>
      <c r="R3" s="2" t="s">
        <v>103</v>
      </c>
      <c r="S3" s="2" t="s">
        <v>104</v>
      </c>
      <c r="V3" s="7" t="s">
        <v>85</v>
      </c>
      <c r="W3" s="7" t="s">
        <v>84</v>
      </c>
      <c r="X3" s="7" t="s">
        <v>83</v>
      </c>
      <c r="Y3" s="7" t="s">
        <v>82</v>
      </c>
      <c r="Z3" s="7" t="s">
        <v>81</v>
      </c>
      <c r="AA3" s="7" t="s">
        <v>80</v>
      </c>
      <c r="AB3" s="16" t="s">
        <v>86</v>
      </c>
      <c r="AC3" s="7" t="s">
        <v>87</v>
      </c>
      <c r="AD3" s="28" t="s">
        <v>88</v>
      </c>
      <c r="AE3" s="7" t="s">
        <v>89</v>
      </c>
      <c r="AF3" s="7" t="s">
        <v>90</v>
      </c>
      <c r="AG3" s="7" t="s">
        <v>91</v>
      </c>
      <c r="AH3" s="7" t="s">
        <v>92</v>
      </c>
      <c r="AI3" s="7" t="s">
        <v>93</v>
      </c>
      <c r="AJ3" s="7" t="s">
        <v>94</v>
      </c>
      <c r="AK3" s="7" t="s">
        <v>95</v>
      </c>
      <c r="AL3" s="7" t="s">
        <v>96</v>
      </c>
    </row>
    <row r="4" spans="1:172" x14ac:dyDescent="0.25">
      <c r="A4" s="2" t="s">
        <v>1</v>
      </c>
      <c r="B4" s="4">
        <v>86</v>
      </c>
      <c r="C4" s="1" t="s">
        <v>14</v>
      </c>
      <c r="D4" s="11">
        <v>3104</v>
      </c>
      <c r="E4" s="11">
        <v>4041</v>
      </c>
      <c r="F4" s="11">
        <v>4195</v>
      </c>
      <c r="G4" s="11">
        <v>4199</v>
      </c>
      <c r="H4" s="11">
        <v>3430</v>
      </c>
      <c r="I4" s="11">
        <v>4433</v>
      </c>
      <c r="J4" s="11">
        <v>4613</v>
      </c>
      <c r="K4" s="11">
        <v>4856</v>
      </c>
      <c r="L4" s="11">
        <v>3842</v>
      </c>
      <c r="M4" s="11">
        <v>5025</v>
      </c>
      <c r="N4" s="12">
        <v>5037</v>
      </c>
      <c r="O4" s="13"/>
      <c r="P4" s="13"/>
      <c r="Q4" s="13"/>
      <c r="V4" s="11">
        <v>11715</v>
      </c>
      <c r="W4" s="11">
        <v>12271</v>
      </c>
      <c r="X4" s="11">
        <v>13340</v>
      </c>
      <c r="Y4" s="11">
        <v>14339</v>
      </c>
      <c r="Z4" s="11">
        <v>15539</v>
      </c>
      <c r="AA4" s="11">
        <v>17332</v>
      </c>
      <c r="AB4" s="12">
        <f>AA4*1.1</f>
        <v>19065.2</v>
      </c>
      <c r="AC4" s="11">
        <f>AB4*1.075</f>
        <v>20495.09</v>
      </c>
      <c r="AD4" s="29">
        <f>AC4*1.05</f>
        <v>21519.844500000003</v>
      </c>
      <c r="AE4" s="11">
        <f>AD4*1.05</f>
        <v>22595.836725000005</v>
      </c>
      <c r="AF4" s="11">
        <f t="shared" ref="AF4:AL4" si="0">AE4*1.05</f>
        <v>23725.628561250007</v>
      </c>
      <c r="AG4" s="11">
        <f t="shared" si="0"/>
        <v>24911.909989312509</v>
      </c>
      <c r="AH4" s="11">
        <f t="shared" si="0"/>
        <v>26157.505488778137</v>
      </c>
      <c r="AI4" s="11">
        <f t="shared" si="0"/>
        <v>27465.380763217046</v>
      </c>
      <c r="AJ4" s="11">
        <f t="shared" si="0"/>
        <v>28838.649801377898</v>
      </c>
      <c r="AK4" s="11">
        <f t="shared" si="0"/>
        <v>30280.582291446794</v>
      </c>
      <c r="AL4" s="11">
        <f t="shared" si="0"/>
        <v>31794.611406019136</v>
      </c>
    </row>
    <row r="5" spans="1:172" x14ac:dyDescent="0.25">
      <c r="A5" s="2" t="s">
        <v>2</v>
      </c>
      <c r="B5" s="5">
        <v>105.5</v>
      </c>
      <c r="C5" s="2" t="s">
        <v>46</v>
      </c>
      <c r="D5" s="13">
        <v>-314</v>
      </c>
      <c r="E5" s="13">
        <v>-392</v>
      </c>
      <c r="F5" s="13">
        <v>-367</v>
      </c>
      <c r="G5" s="13">
        <v>-362</v>
      </c>
      <c r="H5" s="13">
        <v>-323</v>
      </c>
      <c r="I5" s="13">
        <v>-431</v>
      </c>
      <c r="J5" s="13">
        <v>-384</v>
      </c>
      <c r="K5" s="13">
        <v>-385</v>
      </c>
      <c r="L5" s="13">
        <v>-348</v>
      </c>
      <c r="M5" s="13">
        <v>-479</v>
      </c>
      <c r="N5" s="14">
        <v>-419</v>
      </c>
      <c r="O5" s="13"/>
      <c r="P5" s="13"/>
      <c r="Q5" s="13"/>
      <c r="V5" s="13">
        <v>-997</v>
      </c>
      <c r="W5" s="13">
        <v>-993</v>
      </c>
      <c r="X5" s="13">
        <v>-1120</v>
      </c>
      <c r="Y5" s="13">
        <v>-1274</v>
      </c>
      <c r="Z5" s="13">
        <v>-1435</v>
      </c>
      <c r="AA5" s="13">
        <v>-1523</v>
      </c>
      <c r="AB5" s="14">
        <f>AB4*-0.1</f>
        <v>-1906.5200000000002</v>
      </c>
      <c r="AC5" s="30">
        <f t="shared" ref="AC5:AL5" si="1">AC4*-0.1</f>
        <v>-2049.509</v>
      </c>
      <c r="AD5" s="30">
        <f t="shared" si="1"/>
        <v>-2151.9844500000004</v>
      </c>
      <c r="AE5" s="30">
        <f t="shared" si="1"/>
        <v>-2259.5836725000004</v>
      </c>
      <c r="AF5" s="30">
        <f t="shared" si="1"/>
        <v>-2372.562856125001</v>
      </c>
      <c r="AG5" s="30">
        <f t="shared" si="1"/>
        <v>-2491.1909989312512</v>
      </c>
      <c r="AH5" s="30">
        <f t="shared" si="1"/>
        <v>-2615.7505488778138</v>
      </c>
      <c r="AI5" s="30">
        <f t="shared" si="1"/>
        <v>-2746.5380763217049</v>
      </c>
      <c r="AJ5" s="30">
        <f t="shared" si="1"/>
        <v>-2883.8649801377901</v>
      </c>
      <c r="AK5" s="30">
        <f t="shared" si="1"/>
        <v>-3028.0582291446794</v>
      </c>
      <c r="AL5" s="30">
        <f t="shared" si="1"/>
        <v>-3179.4611406019139</v>
      </c>
    </row>
    <row r="6" spans="1:172" x14ac:dyDescent="0.25">
      <c r="A6" s="2" t="s">
        <v>8</v>
      </c>
      <c r="B6" s="5">
        <f>B4*B5</f>
        <v>9073</v>
      </c>
      <c r="C6" s="2" t="s">
        <v>15</v>
      </c>
      <c r="D6" s="13">
        <f t="shared" ref="D6:M6" si="2">SUM(D4:D5)</f>
        <v>2790</v>
      </c>
      <c r="E6" s="13">
        <f t="shared" si="2"/>
        <v>3649</v>
      </c>
      <c r="F6" s="13">
        <f t="shared" si="2"/>
        <v>3828</v>
      </c>
      <c r="G6" s="13">
        <f t="shared" si="2"/>
        <v>3837</v>
      </c>
      <c r="H6" s="13">
        <f t="shared" si="2"/>
        <v>3107</v>
      </c>
      <c r="I6" s="13">
        <f t="shared" si="2"/>
        <v>4002</v>
      </c>
      <c r="J6" s="13">
        <f t="shared" si="2"/>
        <v>4229</v>
      </c>
      <c r="K6" s="13">
        <f t="shared" si="2"/>
        <v>4471</v>
      </c>
      <c r="L6" s="13">
        <f t="shared" si="2"/>
        <v>3494</v>
      </c>
      <c r="M6" s="13">
        <f t="shared" si="2"/>
        <v>4546</v>
      </c>
      <c r="N6" s="14">
        <f>SUM(N4:N5)</f>
        <v>4618</v>
      </c>
      <c r="O6" s="13"/>
      <c r="P6" s="13"/>
      <c r="Q6" s="13"/>
      <c r="V6" s="13">
        <f>SUM(V4:V5)</f>
        <v>10718</v>
      </c>
      <c r="W6" s="13">
        <f>SUM(W4:W5)</f>
        <v>11278</v>
      </c>
      <c r="X6" s="13">
        <f>SUM(X4:X5)</f>
        <v>12220</v>
      </c>
      <c r="Y6" s="13">
        <f>SUM(Y4:Y5)</f>
        <v>13065</v>
      </c>
      <c r="Z6" s="13">
        <f>SUM(Z4:Z5)</f>
        <v>14104</v>
      </c>
      <c r="AA6" s="13">
        <f>SUM(AA4:AA5)</f>
        <v>15809</v>
      </c>
      <c r="AB6" s="14">
        <f t="shared" ref="AB6:AL6" si="3">SUM(AB4:AB5)</f>
        <v>17158.68</v>
      </c>
      <c r="AC6" s="13">
        <f t="shared" si="3"/>
        <v>18445.580999999998</v>
      </c>
      <c r="AD6" s="30">
        <f t="shared" si="3"/>
        <v>19367.860050000003</v>
      </c>
      <c r="AE6" s="30">
        <f t="shared" si="3"/>
        <v>20336.253052500004</v>
      </c>
      <c r="AF6" s="30">
        <f t="shared" si="3"/>
        <v>21353.065705125005</v>
      </c>
      <c r="AG6" s="30">
        <f t="shared" si="3"/>
        <v>22420.718990381258</v>
      </c>
      <c r="AH6" s="30">
        <f t="shared" si="3"/>
        <v>23541.754939900322</v>
      </c>
      <c r="AI6" s="30">
        <f t="shared" si="3"/>
        <v>24718.842686895343</v>
      </c>
      <c r="AJ6" s="30">
        <f t="shared" si="3"/>
        <v>25954.784821240108</v>
      </c>
      <c r="AK6" s="30">
        <f t="shared" si="3"/>
        <v>27252.524062302113</v>
      </c>
      <c r="AL6" s="30">
        <f t="shared" si="3"/>
        <v>28615.150265417222</v>
      </c>
    </row>
    <row r="7" spans="1:172" x14ac:dyDescent="0.25">
      <c r="A7" s="2" t="s">
        <v>9</v>
      </c>
      <c r="B7" s="5">
        <v>1001</v>
      </c>
      <c r="C7" s="2" t="s">
        <v>47</v>
      </c>
      <c r="D7" s="13">
        <v>-316</v>
      </c>
      <c r="E7" s="13">
        <v>-393</v>
      </c>
      <c r="F7" s="13">
        <v>-422</v>
      </c>
      <c r="G7" s="13">
        <v>-438</v>
      </c>
      <c r="H7" s="13">
        <v>-366</v>
      </c>
      <c r="I7" s="13">
        <v>-432</v>
      </c>
      <c r="J7" s="13">
        <v>-432</v>
      </c>
      <c r="K7" s="13">
        <v>-505</v>
      </c>
      <c r="L7" s="13">
        <v>-387</v>
      </c>
      <c r="M7" s="13">
        <v>-454</v>
      </c>
      <c r="N7" s="14">
        <v>-439</v>
      </c>
      <c r="O7" s="13"/>
      <c r="P7" s="13"/>
      <c r="Q7" s="13"/>
      <c r="V7" s="13">
        <v>-2517</v>
      </c>
      <c r="W7" s="13">
        <v>-1237</v>
      </c>
      <c r="X7" s="13">
        <v>-1352</v>
      </c>
      <c r="Y7" s="13">
        <v>-1370</v>
      </c>
      <c r="Z7" s="13">
        <v>-1566</v>
      </c>
      <c r="AA7" s="13">
        <v>-1731</v>
      </c>
      <c r="AB7" s="14">
        <f>AA7*1.1</f>
        <v>-1904.1000000000001</v>
      </c>
      <c r="AC7" s="30">
        <f>AB7*1.075</f>
        <v>-2046.9075</v>
      </c>
      <c r="AD7" s="30">
        <f>AC7*1.05</f>
        <v>-2149.2528750000001</v>
      </c>
      <c r="AE7" s="13">
        <f>AD7*1.05</f>
        <v>-2256.7155187500002</v>
      </c>
      <c r="AF7" s="13">
        <f t="shared" ref="AF7:AL7" si="4">AE7*1.05</f>
        <v>-2369.5512946875006</v>
      </c>
      <c r="AG7" s="13">
        <f t="shared" si="4"/>
        <v>-2488.0288594218755</v>
      </c>
      <c r="AH7" s="13">
        <f t="shared" si="4"/>
        <v>-2612.4303023929692</v>
      </c>
      <c r="AI7" s="13">
        <f t="shared" si="4"/>
        <v>-2743.0518175126176</v>
      </c>
      <c r="AJ7" s="13">
        <f t="shared" si="4"/>
        <v>-2880.2044083882488</v>
      </c>
      <c r="AK7" s="13">
        <f t="shared" si="4"/>
        <v>-3024.2146288076615</v>
      </c>
      <c r="AL7" s="13">
        <f t="shared" si="4"/>
        <v>-3175.4253602480449</v>
      </c>
    </row>
    <row r="8" spans="1:172" x14ac:dyDescent="0.25">
      <c r="A8" s="2" t="s">
        <v>10</v>
      </c>
      <c r="B8" s="5">
        <f>N35+N38+N36+N39</f>
        <v>12715</v>
      </c>
      <c r="C8" s="2" t="s">
        <v>48</v>
      </c>
      <c r="D8" s="13">
        <v>-1793</v>
      </c>
      <c r="E8" s="13">
        <v>-2495</v>
      </c>
      <c r="F8" s="13">
        <v>-2532</v>
      </c>
      <c r="G8" s="13">
        <v>-2477</v>
      </c>
      <c r="H8" s="13">
        <v>-2006</v>
      </c>
      <c r="I8" s="13">
        <v>-2738</v>
      </c>
      <c r="J8" s="13">
        <v>-2809</v>
      </c>
      <c r="K8" s="13">
        <v>-2854</v>
      </c>
      <c r="L8" s="13">
        <v>-2258</v>
      </c>
      <c r="M8" s="13">
        <v>-3087</v>
      </c>
      <c r="N8" s="14">
        <v>-3079</v>
      </c>
      <c r="O8" s="13"/>
      <c r="P8" s="13"/>
      <c r="Q8" s="13"/>
      <c r="V8" s="13">
        <v>-7272</v>
      </c>
      <c r="W8" s="13">
        <v>-7591</v>
      </c>
      <c r="X8" s="13">
        <v>-8106</v>
      </c>
      <c r="Y8" s="13">
        <v>-8648</v>
      </c>
      <c r="Z8" s="13">
        <v>-9296</v>
      </c>
      <c r="AA8" s="13">
        <v>-10408</v>
      </c>
      <c r="AB8" s="14">
        <f t="shared" ref="AB8:AC10" si="5">AA8*1.1</f>
        <v>-11448.800000000001</v>
      </c>
      <c r="AC8" s="30">
        <f t="shared" ref="AC8:AC10" si="6">AB8*1.075</f>
        <v>-12307.460000000001</v>
      </c>
      <c r="AD8" s="30">
        <f t="shared" ref="AD8:AD10" si="7">AC8*1.05</f>
        <v>-12922.833000000002</v>
      </c>
      <c r="AE8" s="13">
        <f t="shared" ref="AE8:AL10" si="8">AD8*1.05</f>
        <v>-13568.974650000004</v>
      </c>
      <c r="AF8" s="13">
        <f t="shared" si="8"/>
        <v>-14247.423382500005</v>
      </c>
      <c r="AG8" s="13">
        <f t="shared" si="8"/>
        <v>-14959.794551625006</v>
      </c>
      <c r="AH8" s="13">
        <f t="shared" si="8"/>
        <v>-15707.784279206257</v>
      </c>
      <c r="AI8" s="13">
        <f t="shared" si="8"/>
        <v>-16493.173493166571</v>
      </c>
      <c r="AJ8" s="13">
        <f t="shared" si="8"/>
        <v>-17317.832167824901</v>
      </c>
      <c r="AK8" s="13">
        <f t="shared" si="8"/>
        <v>-18183.723776216146</v>
      </c>
      <c r="AL8" s="13">
        <f t="shared" si="8"/>
        <v>-19092.909965026953</v>
      </c>
    </row>
    <row r="9" spans="1:172" x14ac:dyDescent="0.25">
      <c r="A9" s="3" t="s">
        <v>11</v>
      </c>
      <c r="B9" s="6">
        <f>B6-B7+B8</f>
        <v>20787</v>
      </c>
      <c r="C9" s="2" t="s">
        <v>49</v>
      </c>
      <c r="D9" s="13">
        <v>-448</v>
      </c>
      <c r="E9" s="13">
        <v>-474</v>
      </c>
      <c r="F9" s="13">
        <v>-507</v>
      </c>
      <c r="G9" s="13">
        <v>-495</v>
      </c>
      <c r="H9" s="13">
        <v>-498</v>
      </c>
      <c r="I9" s="13">
        <v>-526</v>
      </c>
      <c r="J9" s="13">
        <v>-556</v>
      </c>
      <c r="K9" s="13">
        <v>-580</v>
      </c>
      <c r="L9" s="13">
        <v>-577</v>
      </c>
      <c r="M9" s="13">
        <v>-604</v>
      </c>
      <c r="N9" s="14">
        <v>-583</v>
      </c>
      <c r="O9" s="13"/>
      <c r="P9" s="13"/>
      <c r="Q9" s="13"/>
      <c r="V9" s="13">
        <v>-296</v>
      </c>
      <c r="W9" s="13">
        <v>-1514</v>
      </c>
      <c r="X9" s="13">
        <v>-1580</v>
      </c>
      <c r="Y9" s="13">
        <v>-1755</v>
      </c>
      <c r="Z9" s="13">
        <v>-1924</v>
      </c>
      <c r="AA9" s="13">
        <v>-2159</v>
      </c>
      <c r="AB9" s="14">
        <f t="shared" si="5"/>
        <v>-2374.9</v>
      </c>
      <c r="AC9" s="30">
        <f t="shared" si="6"/>
        <v>-2553.0174999999999</v>
      </c>
      <c r="AD9" s="30">
        <f t="shared" si="7"/>
        <v>-2680.6683750000002</v>
      </c>
      <c r="AE9" s="13">
        <f t="shared" si="8"/>
        <v>-2814.7017937500004</v>
      </c>
      <c r="AF9" s="13">
        <f t="shared" si="8"/>
        <v>-2955.4368834375005</v>
      </c>
      <c r="AG9" s="13">
        <f t="shared" si="8"/>
        <v>-3103.2087276093757</v>
      </c>
      <c r="AH9" s="13">
        <f t="shared" si="8"/>
        <v>-3258.3691639898448</v>
      </c>
      <c r="AI9" s="13">
        <f t="shared" si="8"/>
        <v>-3421.2876221893371</v>
      </c>
      <c r="AJ9" s="13">
        <f t="shared" si="8"/>
        <v>-3592.352003298804</v>
      </c>
      <c r="AK9" s="13">
        <f t="shared" si="8"/>
        <v>-3771.9696034637445</v>
      </c>
      <c r="AL9" s="13">
        <f t="shared" si="8"/>
        <v>-3960.568083636932</v>
      </c>
    </row>
    <row r="10" spans="1:172" x14ac:dyDescent="0.25">
      <c r="C10" s="2" t="s">
        <v>50</v>
      </c>
      <c r="D10" s="13">
        <v>6</v>
      </c>
      <c r="E10" s="13">
        <v>-21</v>
      </c>
      <c r="F10" s="13">
        <v>-6</v>
      </c>
      <c r="G10" s="13">
        <v>-23</v>
      </c>
      <c r="H10" s="13">
        <v>-6</v>
      </c>
      <c r="I10" s="13">
        <v>0</v>
      </c>
      <c r="J10" s="13">
        <v>-11</v>
      </c>
      <c r="K10" s="13">
        <v>0</v>
      </c>
      <c r="L10" s="13">
        <v>0</v>
      </c>
      <c r="M10" s="13">
        <v>2</v>
      </c>
      <c r="N10" s="14">
        <v>-16</v>
      </c>
      <c r="O10" s="13"/>
      <c r="P10" s="13"/>
      <c r="Q10" s="13"/>
      <c r="V10" s="13">
        <v>1</v>
      </c>
      <c r="W10" s="13">
        <v>36</v>
      </c>
      <c r="X10" s="13">
        <v>-7</v>
      </c>
      <c r="Y10" s="13">
        <v>-67</v>
      </c>
      <c r="Z10" s="13">
        <v>-49</v>
      </c>
      <c r="AA10" s="13">
        <v>-21</v>
      </c>
      <c r="AB10" s="14">
        <f t="shared" si="5"/>
        <v>-23.1</v>
      </c>
      <c r="AC10" s="30">
        <f t="shared" si="6"/>
        <v>-24.8325</v>
      </c>
      <c r="AD10" s="30">
        <f t="shared" si="7"/>
        <v>-26.074125000000002</v>
      </c>
      <c r="AE10" s="13">
        <f t="shared" si="8"/>
        <v>-27.377831250000003</v>
      </c>
      <c r="AF10" s="13">
        <f t="shared" si="8"/>
        <v>-28.746722812500003</v>
      </c>
      <c r="AG10" s="13">
        <f t="shared" si="8"/>
        <v>-30.184058953125003</v>
      </c>
      <c r="AH10" s="13">
        <f t="shared" si="8"/>
        <v>-31.693261900781255</v>
      </c>
      <c r="AI10" s="13">
        <f t="shared" si="8"/>
        <v>-33.277924995820321</v>
      </c>
      <c r="AJ10" s="13">
        <f t="shared" si="8"/>
        <v>-34.941821245611337</v>
      </c>
      <c r="AK10" s="13">
        <f t="shared" si="8"/>
        <v>-36.688912307891904</v>
      </c>
      <c r="AL10" s="13">
        <f t="shared" si="8"/>
        <v>-38.523357923286504</v>
      </c>
    </row>
    <row r="11" spans="1:172" x14ac:dyDescent="0.25">
      <c r="C11" s="2" t="s">
        <v>16</v>
      </c>
      <c r="D11" s="13">
        <f t="shared" ref="D11:M11" si="9">D5+D7+D8+D9+D10</f>
        <v>-2865</v>
      </c>
      <c r="E11" s="13">
        <f t="shared" si="9"/>
        <v>-3775</v>
      </c>
      <c r="F11" s="13">
        <f t="shared" si="9"/>
        <v>-3834</v>
      </c>
      <c r="G11" s="13">
        <f t="shared" si="9"/>
        <v>-3795</v>
      </c>
      <c r="H11" s="13">
        <f t="shared" si="9"/>
        <v>-3199</v>
      </c>
      <c r="I11" s="13">
        <f t="shared" si="9"/>
        <v>-4127</v>
      </c>
      <c r="J11" s="13">
        <f t="shared" si="9"/>
        <v>-4192</v>
      </c>
      <c r="K11" s="13">
        <f t="shared" si="9"/>
        <v>-4324</v>
      </c>
      <c r="L11" s="13">
        <f t="shared" si="9"/>
        <v>-3570</v>
      </c>
      <c r="M11" s="13">
        <f t="shared" si="9"/>
        <v>-4622</v>
      </c>
      <c r="N11" s="14">
        <f>N5+N7+N8+N9+N10</f>
        <v>-4536</v>
      </c>
      <c r="O11" s="13"/>
      <c r="P11" s="13"/>
      <c r="Q11" s="13"/>
      <c r="V11" s="13">
        <f>V5+V7+V8+V9+V10</f>
        <v>-11081</v>
      </c>
      <c r="W11" s="13">
        <f>W5+W7+W8+W9+W10</f>
        <v>-11299</v>
      </c>
      <c r="X11" s="13">
        <f>X5+X7+X8+X9+X10</f>
        <v>-12165</v>
      </c>
      <c r="Y11" s="13">
        <f>Y5+Y7+Y8+Y9+Y10</f>
        <v>-13114</v>
      </c>
      <c r="Z11" s="13">
        <f>Z5+Z7+Z8+Z9+Z10</f>
        <v>-14270</v>
      </c>
      <c r="AA11" s="13">
        <f>AA5+AA7+AA8+AA9+AA10</f>
        <v>-15842</v>
      </c>
      <c r="AB11" s="14">
        <f t="shared" ref="AB11:AL11" si="10">AB5+AB7+AB8+AB9+AB10</f>
        <v>-17657.420000000002</v>
      </c>
      <c r="AC11" s="13">
        <f t="shared" si="10"/>
        <v>-18981.726500000001</v>
      </c>
      <c r="AD11" s="13">
        <f t="shared" si="10"/>
        <v>-19930.812825000001</v>
      </c>
      <c r="AE11" s="13">
        <f t="shared" si="10"/>
        <v>-20927.353466250002</v>
      </c>
      <c r="AF11" s="13">
        <f t="shared" si="10"/>
        <v>-21973.721139562505</v>
      </c>
      <c r="AG11" s="13">
        <f t="shared" si="10"/>
        <v>-23072.407196540633</v>
      </c>
      <c r="AH11" s="13">
        <f t="shared" si="10"/>
        <v>-24226.027556367666</v>
      </c>
      <c r="AI11" s="13">
        <f t="shared" si="10"/>
        <v>-25437.328934186055</v>
      </c>
      <c r="AJ11" s="13">
        <f t="shared" si="10"/>
        <v>-26709.195380895355</v>
      </c>
      <c r="AK11" s="13">
        <f t="shared" si="10"/>
        <v>-28044.655149940121</v>
      </c>
      <c r="AL11" s="13">
        <f t="shared" si="10"/>
        <v>-29446.887907437133</v>
      </c>
    </row>
    <row r="12" spans="1:172" x14ac:dyDescent="0.25">
      <c r="C12" s="1" t="s">
        <v>17</v>
      </c>
      <c r="D12" s="11">
        <f t="shared" ref="D12:M12" si="11">D4+D11</f>
        <v>239</v>
      </c>
      <c r="E12" s="11">
        <f t="shared" si="11"/>
        <v>266</v>
      </c>
      <c r="F12" s="11">
        <f t="shared" si="11"/>
        <v>361</v>
      </c>
      <c r="G12" s="11">
        <f t="shared" si="11"/>
        <v>404</v>
      </c>
      <c r="H12" s="11">
        <f t="shared" si="11"/>
        <v>231</v>
      </c>
      <c r="I12" s="11">
        <f t="shared" si="11"/>
        <v>306</v>
      </c>
      <c r="J12" s="11">
        <f t="shared" si="11"/>
        <v>421</v>
      </c>
      <c r="K12" s="11">
        <f t="shared" si="11"/>
        <v>532</v>
      </c>
      <c r="L12" s="11">
        <f t="shared" si="11"/>
        <v>272</v>
      </c>
      <c r="M12" s="11">
        <f t="shared" si="11"/>
        <v>403</v>
      </c>
      <c r="N12" s="12">
        <f>N4+N11</f>
        <v>501</v>
      </c>
      <c r="O12" s="13"/>
      <c r="P12" s="13"/>
      <c r="Q12" s="13"/>
      <c r="V12" s="11">
        <f>V4+V11</f>
        <v>634</v>
      </c>
      <c r="W12" s="11">
        <f>W4+W11</f>
        <v>972</v>
      </c>
      <c r="X12" s="11">
        <f>X4+X11</f>
        <v>1175</v>
      </c>
      <c r="Y12" s="11">
        <f>Y4+Y11</f>
        <v>1225</v>
      </c>
      <c r="Z12" s="11">
        <f>Z4+Z11</f>
        <v>1269</v>
      </c>
      <c r="AA12" s="11">
        <f>AA4+AA11</f>
        <v>1490</v>
      </c>
      <c r="AB12" s="12">
        <f t="shared" ref="AB12:AL12" si="12">AB4+AB11</f>
        <v>1407.7799999999988</v>
      </c>
      <c r="AC12" s="11">
        <f t="shared" si="12"/>
        <v>1513.3634999999995</v>
      </c>
      <c r="AD12" s="11">
        <f t="shared" si="12"/>
        <v>1589.031675000002</v>
      </c>
      <c r="AE12" s="11">
        <f t="shared" si="12"/>
        <v>1668.4832587500023</v>
      </c>
      <c r="AF12" s="11">
        <f t="shared" si="12"/>
        <v>1751.9074216875015</v>
      </c>
      <c r="AG12" s="11">
        <f t="shared" si="12"/>
        <v>1839.5027927718766</v>
      </c>
      <c r="AH12" s="11">
        <f t="shared" si="12"/>
        <v>1931.4779324104711</v>
      </c>
      <c r="AI12" s="11">
        <f t="shared" si="12"/>
        <v>2028.0518290309919</v>
      </c>
      <c r="AJ12" s="11">
        <f t="shared" si="12"/>
        <v>2129.4544204825434</v>
      </c>
      <c r="AK12" s="11">
        <f t="shared" si="12"/>
        <v>2235.9271415066723</v>
      </c>
      <c r="AL12" s="11">
        <f t="shared" si="12"/>
        <v>2347.7234985820032</v>
      </c>
    </row>
    <row r="13" spans="1:172" x14ac:dyDescent="0.25">
      <c r="C13" s="2" t="s">
        <v>18</v>
      </c>
      <c r="D13" s="13">
        <v>-120</v>
      </c>
      <c r="E13" s="13">
        <v>-122</v>
      </c>
      <c r="F13" s="13">
        <v>-144</v>
      </c>
      <c r="G13" s="13">
        <v>-126</v>
      </c>
      <c r="H13" s="13">
        <v>-155</v>
      </c>
      <c r="I13" s="13">
        <v>-168</v>
      </c>
      <c r="J13" s="13">
        <v>-149</v>
      </c>
      <c r="K13" s="13">
        <v>-193</v>
      </c>
      <c r="L13" s="13">
        <v>-179</v>
      </c>
      <c r="M13" s="13">
        <v>-179</v>
      </c>
      <c r="N13" s="14">
        <v>-195</v>
      </c>
      <c r="O13" s="13"/>
      <c r="P13" s="13"/>
      <c r="Q13" s="13"/>
      <c r="V13" s="13">
        <v>-69</v>
      </c>
      <c r="W13" s="13">
        <v>-417</v>
      </c>
      <c r="X13" s="13">
        <v>-402</v>
      </c>
      <c r="Y13" s="13">
        <f>1-441</f>
        <v>-440</v>
      </c>
      <c r="Z13" s="13">
        <f>33-543</f>
        <v>-510</v>
      </c>
      <c r="AA13" s="13">
        <f>22-687</f>
        <v>-665</v>
      </c>
      <c r="AB13" s="14">
        <v>0</v>
      </c>
      <c r="AC13" s="13">
        <v>0</v>
      </c>
      <c r="AD13" s="30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</row>
    <row r="14" spans="1:172" x14ac:dyDescent="0.25">
      <c r="C14" s="2" t="s">
        <v>19</v>
      </c>
      <c r="D14" s="13">
        <f t="shared" ref="D14:M14" si="13">SUM(D12:D13)</f>
        <v>119</v>
      </c>
      <c r="E14" s="13">
        <f t="shared" si="13"/>
        <v>144</v>
      </c>
      <c r="F14" s="13">
        <f t="shared" si="13"/>
        <v>217</v>
      </c>
      <c r="G14" s="13">
        <f t="shared" si="13"/>
        <v>278</v>
      </c>
      <c r="H14" s="13">
        <f t="shared" si="13"/>
        <v>76</v>
      </c>
      <c r="I14" s="13">
        <f t="shared" si="13"/>
        <v>138</v>
      </c>
      <c r="J14" s="13">
        <f t="shared" si="13"/>
        <v>272</v>
      </c>
      <c r="K14" s="13">
        <f t="shared" si="13"/>
        <v>339</v>
      </c>
      <c r="L14" s="13">
        <f t="shared" si="13"/>
        <v>93</v>
      </c>
      <c r="M14" s="13">
        <f t="shared" si="13"/>
        <v>224</v>
      </c>
      <c r="N14" s="14">
        <f>SUM(N12:N13)</f>
        <v>306</v>
      </c>
      <c r="O14" s="13"/>
      <c r="P14" s="13"/>
      <c r="Q14" s="13"/>
      <c r="V14" s="13">
        <f>SUM(V12:V13)</f>
        <v>565</v>
      </c>
      <c r="W14" s="13">
        <f>SUM(W12:W13)</f>
        <v>555</v>
      </c>
      <c r="X14" s="13">
        <f>SUM(X12:X13)</f>
        <v>773</v>
      </c>
      <c r="Y14" s="13">
        <f>SUM(Y12:Y13)</f>
        <v>785</v>
      </c>
      <c r="Z14" s="13">
        <f>SUM(Z12:Z13)</f>
        <v>759</v>
      </c>
      <c r="AA14" s="13">
        <f>SUM(AA12:AA13)</f>
        <v>825</v>
      </c>
      <c r="AB14" s="14">
        <f t="shared" ref="AB14:AL14" si="14">SUM(AB12:AB13)</f>
        <v>1407.7799999999988</v>
      </c>
      <c r="AC14" s="13">
        <f t="shared" si="14"/>
        <v>1513.3634999999995</v>
      </c>
      <c r="AD14" s="13">
        <f t="shared" si="14"/>
        <v>1589.031675000002</v>
      </c>
      <c r="AE14" s="13">
        <f t="shared" si="14"/>
        <v>1668.4832587500023</v>
      </c>
      <c r="AF14" s="13">
        <f t="shared" si="14"/>
        <v>1751.9074216875015</v>
      </c>
      <c r="AG14" s="13">
        <f t="shared" si="14"/>
        <v>1839.5027927718766</v>
      </c>
      <c r="AH14" s="13">
        <f t="shared" si="14"/>
        <v>1931.4779324104711</v>
      </c>
      <c r="AI14" s="13">
        <f t="shared" si="14"/>
        <v>2028.0518290309919</v>
      </c>
      <c r="AJ14" s="13">
        <f t="shared" si="14"/>
        <v>2129.4544204825434</v>
      </c>
      <c r="AK14" s="13">
        <f t="shared" si="14"/>
        <v>2235.9271415066723</v>
      </c>
      <c r="AL14" s="13">
        <f t="shared" si="14"/>
        <v>2347.7234985820032</v>
      </c>
    </row>
    <row r="15" spans="1:172" x14ac:dyDescent="0.25">
      <c r="C15" s="2" t="s">
        <v>51</v>
      </c>
      <c r="D15" s="13">
        <v>-25</v>
      </c>
      <c r="E15" s="13">
        <v>-35</v>
      </c>
      <c r="F15" s="13">
        <v>-47</v>
      </c>
      <c r="G15" s="13">
        <v>-74</v>
      </c>
      <c r="H15" s="13">
        <v>-14</v>
      </c>
      <c r="I15" s="13">
        <v>-31</v>
      </c>
      <c r="J15" s="13">
        <v>-58</v>
      </c>
      <c r="K15" s="13">
        <v>-90</v>
      </c>
      <c r="L15" s="13">
        <v>-13</v>
      </c>
      <c r="M15" s="13">
        <v>-45</v>
      </c>
      <c r="N15" s="14">
        <v>-63</v>
      </c>
      <c r="O15" s="13"/>
      <c r="P15" s="13"/>
      <c r="Q15" s="13"/>
      <c r="V15" s="13">
        <v>-136</v>
      </c>
      <c r="W15" s="13">
        <v>-125</v>
      </c>
      <c r="X15" s="13">
        <v>-173</v>
      </c>
      <c r="Y15" s="13">
        <v>-179</v>
      </c>
      <c r="Z15" s="13">
        <v>-181</v>
      </c>
      <c r="AA15" s="13">
        <v>-193</v>
      </c>
      <c r="AB15" s="14">
        <f>AB14*-0.22</f>
        <v>-309.71159999999975</v>
      </c>
      <c r="AC15" s="30">
        <f t="shared" ref="AC15:AL15" si="15">AC14*-0.22</f>
        <v>-332.9399699999999</v>
      </c>
      <c r="AD15" s="30">
        <f t="shared" si="15"/>
        <v>-349.58696850000047</v>
      </c>
      <c r="AE15" s="30">
        <f t="shared" si="15"/>
        <v>-367.06631692500048</v>
      </c>
      <c r="AF15" s="30">
        <f t="shared" si="15"/>
        <v>-385.41963277125035</v>
      </c>
      <c r="AG15" s="30">
        <f t="shared" si="15"/>
        <v>-404.69061440981284</v>
      </c>
      <c r="AH15" s="30">
        <f t="shared" si="15"/>
        <v>-424.92514513030363</v>
      </c>
      <c r="AI15" s="30">
        <f t="shared" si="15"/>
        <v>-446.17140238681822</v>
      </c>
      <c r="AJ15" s="30">
        <f t="shared" si="15"/>
        <v>-468.47997250615953</v>
      </c>
      <c r="AK15" s="30">
        <f t="shared" si="15"/>
        <v>-491.90397113146793</v>
      </c>
      <c r="AL15" s="30">
        <f t="shared" si="15"/>
        <v>-516.49916968804075</v>
      </c>
    </row>
    <row r="16" spans="1:172" x14ac:dyDescent="0.25">
      <c r="C16" s="1" t="s">
        <v>20</v>
      </c>
      <c r="D16" s="11">
        <f t="shared" ref="D16:M16" si="16">SUM(D14:D15)</f>
        <v>94</v>
      </c>
      <c r="E16" s="11">
        <f t="shared" si="16"/>
        <v>109</v>
      </c>
      <c r="F16" s="11">
        <f t="shared" si="16"/>
        <v>170</v>
      </c>
      <c r="G16" s="11">
        <f t="shared" si="16"/>
        <v>204</v>
      </c>
      <c r="H16" s="11">
        <f t="shared" si="16"/>
        <v>62</v>
      </c>
      <c r="I16" s="11">
        <f t="shared" si="16"/>
        <v>107</v>
      </c>
      <c r="J16" s="11">
        <f t="shared" si="16"/>
        <v>214</v>
      </c>
      <c r="K16" s="11">
        <f t="shared" si="16"/>
        <v>249</v>
      </c>
      <c r="L16" s="11">
        <f t="shared" si="16"/>
        <v>80</v>
      </c>
      <c r="M16" s="11">
        <f t="shared" si="16"/>
        <v>179</v>
      </c>
      <c r="N16" s="12">
        <f>SUM(N14:N15)</f>
        <v>243</v>
      </c>
      <c r="O16" s="13"/>
      <c r="P16" s="13"/>
      <c r="Q16" s="13"/>
      <c r="V16" s="11">
        <f>SUM(V14:V15)</f>
        <v>429</v>
      </c>
      <c r="W16" s="11">
        <f>SUM(W14:W15)</f>
        <v>430</v>
      </c>
      <c r="X16" s="11">
        <f>SUM(X14:X15)</f>
        <v>600</v>
      </c>
      <c r="Y16" s="11">
        <f>SUM(Y14:Y15)</f>
        <v>606</v>
      </c>
      <c r="Z16" s="11">
        <f>SUM(Z14:Z15)</f>
        <v>578</v>
      </c>
      <c r="AA16" s="11">
        <f>SUM(AA14:AA15)</f>
        <v>632</v>
      </c>
      <c r="AB16" s="12">
        <f t="shared" ref="AB16:AL16" si="17">SUM(AB14:AB15)</f>
        <v>1098.0683999999992</v>
      </c>
      <c r="AC16" s="11">
        <f t="shared" si="17"/>
        <v>1180.4235299999996</v>
      </c>
      <c r="AD16" s="11">
        <f t="shared" si="17"/>
        <v>1239.4447065000015</v>
      </c>
      <c r="AE16" s="11">
        <f t="shared" si="17"/>
        <v>1301.4169418250017</v>
      </c>
      <c r="AF16" s="11">
        <f t="shared" si="17"/>
        <v>1366.4877889162512</v>
      </c>
      <c r="AG16" s="11">
        <f t="shared" si="17"/>
        <v>1434.8121783620636</v>
      </c>
      <c r="AH16" s="11">
        <f t="shared" si="17"/>
        <v>1506.5527872801674</v>
      </c>
      <c r="AI16" s="11">
        <f t="shared" si="17"/>
        <v>1581.8804266441737</v>
      </c>
      <c r="AJ16" s="11">
        <f t="shared" si="17"/>
        <v>1660.9744479763838</v>
      </c>
      <c r="AK16" s="11">
        <f t="shared" si="17"/>
        <v>1744.0231703752045</v>
      </c>
      <c r="AL16" s="11">
        <f t="shared" si="17"/>
        <v>1831.2243288939626</v>
      </c>
      <c r="AM16" s="11">
        <f>AL16*(1+$AO$20)</f>
        <v>1812.9120856050229</v>
      </c>
      <c r="AN16" s="11">
        <f t="shared" ref="AN16:CY16" si="18">AM16*(1+$AO$20)</f>
        <v>1794.7829647489725</v>
      </c>
      <c r="AO16" s="11">
        <f t="shared" si="18"/>
        <v>1776.8351351014828</v>
      </c>
      <c r="AP16" s="11">
        <f t="shared" si="18"/>
        <v>1759.0667837504679</v>
      </c>
      <c r="AQ16" s="11">
        <f t="shared" si="18"/>
        <v>1741.4761159129632</v>
      </c>
      <c r="AR16" s="11">
        <f t="shared" si="18"/>
        <v>1724.0613547538335</v>
      </c>
      <c r="AS16" s="11">
        <f t="shared" si="18"/>
        <v>1706.8207412062952</v>
      </c>
      <c r="AT16" s="11">
        <f t="shared" si="18"/>
        <v>1689.7525337942322</v>
      </c>
      <c r="AU16" s="11">
        <f t="shared" si="18"/>
        <v>1672.8550084562899</v>
      </c>
      <c r="AV16" s="11">
        <f t="shared" si="18"/>
        <v>1656.126458371727</v>
      </c>
      <c r="AW16" s="11">
        <f t="shared" si="18"/>
        <v>1639.5651937880098</v>
      </c>
      <c r="AX16" s="11">
        <f t="shared" si="18"/>
        <v>1623.1695418501297</v>
      </c>
      <c r="AY16" s="11">
        <f t="shared" si="18"/>
        <v>1606.9378464316285</v>
      </c>
      <c r="AZ16" s="11">
        <f t="shared" si="18"/>
        <v>1590.8684679673122</v>
      </c>
      <c r="BA16" s="11">
        <f t="shared" si="18"/>
        <v>1574.9597832876391</v>
      </c>
      <c r="BB16" s="11">
        <f t="shared" si="18"/>
        <v>1559.2101854547627</v>
      </c>
      <c r="BC16" s="11">
        <f t="shared" si="18"/>
        <v>1543.6180836002152</v>
      </c>
      <c r="BD16" s="11">
        <f t="shared" si="18"/>
        <v>1528.181902764213</v>
      </c>
      <c r="BE16" s="11">
        <f t="shared" si="18"/>
        <v>1512.9000837365709</v>
      </c>
      <c r="BF16" s="11">
        <f t="shared" si="18"/>
        <v>1497.7710828992051</v>
      </c>
      <c r="BG16" s="11">
        <f t="shared" si="18"/>
        <v>1482.7933720702131</v>
      </c>
      <c r="BH16" s="11">
        <f t="shared" si="18"/>
        <v>1467.965438349511</v>
      </c>
      <c r="BI16" s="11">
        <f t="shared" si="18"/>
        <v>1453.285783966016</v>
      </c>
      <c r="BJ16" s="11">
        <f t="shared" si="18"/>
        <v>1438.7529261263558</v>
      </c>
      <c r="BK16" s="11">
        <f t="shared" si="18"/>
        <v>1424.3653968650922</v>
      </c>
      <c r="BL16" s="11">
        <f t="shared" si="18"/>
        <v>1410.1217428964412</v>
      </c>
      <c r="BM16" s="11">
        <f t="shared" si="18"/>
        <v>1396.0205254674768</v>
      </c>
      <c r="BN16" s="11">
        <f t="shared" si="18"/>
        <v>1382.060320212802</v>
      </c>
      <c r="BO16" s="11">
        <f t="shared" si="18"/>
        <v>1368.239717010674</v>
      </c>
      <c r="BP16" s="11">
        <f t="shared" si="18"/>
        <v>1354.5573198405673</v>
      </c>
      <c r="BQ16" s="11">
        <f t="shared" si="18"/>
        <v>1341.0117466421616</v>
      </c>
      <c r="BR16" s="11">
        <f t="shared" si="18"/>
        <v>1327.6016291757401</v>
      </c>
      <c r="BS16" s="11">
        <f t="shared" si="18"/>
        <v>1314.3256128839826</v>
      </c>
      <c r="BT16" s="11">
        <f t="shared" si="18"/>
        <v>1301.1823567551428</v>
      </c>
      <c r="BU16" s="11">
        <f t="shared" si="18"/>
        <v>1288.1705331875914</v>
      </c>
      <c r="BV16" s="11">
        <f t="shared" si="18"/>
        <v>1275.2888278557155</v>
      </c>
      <c r="BW16" s="11">
        <f t="shared" si="18"/>
        <v>1262.5359395771584</v>
      </c>
      <c r="BX16" s="11">
        <f t="shared" si="18"/>
        <v>1249.9105801813869</v>
      </c>
      <c r="BY16" s="11">
        <f t="shared" si="18"/>
        <v>1237.4114743795731</v>
      </c>
      <c r="BZ16" s="11">
        <f t="shared" si="18"/>
        <v>1225.0373596357774</v>
      </c>
      <c r="CA16" s="11">
        <f t="shared" si="18"/>
        <v>1212.7869860394196</v>
      </c>
      <c r="CB16" s="11">
        <f t="shared" si="18"/>
        <v>1200.6591161790254</v>
      </c>
      <c r="CC16" s="11">
        <f t="shared" si="18"/>
        <v>1188.6525250172351</v>
      </c>
      <c r="CD16" s="11">
        <f t="shared" si="18"/>
        <v>1176.7659997670628</v>
      </c>
      <c r="CE16" s="11">
        <f t="shared" si="18"/>
        <v>1164.9983397693923</v>
      </c>
      <c r="CF16" s="11">
        <f t="shared" si="18"/>
        <v>1153.3483563716984</v>
      </c>
      <c r="CG16" s="11">
        <f t="shared" si="18"/>
        <v>1141.8148728079814</v>
      </c>
      <c r="CH16" s="11">
        <f t="shared" si="18"/>
        <v>1130.3967240799016</v>
      </c>
      <c r="CI16" s="11">
        <f t="shared" si="18"/>
        <v>1119.0927568391025</v>
      </c>
      <c r="CJ16" s="11">
        <f t="shared" si="18"/>
        <v>1107.9018292707115</v>
      </c>
      <c r="CK16" s="11">
        <f t="shared" si="18"/>
        <v>1096.8228109780043</v>
      </c>
      <c r="CL16" s="11">
        <f t="shared" si="18"/>
        <v>1085.8545828682243</v>
      </c>
      <c r="CM16" s="11">
        <f t="shared" si="18"/>
        <v>1074.996037039542</v>
      </c>
      <c r="CN16" s="11">
        <f t="shared" si="18"/>
        <v>1064.2460766691465</v>
      </c>
      <c r="CO16" s="11">
        <f t="shared" si="18"/>
        <v>1053.603615902455</v>
      </c>
      <c r="CP16" s="11">
        <f t="shared" si="18"/>
        <v>1043.0675797434303</v>
      </c>
      <c r="CQ16" s="11">
        <f t="shared" si="18"/>
        <v>1032.636903945996</v>
      </c>
      <c r="CR16" s="11">
        <f t="shared" si="18"/>
        <v>1022.310534906536</v>
      </c>
      <c r="CS16" s="11">
        <f t="shared" si="18"/>
        <v>1012.0874295574706</v>
      </c>
      <c r="CT16" s="11">
        <f t="shared" si="18"/>
        <v>1001.9665552618959</v>
      </c>
      <c r="CU16" s="11">
        <f t="shared" si="18"/>
        <v>991.94688970927689</v>
      </c>
      <c r="CV16" s="11">
        <f t="shared" si="18"/>
        <v>982.02742081218412</v>
      </c>
      <c r="CW16" s="11">
        <f t="shared" si="18"/>
        <v>972.20714660406225</v>
      </c>
      <c r="CX16" s="11">
        <f t="shared" si="18"/>
        <v>962.48507513802167</v>
      </c>
      <c r="CY16" s="11">
        <f t="shared" si="18"/>
        <v>952.86022438664145</v>
      </c>
      <c r="CZ16" s="11">
        <f t="shared" ref="CZ16:FK16" si="19">CY16*(1+$AO$20)</f>
        <v>943.33162214277502</v>
      </c>
      <c r="DA16" s="11">
        <f t="shared" si="19"/>
        <v>933.89830592134729</v>
      </c>
      <c r="DB16" s="11">
        <f t="shared" si="19"/>
        <v>924.55932286213385</v>
      </c>
      <c r="DC16" s="11">
        <f t="shared" si="19"/>
        <v>915.31372963351248</v>
      </c>
      <c r="DD16" s="11">
        <f t="shared" si="19"/>
        <v>906.16059233717738</v>
      </c>
      <c r="DE16" s="11">
        <f t="shared" si="19"/>
        <v>897.09898641380562</v>
      </c>
      <c r="DF16" s="11">
        <f t="shared" si="19"/>
        <v>888.1279965496675</v>
      </c>
      <c r="DG16" s="11">
        <f t="shared" si="19"/>
        <v>879.24671658417083</v>
      </c>
      <c r="DH16" s="11">
        <f t="shared" si="19"/>
        <v>870.45424941832914</v>
      </c>
      <c r="DI16" s="11">
        <f t="shared" si="19"/>
        <v>861.74970692414581</v>
      </c>
      <c r="DJ16" s="11">
        <f t="shared" si="19"/>
        <v>853.13220985490432</v>
      </c>
      <c r="DK16" s="11">
        <f t="shared" si="19"/>
        <v>844.60088775635529</v>
      </c>
      <c r="DL16" s="11">
        <f t="shared" si="19"/>
        <v>836.15487887879169</v>
      </c>
      <c r="DM16" s="11">
        <f t="shared" si="19"/>
        <v>827.79333009000379</v>
      </c>
      <c r="DN16" s="11">
        <f t="shared" si="19"/>
        <v>819.51539678910376</v>
      </c>
      <c r="DO16" s="11">
        <f t="shared" si="19"/>
        <v>811.32024282121267</v>
      </c>
      <c r="DP16" s="11">
        <f t="shared" si="19"/>
        <v>803.20704039300051</v>
      </c>
      <c r="DQ16" s="11">
        <f t="shared" si="19"/>
        <v>795.17496998907052</v>
      </c>
      <c r="DR16" s="11">
        <f t="shared" si="19"/>
        <v>787.22322028917984</v>
      </c>
      <c r="DS16" s="11">
        <f t="shared" si="19"/>
        <v>779.350988086288</v>
      </c>
      <c r="DT16" s="11">
        <f t="shared" si="19"/>
        <v>771.55747820542513</v>
      </c>
      <c r="DU16" s="11">
        <f t="shared" si="19"/>
        <v>763.84190342337092</v>
      </c>
      <c r="DV16" s="11">
        <f t="shared" si="19"/>
        <v>756.2034843891372</v>
      </c>
      <c r="DW16" s="11">
        <f t="shared" si="19"/>
        <v>748.64144954524579</v>
      </c>
      <c r="DX16" s="11">
        <f t="shared" si="19"/>
        <v>741.15503504979336</v>
      </c>
      <c r="DY16" s="11">
        <f t="shared" si="19"/>
        <v>733.74348469929544</v>
      </c>
      <c r="DZ16" s="11">
        <f t="shared" si="19"/>
        <v>726.40604985230243</v>
      </c>
      <c r="EA16" s="11">
        <f t="shared" si="19"/>
        <v>719.14198935377942</v>
      </c>
      <c r="EB16" s="11">
        <f t="shared" si="19"/>
        <v>711.95056946024158</v>
      </c>
      <c r="EC16" s="11">
        <f t="shared" si="19"/>
        <v>704.83106376563921</v>
      </c>
      <c r="ED16" s="11">
        <f t="shared" si="19"/>
        <v>697.7827531279828</v>
      </c>
      <c r="EE16" s="11">
        <f t="shared" si="19"/>
        <v>690.80492559670301</v>
      </c>
      <c r="EF16" s="11">
        <f t="shared" si="19"/>
        <v>683.89687634073596</v>
      </c>
      <c r="EG16" s="11">
        <f t="shared" si="19"/>
        <v>677.05790757732859</v>
      </c>
      <c r="EH16" s="11">
        <f t="shared" si="19"/>
        <v>670.28732850155529</v>
      </c>
      <c r="EI16" s="11">
        <f t="shared" si="19"/>
        <v>663.58445521653971</v>
      </c>
      <c r="EJ16" s="11">
        <f t="shared" si="19"/>
        <v>656.94861066437431</v>
      </c>
      <c r="EK16" s="11">
        <f t="shared" si="19"/>
        <v>650.37912455773062</v>
      </c>
      <c r="EL16" s="11">
        <f t="shared" si="19"/>
        <v>643.87533331215332</v>
      </c>
      <c r="EM16" s="11">
        <f t="shared" si="19"/>
        <v>637.43657997903176</v>
      </c>
      <c r="EN16" s="11">
        <f t="shared" si="19"/>
        <v>631.06221417924144</v>
      </c>
      <c r="EO16" s="11">
        <f t="shared" si="19"/>
        <v>624.75159203744897</v>
      </c>
      <c r="EP16" s="11">
        <f t="shared" si="19"/>
        <v>618.50407611707453</v>
      </c>
      <c r="EQ16" s="11">
        <f t="shared" si="19"/>
        <v>612.31903535590379</v>
      </c>
      <c r="ER16" s="11">
        <f t="shared" si="19"/>
        <v>606.19584500234475</v>
      </c>
      <c r="ES16" s="11">
        <f t="shared" si="19"/>
        <v>600.13388655232131</v>
      </c>
      <c r="ET16" s="11">
        <f t="shared" si="19"/>
        <v>594.13254768679815</v>
      </c>
      <c r="EU16" s="11">
        <f t="shared" si="19"/>
        <v>588.19122220993017</v>
      </c>
      <c r="EV16" s="11">
        <f t="shared" si="19"/>
        <v>582.30930998783083</v>
      </c>
      <c r="EW16" s="11">
        <f t="shared" si="19"/>
        <v>576.48621688795254</v>
      </c>
      <c r="EX16" s="11">
        <f t="shared" si="19"/>
        <v>570.72135471907302</v>
      </c>
      <c r="EY16" s="11">
        <f t="shared" si="19"/>
        <v>565.01414117188233</v>
      </c>
      <c r="EZ16" s="11">
        <f t="shared" si="19"/>
        <v>559.36399976016355</v>
      </c>
      <c r="FA16" s="11">
        <f t="shared" si="19"/>
        <v>553.77035976256195</v>
      </c>
      <c r="FB16" s="11">
        <f t="shared" si="19"/>
        <v>548.23265616493632</v>
      </c>
      <c r="FC16" s="11">
        <f t="shared" si="19"/>
        <v>542.7503296032869</v>
      </c>
      <c r="FD16" s="11">
        <f t="shared" si="19"/>
        <v>537.32282630725399</v>
      </c>
      <c r="FE16" s="11">
        <f t="shared" si="19"/>
        <v>531.94959804418147</v>
      </c>
      <c r="FF16" s="11">
        <f t="shared" si="19"/>
        <v>526.63010206373963</v>
      </c>
      <c r="FG16" s="11">
        <f t="shared" si="19"/>
        <v>521.36380104310217</v>
      </c>
      <c r="FH16" s="11">
        <f t="shared" si="19"/>
        <v>516.15016303267112</v>
      </c>
      <c r="FI16" s="11">
        <f t="shared" si="19"/>
        <v>510.98866140234441</v>
      </c>
      <c r="FJ16" s="11">
        <f t="shared" si="19"/>
        <v>505.87877478832098</v>
      </c>
      <c r="FK16" s="11">
        <f t="shared" si="19"/>
        <v>500.81998704043775</v>
      </c>
      <c r="FL16" s="11">
        <f t="shared" ref="FL16:FP16" si="20">FK16*(1+$AO$20)</f>
        <v>495.81178717003337</v>
      </c>
      <c r="FM16" s="11">
        <f t="shared" si="20"/>
        <v>490.85366929833305</v>
      </c>
      <c r="FN16" s="11">
        <f t="shared" si="20"/>
        <v>485.94513260534973</v>
      </c>
      <c r="FO16" s="11">
        <f t="shared" si="20"/>
        <v>481.08568127929624</v>
      </c>
      <c r="FP16" s="11">
        <f t="shared" si="20"/>
        <v>476.27482446650328</v>
      </c>
    </row>
    <row r="17" spans="3:42" x14ac:dyDescent="0.25">
      <c r="C17" s="2" t="s">
        <v>21</v>
      </c>
      <c r="D17" s="2">
        <v>105.5</v>
      </c>
      <c r="E17" s="2">
        <v>105.5</v>
      </c>
      <c r="F17" s="2">
        <v>105.5</v>
      </c>
      <c r="G17" s="2">
        <v>105.5</v>
      </c>
      <c r="H17" s="2">
        <v>105.5</v>
      </c>
      <c r="I17" s="2">
        <v>105.5</v>
      </c>
      <c r="J17" s="2">
        <v>105.5</v>
      </c>
      <c r="K17" s="2">
        <v>105.5</v>
      </c>
      <c r="L17" s="2">
        <v>105.5</v>
      </c>
      <c r="M17" s="2">
        <v>105.5</v>
      </c>
      <c r="N17" s="4">
        <v>105.5</v>
      </c>
      <c r="V17" s="2">
        <v>105.5</v>
      </c>
      <c r="W17" s="2">
        <v>105.5</v>
      </c>
      <c r="X17" s="2">
        <v>105.5</v>
      </c>
      <c r="Y17" s="2">
        <v>105.5</v>
      </c>
      <c r="Z17" s="8">
        <v>105.587362</v>
      </c>
      <c r="AA17" s="8">
        <v>101.491694</v>
      </c>
      <c r="AB17" s="4">
        <v>105.5</v>
      </c>
      <c r="AC17" s="2">
        <v>105.5</v>
      </c>
      <c r="AD17" s="2">
        <v>105.5</v>
      </c>
      <c r="AE17" s="2">
        <v>105.5</v>
      </c>
      <c r="AF17" s="2">
        <v>105.5</v>
      </c>
      <c r="AG17" s="2">
        <v>105.5</v>
      </c>
      <c r="AH17" s="2">
        <v>105.5</v>
      </c>
      <c r="AI17" s="2">
        <v>105.5</v>
      </c>
      <c r="AJ17" s="2">
        <v>105.5</v>
      </c>
      <c r="AK17" s="2">
        <v>105.5</v>
      </c>
      <c r="AL17" s="2">
        <v>105.5</v>
      </c>
    </row>
    <row r="18" spans="3:42" x14ac:dyDescent="0.25">
      <c r="C18" s="2" t="s">
        <v>22</v>
      </c>
      <c r="D18" s="18">
        <f t="shared" ref="D18:M18" si="21">D16/D17</f>
        <v>0.89099526066350709</v>
      </c>
      <c r="E18" s="18">
        <f t="shared" si="21"/>
        <v>1.033175355450237</v>
      </c>
      <c r="F18" s="18">
        <f t="shared" si="21"/>
        <v>1.6113744075829384</v>
      </c>
      <c r="G18" s="18">
        <f t="shared" si="21"/>
        <v>1.933649289099526</v>
      </c>
      <c r="H18" s="18">
        <f t="shared" si="21"/>
        <v>0.58767772511848337</v>
      </c>
      <c r="I18" s="18">
        <f t="shared" si="21"/>
        <v>1.014218009478673</v>
      </c>
      <c r="J18" s="18">
        <f t="shared" si="21"/>
        <v>2.028436018957346</v>
      </c>
      <c r="K18" s="18">
        <f t="shared" si="21"/>
        <v>2.3601895734597158</v>
      </c>
      <c r="L18" s="18">
        <f t="shared" si="21"/>
        <v>0.75829383886255919</v>
      </c>
      <c r="M18" s="18">
        <f t="shared" si="21"/>
        <v>1.6966824644549763</v>
      </c>
      <c r="N18" s="20">
        <f>N16/N17</f>
        <v>2.3033175355450237</v>
      </c>
      <c r="V18" s="18">
        <f>V16/V17</f>
        <v>4.0663507109004735</v>
      </c>
      <c r="W18" s="18">
        <f>W16/W17</f>
        <v>4.0758293838862558</v>
      </c>
      <c r="X18" s="18">
        <f>X16/X17</f>
        <v>5.6872037914691944</v>
      </c>
      <c r="Y18" s="18">
        <f>Y16/Y17</f>
        <v>5.7440758293838865</v>
      </c>
      <c r="Z18" s="18">
        <f>Z16/Z17</f>
        <v>5.4741399827755899</v>
      </c>
      <c r="AA18" s="18">
        <f>AA16/AA17</f>
        <v>6.2271105653237004</v>
      </c>
      <c r="AB18" s="20">
        <f t="shared" ref="AB18:AL18" si="22">AB16/AB17</f>
        <v>10.408231279620846</v>
      </c>
      <c r="AC18" s="18">
        <f t="shared" si="22"/>
        <v>11.188848625592414</v>
      </c>
      <c r="AD18" s="18">
        <f t="shared" si="22"/>
        <v>11.748291056872052</v>
      </c>
      <c r="AE18" s="18">
        <f t="shared" si="22"/>
        <v>12.335705609715657</v>
      </c>
      <c r="AF18" s="18">
        <f t="shared" si="22"/>
        <v>12.952490890201434</v>
      </c>
      <c r="AG18" s="18">
        <f t="shared" si="22"/>
        <v>13.600115434711503</v>
      </c>
      <c r="AH18" s="18">
        <f t="shared" si="22"/>
        <v>14.280121206447085</v>
      </c>
      <c r="AI18" s="18">
        <f t="shared" si="22"/>
        <v>14.994127266769418</v>
      </c>
      <c r="AJ18" s="18">
        <f t="shared" si="22"/>
        <v>15.743833630107902</v>
      </c>
      <c r="AK18" s="18">
        <f t="shared" si="22"/>
        <v>16.531025311613313</v>
      </c>
      <c r="AL18" s="18">
        <f t="shared" si="22"/>
        <v>17.357576577193957</v>
      </c>
    </row>
    <row r="19" spans="3:42" x14ac:dyDescent="0.25">
      <c r="AN19" s="2" t="s">
        <v>106</v>
      </c>
      <c r="AO19" s="31">
        <v>0.09</v>
      </c>
    </row>
    <row r="20" spans="3:42" x14ac:dyDescent="0.25">
      <c r="C20" s="1" t="s">
        <v>3</v>
      </c>
      <c r="D20" s="19"/>
      <c r="E20" s="19"/>
      <c r="F20" s="17"/>
      <c r="G20" s="17"/>
      <c r="H20" s="17">
        <f t="shared" ref="H20:M20" si="23">(H4-D4)/D4</f>
        <v>0.10502577319587629</v>
      </c>
      <c r="I20" s="17">
        <f t="shared" si="23"/>
        <v>9.7005691660480078E-2</v>
      </c>
      <c r="J20" s="17">
        <f t="shared" si="23"/>
        <v>9.9642431466030995E-2</v>
      </c>
      <c r="K20" s="17">
        <f t="shared" si="23"/>
        <v>0.15646582519647534</v>
      </c>
      <c r="L20" s="17">
        <f t="shared" si="23"/>
        <v>0.12011661807580175</v>
      </c>
      <c r="M20" s="17">
        <f t="shared" si="23"/>
        <v>0.13354387547935936</v>
      </c>
      <c r="N20" s="21">
        <f>(N4-J4)/J4</f>
        <v>9.1914155647084328E-2</v>
      </c>
      <c r="V20" s="17"/>
      <c r="W20" s="17">
        <f t="shared" ref="W20:Z20" si="24">(W4-V4)/V4</f>
        <v>4.746052069995732E-2</v>
      </c>
      <c r="X20" s="17">
        <f t="shared" si="24"/>
        <v>8.7115964469073423E-2</v>
      </c>
      <c r="Y20" s="17">
        <f t="shared" si="24"/>
        <v>7.4887556221889057E-2</v>
      </c>
      <c r="Z20" s="17">
        <f t="shared" si="24"/>
        <v>8.3687844340609524E-2</v>
      </c>
      <c r="AA20" s="17">
        <f>(AA4-Z4)/Z4</f>
        <v>0.1153870905463672</v>
      </c>
      <c r="AB20" s="21">
        <f t="shared" ref="AB20:AL20" si="25">(AB4-AA4)/AA4</f>
        <v>0.10000000000000005</v>
      </c>
      <c r="AC20" s="17">
        <f t="shared" si="25"/>
        <v>7.4999999999999969E-2</v>
      </c>
      <c r="AD20" s="17">
        <f t="shared" si="25"/>
        <v>5.0000000000000135E-2</v>
      </c>
      <c r="AE20" s="17">
        <f t="shared" si="25"/>
        <v>5.0000000000000079E-2</v>
      </c>
      <c r="AF20" s="17">
        <f t="shared" si="25"/>
        <v>5.0000000000000086E-2</v>
      </c>
      <c r="AG20" s="17">
        <f t="shared" si="25"/>
        <v>5.0000000000000093E-2</v>
      </c>
      <c r="AH20" s="17">
        <f t="shared" si="25"/>
        <v>5.0000000000000086E-2</v>
      </c>
      <c r="AI20" s="17">
        <f t="shared" si="25"/>
        <v>5.00000000000001E-2</v>
      </c>
      <c r="AJ20" s="17">
        <f t="shared" si="25"/>
        <v>4.9999999999999982E-2</v>
      </c>
      <c r="AK20" s="17">
        <f t="shared" si="25"/>
        <v>5.000000000000001E-2</v>
      </c>
      <c r="AL20" s="17">
        <f t="shared" si="25"/>
        <v>5.0000000000000086E-2</v>
      </c>
      <c r="AN20" s="2" t="s">
        <v>107</v>
      </c>
      <c r="AO20" s="31">
        <v>-0.01</v>
      </c>
    </row>
    <row r="21" spans="3:42" x14ac:dyDescent="0.25">
      <c r="C21" s="2" t="s">
        <v>52</v>
      </c>
      <c r="D21" s="19"/>
      <c r="E21" s="19"/>
      <c r="F21" s="19"/>
      <c r="G21" s="19"/>
      <c r="H21" s="19">
        <f t="shared" ref="H21:M21" si="26">(H11-D11)/D11</f>
        <v>0.11657940663176265</v>
      </c>
      <c r="I21" s="19">
        <f t="shared" si="26"/>
        <v>9.3245033112582781E-2</v>
      </c>
      <c r="J21" s="19">
        <f t="shared" si="26"/>
        <v>9.3375065206051128E-2</v>
      </c>
      <c r="K21" s="19">
        <f t="shared" si="26"/>
        <v>0.1393939393939394</v>
      </c>
      <c r="L21" s="19">
        <f t="shared" si="26"/>
        <v>0.11597374179431072</v>
      </c>
      <c r="M21" s="19">
        <f t="shared" si="26"/>
        <v>0.11994184637751393</v>
      </c>
      <c r="N21" s="22">
        <f>(N11-J11)/J11</f>
        <v>8.2061068702290074E-2</v>
      </c>
      <c r="V21" s="19"/>
      <c r="W21" s="19">
        <f t="shared" ref="W21:Z21" si="27">(W11-V11)/V11</f>
        <v>1.9673314682790363E-2</v>
      </c>
      <c r="X21" s="19">
        <f t="shared" si="27"/>
        <v>7.6643950792105495E-2</v>
      </c>
      <c r="Y21" s="19">
        <f t="shared" si="27"/>
        <v>7.8010686395396628E-2</v>
      </c>
      <c r="Z21" s="19">
        <f t="shared" si="27"/>
        <v>8.8150068628946171E-2</v>
      </c>
      <c r="AA21" s="19">
        <f>(AA11-Z11)/Z11</f>
        <v>0.11016117729502453</v>
      </c>
      <c r="AB21" s="22">
        <f t="shared" ref="AB21:AL21" si="28">(AB11-AA11)/AA11</f>
        <v>0.11459537937129162</v>
      </c>
      <c r="AC21" s="19">
        <f t="shared" si="28"/>
        <v>7.4999999999999928E-2</v>
      </c>
      <c r="AD21" s="19">
        <f t="shared" si="28"/>
        <v>5.000000000000001E-2</v>
      </c>
      <c r="AE21" s="19">
        <f t="shared" si="28"/>
        <v>5.0000000000000072E-2</v>
      </c>
      <c r="AF21" s="19">
        <f t="shared" si="28"/>
        <v>5.0000000000000142E-2</v>
      </c>
      <c r="AG21" s="19">
        <f t="shared" si="28"/>
        <v>5.00000000000001E-2</v>
      </c>
      <c r="AH21" s="19">
        <f t="shared" si="28"/>
        <v>5.0000000000000065E-2</v>
      </c>
      <c r="AI21" s="19">
        <f t="shared" si="28"/>
        <v>5.0000000000000218E-2</v>
      </c>
      <c r="AJ21" s="19">
        <f t="shared" si="28"/>
        <v>4.9999999999999906E-2</v>
      </c>
      <c r="AK21" s="19">
        <f t="shared" si="28"/>
        <v>4.9999999999999947E-2</v>
      </c>
      <c r="AL21" s="19">
        <f t="shared" si="28"/>
        <v>5.000000000000019E-2</v>
      </c>
      <c r="AN21" s="32" t="s">
        <v>108</v>
      </c>
      <c r="AO21" s="34">
        <f>NPV(AO19,AB16:FP16)</f>
        <v>16478.38453434355</v>
      </c>
    </row>
    <row r="22" spans="3:42" x14ac:dyDescent="0.25">
      <c r="C22" s="2" t="s">
        <v>23</v>
      </c>
      <c r="D22" s="9">
        <f t="shared" ref="D22:M22" si="29">D6/D4</f>
        <v>0.89884020618556704</v>
      </c>
      <c r="E22" s="9">
        <f t="shared" si="29"/>
        <v>0.90299430833951988</v>
      </c>
      <c r="F22" s="9">
        <f t="shared" si="29"/>
        <v>0.91251489868891533</v>
      </c>
      <c r="G22" s="9">
        <f t="shared" si="29"/>
        <v>0.9137889973803287</v>
      </c>
      <c r="H22" s="9">
        <f t="shared" si="29"/>
        <v>0.90583090379008746</v>
      </c>
      <c r="I22" s="9">
        <f t="shared" si="29"/>
        <v>0.90277464471012858</v>
      </c>
      <c r="J22" s="9">
        <f t="shared" si="29"/>
        <v>0.91675699111207454</v>
      </c>
      <c r="K22" s="9">
        <f t="shared" si="29"/>
        <v>0.92071663920922575</v>
      </c>
      <c r="L22" s="9">
        <f t="shared" si="29"/>
        <v>0.90942217595002606</v>
      </c>
      <c r="M22" s="9">
        <f t="shared" si="29"/>
        <v>0.90467661691542289</v>
      </c>
      <c r="N22" s="23">
        <f>N6/N4</f>
        <v>0.91681556482032955</v>
      </c>
      <c r="V22" s="9">
        <f t="shared" ref="V22:Z22" si="30">V6/V4</f>
        <v>0.91489543320529232</v>
      </c>
      <c r="W22" s="9">
        <f t="shared" si="30"/>
        <v>0.91907749979626763</v>
      </c>
      <c r="X22" s="9">
        <f t="shared" si="30"/>
        <v>0.91604197901049478</v>
      </c>
      <c r="Y22" s="9">
        <f t="shared" si="30"/>
        <v>0.91115140525838623</v>
      </c>
      <c r="Z22" s="9">
        <f t="shared" si="30"/>
        <v>0.90765171503957787</v>
      </c>
      <c r="AA22" s="9">
        <f>AA6/AA4</f>
        <v>0.91212785598892221</v>
      </c>
      <c r="AB22" s="23">
        <f t="shared" ref="AB22:AL22" si="31">AB6/AB4</f>
        <v>0.9</v>
      </c>
      <c r="AC22" s="9">
        <f t="shared" si="31"/>
        <v>0.89999999999999991</v>
      </c>
      <c r="AD22" s="9">
        <f t="shared" si="31"/>
        <v>0.9</v>
      </c>
      <c r="AE22" s="9">
        <f t="shared" si="31"/>
        <v>0.9</v>
      </c>
      <c r="AF22" s="9">
        <f t="shared" si="31"/>
        <v>0.9</v>
      </c>
      <c r="AG22" s="9">
        <f t="shared" si="31"/>
        <v>0.9</v>
      </c>
      <c r="AH22" s="9">
        <f t="shared" si="31"/>
        <v>0.89999999999999991</v>
      </c>
      <c r="AI22" s="9">
        <f t="shared" si="31"/>
        <v>0.9</v>
      </c>
      <c r="AJ22" s="9">
        <f t="shared" si="31"/>
        <v>0.9</v>
      </c>
      <c r="AK22" s="9">
        <f t="shared" si="31"/>
        <v>0.89999999999999991</v>
      </c>
      <c r="AL22" s="9">
        <f t="shared" si="31"/>
        <v>0.9</v>
      </c>
      <c r="AN22" s="2" t="s">
        <v>2</v>
      </c>
      <c r="AO22" s="33">
        <v>105.5</v>
      </c>
      <c r="AP22" s="27"/>
    </row>
    <row r="23" spans="3:42" x14ac:dyDescent="0.25">
      <c r="C23" s="2" t="s">
        <v>4</v>
      </c>
      <c r="D23" s="9">
        <f t="shared" ref="D23:M23" si="32">D12/D4</f>
        <v>7.6997422680412375E-2</v>
      </c>
      <c r="E23" s="9">
        <f t="shared" si="32"/>
        <v>6.582529076961148E-2</v>
      </c>
      <c r="F23" s="9">
        <f t="shared" si="32"/>
        <v>8.6054827175208584E-2</v>
      </c>
      <c r="G23" s="9">
        <f t="shared" si="32"/>
        <v>9.6213384139080732E-2</v>
      </c>
      <c r="H23" s="9">
        <f t="shared" si="32"/>
        <v>6.7346938775510207E-2</v>
      </c>
      <c r="I23" s="9">
        <f t="shared" si="32"/>
        <v>6.9027746447101287E-2</v>
      </c>
      <c r="J23" s="9">
        <f t="shared" si="32"/>
        <v>9.1263819640147403E-2</v>
      </c>
      <c r="K23" s="9">
        <f t="shared" si="32"/>
        <v>0.10955518945634267</v>
      </c>
      <c r="L23" s="9">
        <f t="shared" si="32"/>
        <v>7.0796460176991149E-2</v>
      </c>
      <c r="M23" s="9">
        <f t="shared" si="32"/>
        <v>8.0199004975124374E-2</v>
      </c>
      <c r="N23" s="23">
        <f>N12/N4</f>
        <v>9.9463966646813576E-2</v>
      </c>
      <c r="V23" s="9">
        <f t="shared" ref="V23:Z23" si="33">V12/V4</f>
        <v>5.4118651301749893E-2</v>
      </c>
      <c r="W23" s="9">
        <f t="shared" si="33"/>
        <v>7.9211148235677611E-2</v>
      </c>
      <c r="X23" s="9">
        <f t="shared" si="33"/>
        <v>8.8080959520239879E-2</v>
      </c>
      <c r="Y23" s="9">
        <f t="shared" si="33"/>
        <v>8.543134109770556E-2</v>
      </c>
      <c r="Z23" s="9">
        <f t="shared" si="33"/>
        <v>8.1665486839564969E-2</v>
      </c>
      <c r="AA23" s="9">
        <f>AA12/AA4</f>
        <v>8.5968151396261253E-2</v>
      </c>
      <c r="AB23" s="23">
        <f t="shared" ref="AB23:AL23" si="34">AB12/AB4</f>
        <v>7.3840295407338968E-2</v>
      </c>
      <c r="AC23" s="9">
        <f t="shared" si="34"/>
        <v>7.3840295407338996E-2</v>
      </c>
      <c r="AD23" s="9">
        <f t="shared" si="34"/>
        <v>7.3840295407339107E-2</v>
      </c>
      <c r="AE23" s="9">
        <f t="shared" si="34"/>
        <v>7.3840295407339107E-2</v>
      </c>
      <c r="AF23" s="9">
        <f t="shared" si="34"/>
        <v>7.3840295407339065E-2</v>
      </c>
      <c r="AG23" s="9">
        <f t="shared" si="34"/>
        <v>7.3840295407339065E-2</v>
      </c>
      <c r="AH23" s="9">
        <f t="shared" si="34"/>
        <v>7.3840295407339079E-2</v>
      </c>
      <c r="AI23" s="9">
        <f t="shared" si="34"/>
        <v>7.3840295407338982E-2</v>
      </c>
      <c r="AJ23" s="9">
        <f t="shared" si="34"/>
        <v>7.3840295407339038E-2</v>
      </c>
      <c r="AK23" s="9">
        <f t="shared" si="34"/>
        <v>7.3840295407339093E-2</v>
      </c>
      <c r="AL23" s="9">
        <f t="shared" si="34"/>
        <v>7.384029540733901E-2</v>
      </c>
      <c r="AN23" s="2" t="s">
        <v>109</v>
      </c>
      <c r="AO23" s="35">
        <f>AO21/AO22</f>
        <v>156.19321833500996</v>
      </c>
    </row>
    <row r="24" spans="3:42" x14ac:dyDescent="0.25">
      <c r="AN24" s="1" t="s">
        <v>110</v>
      </c>
      <c r="AO24" s="17">
        <f>(AO23-B4)/B4</f>
        <v>0.81620021319779024</v>
      </c>
    </row>
    <row r="25" spans="3:42" x14ac:dyDescent="0.25">
      <c r="C25" s="3" t="s">
        <v>12</v>
      </c>
      <c r="D25" s="13"/>
      <c r="E25" s="13"/>
      <c r="F25" s="13"/>
      <c r="G25" s="13"/>
      <c r="H25" s="13"/>
      <c r="I25" s="13"/>
      <c r="K25" s="13"/>
      <c r="L25" s="13"/>
      <c r="M25" s="1"/>
      <c r="N25" s="24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3:42" x14ac:dyDescent="0.25">
      <c r="C26" s="2" t="s">
        <v>61</v>
      </c>
      <c r="D26" s="13">
        <v>6687</v>
      </c>
      <c r="E26" s="13">
        <v>6758</v>
      </c>
      <c r="F26" s="13">
        <v>6670</v>
      </c>
      <c r="G26" s="13">
        <v>6695</v>
      </c>
      <c r="H26" s="13">
        <v>6984</v>
      </c>
      <c r="I26" s="13">
        <v>7056</v>
      </c>
      <c r="J26" s="13">
        <v>7632</v>
      </c>
      <c r="K26" s="13">
        <v>7627</v>
      </c>
      <c r="L26" s="13">
        <v>7655</v>
      </c>
      <c r="M26" s="13">
        <v>7673</v>
      </c>
      <c r="N26" s="14">
        <v>7595</v>
      </c>
    </row>
    <row r="27" spans="3:42" x14ac:dyDescent="0.25">
      <c r="C27" s="2" t="s">
        <v>62</v>
      </c>
      <c r="D27" s="13">
        <v>1066</v>
      </c>
      <c r="E27" s="13">
        <v>1138</v>
      </c>
      <c r="F27" s="13">
        <v>1148</v>
      </c>
      <c r="G27" s="13">
        <v>1170</v>
      </c>
      <c r="H27" s="13">
        <v>1165</v>
      </c>
      <c r="I27" s="13">
        <v>1082</v>
      </c>
      <c r="J27" s="13">
        <v>1092</v>
      </c>
      <c r="K27" s="13">
        <v>1108</v>
      </c>
      <c r="L27" s="13">
        <v>1082</v>
      </c>
      <c r="M27" s="13">
        <v>1102</v>
      </c>
      <c r="N27" s="14">
        <v>1087</v>
      </c>
    </row>
    <row r="28" spans="3:42" x14ac:dyDescent="0.25">
      <c r="C28" s="2" t="s">
        <v>63</v>
      </c>
      <c r="D28" s="13">
        <v>8946</v>
      </c>
      <c r="E28" s="13">
        <v>8987</v>
      </c>
      <c r="F28" s="13">
        <v>9368</v>
      </c>
      <c r="G28" s="13">
        <v>9119</v>
      </c>
      <c r="H28" s="13">
        <v>9696</v>
      </c>
      <c r="I28" s="13">
        <v>9477</v>
      </c>
      <c r="J28" s="13">
        <v>10806</v>
      </c>
      <c r="K28" s="13">
        <v>10474</v>
      </c>
      <c r="L28" s="13">
        <v>10978</v>
      </c>
      <c r="M28" s="13">
        <v>10736</v>
      </c>
      <c r="N28" s="14">
        <v>10133</v>
      </c>
    </row>
    <row r="29" spans="3:42" x14ac:dyDescent="0.25">
      <c r="C29" s="2" t="s">
        <v>64</v>
      </c>
      <c r="D29" s="13">
        <v>1011</v>
      </c>
      <c r="E29" s="13">
        <v>1049</v>
      </c>
      <c r="F29" s="13">
        <v>1034</v>
      </c>
      <c r="G29" s="13">
        <v>1035</v>
      </c>
      <c r="H29" s="13">
        <v>1078</v>
      </c>
      <c r="I29" s="13">
        <v>1070</v>
      </c>
      <c r="J29" s="13">
        <v>1071</v>
      </c>
      <c r="K29" s="13">
        <v>1071</v>
      </c>
      <c r="L29" s="13">
        <v>1090</v>
      </c>
      <c r="M29" s="13">
        <v>1095</v>
      </c>
      <c r="N29" s="14">
        <v>1059</v>
      </c>
    </row>
    <row r="30" spans="3:42" x14ac:dyDescent="0.25">
      <c r="C30" s="2" t="s">
        <v>65</v>
      </c>
      <c r="D30" s="13">
        <v>102</v>
      </c>
      <c r="E30" s="13">
        <v>102</v>
      </c>
      <c r="F30" s="13">
        <v>96</v>
      </c>
      <c r="G30" s="13">
        <v>92</v>
      </c>
      <c r="H30" s="13">
        <v>119</v>
      </c>
      <c r="I30" s="13">
        <v>119</v>
      </c>
      <c r="J30" s="13">
        <v>169</v>
      </c>
      <c r="K30" s="13">
        <v>170</v>
      </c>
      <c r="L30" s="13">
        <v>187</v>
      </c>
      <c r="M30" s="13">
        <v>194</v>
      </c>
      <c r="N30" s="14">
        <v>178</v>
      </c>
    </row>
    <row r="31" spans="3:42" x14ac:dyDescent="0.25">
      <c r="C31" s="2" t="s">
        <v>24</v>
      </c>
      <c r="D31" s="13">
        <v>989</v>
      </c>
      <c r="E31" s="13">
        <v>740</v>
      </c>
      <c r="F31" s="13">
        <v>901</v>
      </c>
      <c r="G31" s="13">
        <v>840</v>
      </c>
      <c r="H31" s="13">
        <v>1173</v>
      </c>
      <c r="I31" s="13">
        <v>895</v>
      </c>
      <c r="J31" s="13">
        <v>1132</v>
      </c>
      <c r="K31" s="13">
        <v>964</v>
      </c>
      <c r="L31" s="13">
        <v>1305</v>
      </c>
      <c r="M31" s="13">
        <v>1018</v>
      </c>
      <c r="N31" s="14">
        <v>1122</v>
      </c>
    </row>
    <row r="32" spans="3:42" x14ac:dyDescent="0.25">
      <c r="C32" s="2" t="s">
        <v>25</v>
      </c>
      <c r="D32" s="13">
        <v>907</v>
      </c>
      <c r="E32" s="13">
        <v>818</v>
      </c>
      <c r="F32" s="13">
        <v>872</v>
      </c>
      <c r="G32" s="13">
        <v>967</v>
      </c>
      <c r="H32" s="13">
        <v>969</v>
      </c>
      <c r="I32" s="13">
        <v>1108</v>
      </c>
      <c r="J32" s="13">
        <v>1243</v>
      </c>
      <c r="K32" s="13">
        <v>1316</v>
      </c>
      <c r="L32" s="13">
        <v>1047</v>
      </c>
      <c r="M32" s="13">
        <v>1200</v>
      </c>
      <c r="N32" s="14">
        <v>1001</v>
      </c>
    </row>
    <row r="33" spans="3:27" x14ac:dyDescent="0.25">
      <c r="C33" s="1" t="s">
        <v>26</v>
      </c>
      <c r="D33" s="11">
        <f t="shared" ref="D33:M33" si="35">SUM(D26:D32)</f>
        <v>19708</v>
      </c>
      <c r="E33" s="11">
        <f t="shared" si="35"/>
        <v>19592</v>
      </c>
      <c r="F33" s="11">
        <f t="shared" si="35"/>
        <v>20089</v>
      </c>
      <c r="G33" s="11">
        <f t="shared" si="35"/>
        <v>19918</v>
      </c>
      <c r="H33" s="11">
        <f t="shared" si="35"/>
        <v>21184</v>
      </c>
      <c r="I33" s="11">
        <f t="shared" si="35"/>
        <v>20807</v>
      </c>
      <c r="J33" s="11">
        <f>SUM(J26:J32)</f>
        <v>23145</v>
      </c>
      <c r="K33" s="11">
        <f t="shared" si="35"/>
        <v>22730</v>
      </c>
      <c r="L33" s="11">
        <f t="shared" si="35"/>
        <v>23344</v>
      </c>
      <c r="M33" s="11">
        <f t="shared" si="35"/>
        <v>23018</v>
      </c>
      <c r="N33" s="12">
        <f>SUM(N26:N32)</f>
        <v>22175</v>
      </c>
    </row>
    <row r="34" spans="3:27" x14ac:dyDescent="0.25">
      <c r="C34" s="10" t="s">
        <v>66</v>
      </c>
      <c r="D34" s="15">
        <v>5835</v>
      </c>
      <c r="E34" s="15">
        <v>5772</v>
      </c>
      <c r="F34" s="15">
        <v>5905</v>
      </c>
      <c r="G34" s="15">
        <v>6134</v>
      </c>
      <c r="H34" s="15">
        <v>6173</v>
      </c>
      <c r="I34" s="15">
        <v>6069</v>
      </c>
      <c r="J34" s="15">
        <v>6031</v>
      </c>
      <c r="K34" s="15">
        <v>6265</v>
      </c>
      <c r="L34" s="15">
        <v>6324</v>
      </c>
      <c r="M34" s="15">
        <v>6336</v>
      </c>
      <c r="N34" s="25">
        <v>6292</v>
      </c>
    </row>
    <row r="35" spans="3:27" x14ac:dyDescent="0.25">
      <c r="C35" s="2" t="s">
        <v>67</v>
      </c>
      <c r="D35" s="13">
        <v>1559</v>
      </c>
      <c r="E35" s="13">
        <v>1532</v>
      </c>
      <c r="F35" s="13">
        <v>1462</v>
      </c>
      <c r="G35" s="13">
        <v>1424</v>
      </c>
      <c r="H35" s="13">
        <v>1421</v>
      </c>
      <c r="I35" s="13">
        <v>1715</v>
      </c>
      <c r="J35" s="13">
        <v>1716</v>
      </c>
      <c r="K35" s="13">
        <v>1660</v>
      </c>
      <c r="L35" s="13">
        <v>1626</v>
      </c>
      <c r="M35" s="13">
        <v>1632</v>
      </c>
      <c r="N35" s="14">
        <v>1538</v>
      </c>
    </row>
    <row r="36" spans="3:27" x14ac:dyDescent="0.25">
      <c r="C36" s="2" t="s">
        <v>68</v>
      </c>
      <c r="D36" s="13">
        <v>8004</v>
      </c>
      <c r="E36" s="13">
        <v>8069</v>
      </c>
      <c r="F36" s="13">
        <v>8410</v>
      </c>
      <c r="G36" s="13">
        <v>8203</v>
      </c>
      <c r="H36" s="13">
        <v>8671</v>
      </c>
      <c r="I36" s="13">
        <v>8478</v>
      </c>
      <c r="J36" s="13">
        <v>9712</v>
      </c>
      <c r="K36" s="13">
        <v>9408</v>
      </c>
      <c r="L36" s="13">
        <v>9873</v>
      </c>
      <c r="M36" s="13">
        <v>9697</v>
      </c>
      <c r="N36" s="14">
        <v>9146</v>
      </c>
    </row>
    <row r="37" spans="3:27" x14ac:dyDescent="0.25">
      <c r="C37" s="2" t="s">
        <v>69</v>
      </c>
      <c r="D37" s="13">
        <v>244</v>
      </c>
      <c r="E37" s="13">
        <v>229</v>
      </c>
      <c r="F37" s="13">
        <v>197</v>
      </c>
      <c r="G37" s="13">
        <v>180</v>
      </c>
      <c r="H37" s="13">
        <v>196</v>
      </c>
      <c r="I37" s="13">
        <v>179</v>
      </c>
      <c r="J37" s="13">
        <v>271</v>
      </c>
      <c r="K37" s="13">
        <v>409</v>
      </c>
      <c r="L37" s="13">
        <v>406</v>
      </c>
      <c r="M37" s="13">
        <v>371</v>
      </c>
      <c r="N37" s="14">
        <v>275</v>
      </c>
    </row>
    <row r="38" spans="3:27" x14ac:dyDescent="0.25">
      <c r="C38" s="2" t="s">
        <v>70</v>
      </c>
      <c r="D38" s="13">
        <v>345</v>
      </c>
      <c r="E38" s="13">
        <v>348</v>
      </c>
      <c r="F38" s="13">
        <v>346</v>
      </c>
      <c r="G38" s="13">
        <v>167</v>
      </c>
      <c r="H38" s="13">
        <v>529</v>
      </c>
      <c r="I38" s="13">
        <v>147</v>
      </c>
      <c r="J38" s="13">
        <v>746</v>
      </c>
      <c r="K38" s="13">
        <v>446</v>
      </c>
      <c r="L38" s="13">
        <v>537</v>
      </c>
      <c r="M38" s="13">
        <v>351</v>
      </c>
      <c r="N38" s="14">
        <v>439</v>
      </c>
    </row>
    <row r="39" spans="3:27" x14ac:dyDescent="0.25">
      <c r="C39" s="2" t="s">
        <v>71</v>
      </c>
      <c r="D39" s="13">
        <v>1378</v>
      </c>
      <c r="E39" s="13">
        <v>1251</v>
      </c>
      <c r="F39" s="13">
        <v>1306</v>
      </c>
      <c r="G39" s="13">
        <v>1309</v>
      </c>
      <c r="H39" s="13">
        <v>1462</v>
      </c>
      <c r="I39" s="13">
        <v>1526</v>
      </c>
      <c r="J39" s="13">
        <v>1664</v>
      </c>
      <c r="K39" s="13">
        <v>1574</v>
      </c>
      <c r="L39" s="13">
        <v>1639</v>
      </c>
      <c r="M39" s="13">
        <v>1625</v>
      </c>
      <c r="N39" s="14">
        <v>1592</v>
      </c>
    </row>
    <row r="40" spans="3:27" x14ac:dyDescent="0.25">
      <c r="C40" s="2" t="s">
        <v>27</v>
      </c>
      <c r="D40" s="13">
        <v>2344</v>
      </c>
      <c r="E40" s="13">
        <v>2392</v>
      </c>
      <c r="F40" s="13">
        <v>2462</v>
      </c>
      <c r="G40" s="13">
        <v>2501</v>
      </c>
      <c r="H40" s="13">
        <v>2732</v>
      </c>
      <c r="I40" s="13">
        <v>2793</v>
      </c>
      <c r="J40" s="13">
        <v>3004</v>
      </c>
      <c r="K40" s="13">
        <v>2967</v>
      </c>
      <c r="L40" s="13">
        <v>2939</v>
      </c>
      <c r="M40" s="13">
        <v>3006</v>
      </c>
      <c r="N40" s="14">
        <v>2893</v>
      </c>
    </row>
    <row r="41" spans="3:27" x14ac:dyDescent="0.25">
      <c r="C41" s="10" t="s">
        <v>28</v>
      </c>
      <c r="D41" s="15">
        <f t="shared" ref="D41:M41" si="36">SUM(D35:D40)</f>
        <v>13874</v>
      </c>
      <c r="E41" s="15">
        <f t="shared" si="36"/>
        <v>13821</v>
      </c>
      <c r="F41" s="15">
        <f t="shared" si="36"/>
        <v>14183</v>
      </c>
      <c r="G41" s="15">
        <f t="shared" si="36"/>
        <v>13784</v>
      </c>
      <c r="H41" s="15">
        <f t="shared" si="36"/>
        <v>15011</v>
      </c>
      <c r="I41" s="15">
        <f t="shared" si="36"/>
        <v>14838</v>
      </c>
      <c r="J41" s="15">
        <f t="shared" si="36"/>
        <v>17113</v>
      </c>
      <c r="K41" s="15">
        <f t="shared" si="36"/>
        <v>16464</v>
      </c>
      <c r="L41" s="15">
        <f t="shared" si="36"/>
        <v>17020</v>
      </c>
      <c r="M41" s="15">
        <f t="shared" si="36"/>
        <v>16682</v>
      </c>
      <c r="N41" s="25">
        <f>SUM(N35:N40)</f>
        <v>15883</v>
      </c>
    </row>
    <row r="42" spans="3:27" x14ac:dyDescent="0.25">
      <c r="C42" s="1" t="s">
        <v>29</v>
      </c>
      <c r="D42" s="11">
        <f t="shared" ref="D42:M42" si="37">D34+D41</f>
        <v>19709</v>
      </c>
      <c r="E42" s="11">
        <f t="shared" si="37"/>
        <v>19593</v>
      </c>
      <c r="F42" s="11">
        <f t="shared" si="37"/>
        <v>20088</v>
      </c>
      <c r="G42" s="11">
        <f t="shared" si="37"/>
        <v>19918</v>
      </c>
      <c r="H42" s="11">
        <f t="shared" si="37"/>
        <v>21184</v>
      </c>
      <c r="I42" s="11">
        <f t="shared" si="37"/>
        <v>20907</v>
      </c>
      <c r="J42" s="11">
        <f t="shared" si="37"/>
        <v>23144</v>
      </c>
      <c r="K42" s="11">
        <f t="shared" si="37"/>
        <v>22729</v>
      </c>
      <c r="L42" s="11">
        <f t="shared" si="37"/>
        <v>23344</v>
      </c>
      <c r="M42" s="11">
        <f t="shared" si="37"/>
        <v>23018</v>
      </c>
      <c r="N42" s="12">
        <f>N34+N41</f>
        <v>22175</v>
      </c>
    </row>
    <row r="43" spans="3:27" x14ac:dyDescent="0.25">
      <c r="C43" s="10"/>
      <c r="D43" s="13"/>
      <c r="E43" s="13"/>
      <c r="F43" s="13"/>
      <c r="G43" s="13"/>
      <c r="H43" s="13"/>
      <c r="I43" s="13"/>
      <c r="J43" s="13"/>
      <c r="K43" s="13"/>
      <c r="L43" s="13"/>
    </row>
    <row r="44" spans="3:27" x14ac:dyDescent="0.25">
      <c r="C44" s="3" t="s">
        <v>13</v>
      </c>
      <c r="D44" s="13"/>
      <c r="E44" s="13"/>
      <c r="F44" s="13"/>
      <c r="G44" s="13"/>
      <c r="H44" s="13"/>
      <c r="I44" s="13"/>
      <c r="J44" s="13"/>
      <c r="K44" s="13"/>
      <c r="L44" s="13"/>
    </row>
    <row r="45" spans="3:27" x14ac:dyDescent="0.25">
      <c r="C45" s="2" t="s">
        <v>30</v>
      </c>
      <c r="D45" s="13">
        <f t="shared" ref="D45:M45" si="38">D12</f>
        <v>239</v>
      </c>
      <c r="E45" s="13">
        <f t="shared" si="38"/>
        <v>266</v>
      </c>
      <c r="F45" s="13">
        <f t="shared" si="38"/>
        <v>361</v>
      </c>
      <c r="G45" s="13">
        <f t="shared" si="38"/>
        <v>404</v>
      </c>
      <c r="H45" s="13">
        <f t="shared" si="38"/>
        <v>231</v>
      </c>
      <c r="I45" s="13">
        <f t="shared" si="38"/>
        <v>306</v>
      </c>
      <c r="J45" s="13">
        <f t="shared" si="38"/>
        <v>421</v>
      </c>
      <c r="K45" s="13">
        <f t="shared" si="38"/>
        <v>532</v>
      </c>
      <c r="L45" s="13">
        <f t="shared" si="38"/>
        <v>272</v>
      </c>
      <c r="M45" s="13">
        <f t="shared" si="38"/>
        <v>403</v>
      </c>
      <c r="N45" s="14">
        <f>N12</f>
        <v>501</v>
      </c>
      <c r="V45" s="13">
        <f t="shared" ref="V45:Z45" si="39">V12</f>
        <v>634</v>
      </c>
      <c r="W45" s="13">
        <f t="shared" si="39"/>
        <v>972</v>
      </c>
      <c r="X45" s="13">
        <f t="shared" si="39"/>
        <v>1175</v>
      </c>
      <c r="Y45" s="13">
        <f t="shared" si="39"/>
        <v>1225</v>
      </c>
      <c r="Z45" s="13">
        <f t="shared" si="39"/>
        <v>1269</v>
      </c>
      <c r="AA45" s="13">
        <f>AA12</f>
        <v>1490</v>
      </c>
    </row>
    <row r="46" spans="3:27" x14ac:dyDescent="0.25">
      <c r="C46" s="2" t="s">
        <v>31</v>
      </c>
      <c r="D46" s="13">
        <v>239</v>
      </c>
      <c r="E46" s="13">
        <v>266</v>
      </c>
      <c r="F46" s="13">
        <v>361</v>
      </c>
      <c r="G46" s="13">
        <v>404</v>
      </c>
      <c r="H46" s="13">
        <v>232</v>
      </c>
      <c r="I46" s="13">
        <v>305</v>
      </c>
      <c r="J46" s="13">
        <v>422</v>
      </c>
      <c r="K46" s="13">
        <v>532</v>
      </c>
      <c r="L46" s="13">
        <v>272</v>
      </c>
      <c r="M46" s="2">
        <v>402</v>
      </c>
      <c r="N46" s="4">
        <v>499</v>
      </c>
      <c r="V46" s="13">
        <v>635</v>
      </c>
      <c r="W46" s="13">
        <v>973</v>
      </c>
      <c r="X46" s="13">
        <v>1174</v>
      </c>
      <c r="Y46" s="13">
        <v>1224</v>
      </c>
      <c r="Z46" s="13">
        <v>1270</v>
      </c>
      <c r="AA46" s="13">
        <v>1490</v>
      </c>
    </row>
    <row r="47" spans="3:27" x14ac:dyDescent="0.25">
      <c r="C47" s="2" t="s">
        <v>49</v>
      </c>
      <c r="D47" s="13">
        <v>448</v>
      </c>
      <c r="E47" s="13">
        <v>474</v>
      </c>
      <c r="F47" s="13">
        <v>507</v>
      </c>
      <c r="G47" s="13">
        <v>495</v>
      </c>
      <c r="H47" s="13">
        <v>498</v>
      </c>
      <c r="I47" s="13">
        <v>526</v>
      </c>
      <c r="J47" s="13">
        <v>556</v>
      </c>
      <c r="K47" s="13">
        <v>580</v>
      </c>
      <c r="L47" s="13">
        <v>577</v>
      </c>
      <c r="M47" s="2">
        <v>604</v>
      </c>
      <c r="N47" s="4">
        <v>583</v>
      </c>
      <c r="V47" s="13">
        <v>296</v>
      </c>
      <c r="W47" s="13">
        <v>1513</v>
      </c>
      <c r="X47" s="13">
        <v>1580</v>
      </c>
      <c r="Y47" s="13">
        <v>1755</v>
      </c>
      <c r="Z47" s="13">
        <v>1924</v>
      </c>
      <c r="AA47" s="13">
        <v>2159</v>
      </c>
    </row>
    <row r="48" spans="3:27" x14ac:dyDescent="0.25">
      <c r="C48" s="2" t="s">
        <v>72</v>
      </c>
      <c r="D48" s="13">
        <v>-13</v>
      </c>
      <c r="E48" s="13">
        <v>-11</v>
      </c>
      <c r="F48" s="13">
        <v>-23</v>
      </c>
      <c r="G48" s="13">
        <v>-11</v>
      </c>
      <c r="H48" s="13">
        <v>-4</v>
      </c>
      <c r="I48" s="13">
        <v>-19</v>
      </c>
      <c r="J48" s="13">
        <v>-11</v>
      </c>
      <c r="K48" s="13">
        <v>30</v>
      </c>
      <c r="L48" s="13">
        <v>6</v>
      </c>
      <c r="M48" s="2">
        <v>-29</v>
      </c>
      <c r="N48" s="4">
        <v>-8</v>
      </c>
      <c r="V48" s="13">
        <v>-14</v>
      </c>
      <c r="W48" s="13">
        <v>-54</v>
      </c>
      <c r="X48" s="13">
        <v>24</v>
      </c>
      <c r="Y48" s="13">
        <v>37</v>
      </c>
      <c r="Z48" s="13">
        <v>-57</v>
      </c>
      <c r="AA48" s="13">
        <v>-4</v>
      </c>
    </row>
    <row r="49" spans="3:27" x14ac:dyDescent="0.25">
      <c r="C49" s="2" t="s">
        <v>32</v>
      </c>
      <c r="D49" s="13">
        <v>-71</v>
      </c>
      <c r="E49" s="13">
        <v>-77</v>
      </c>
      <c r="F49" s="13">
        <v>-97</v>
      </c>
      <c r="G49" s="13">
        <v>-32</v>
      </c>
      <c r="H49" s="13">
        <v>-67</v>
      </c>
      <c r="I49" s="13">
        <v>-68</v>
      </c>
      <c r="J49" s="13">
        <v>-93</v>
      </c>
      <c r="K49" s="13">
        <v>-26</v>
      </c>
      <c r="L49" s="13">
        <v>-80</v>
      </c>
      <c r="M49" s="2">
        <v>-83</v>
      </c>
      <c r="N49" s="4">
        <v>-96</v>
      </c>
      <c r="V49" s="13">
        <v>-132</v>
      </c>
      <c r="W49" s="13">
        <v>-120</v>
      </c>
      <c r="X49" s="13">
        <v>-146</v>
      </c>
      <c r="Y49" s="13">
        <v>-179</v>
      </c>
      <c r="Z49" s="13">
        <v>-276</v>
      </c>
      <c r="AA49" s="13">
        <v>-255</v>
      </c>
    </row>
    <row r="50" spans="3:27" x14ac:dyDescent="0.25">
      <c r="C50" s="2" t="s">
        <v>33</v>
      </c>
      <c r="D50" s="13">
        <v>-286</v>
      </c>
      <c r="E50" s="13">
        <v>275</v>
      </c>
      <c r="F50" s="13">
        <v>-35</v>
      </c>
      <c r="G50" s="13">
        <v>81</v>
      </c>
      <c r="H50" s="13">
        <v>-227</v>
      </c>
      <c r="I50" s="13">
        <v>399</v>
      </c>
      <c r="J50" s="13">
        <v>-188</v>
      </c>
      <c r="K50" s="13">
        <v>130</v>
      </c>
      <c r="L50" s="13">
        <v>-322</v>
      </c>
      <c r="M50" s="2">
        <v>376</v>
      </c>
      <c r="N50" s="4">
        <v>-145</v>
      </c>
      <c r="V50" s="13">
        <f>-91-10</f>
        <v>-101</v>
      </c>
      <c r="W50" s="13">
        <f>54+156</f>
        <v>210</v>
      </c>
      <c r="X50" s="13">
        <f>-14+254</f>
        <v>240</v>
      </c>
      <c r="Y50" s="13">
        <f>-1+27-32</f>
        <v>-6</v>
      </c>
      <c r="Z50" s="13">
        <f>-3-64+101</f>
        <v>34</v>
      </c>
      <c r="AA50" s="13">
        <f>3+23+87</f>
        <v>113</v>
      </c>
    </row>
    <row r="51" spans="3:27" x14ac:dyDescent="0.25">
      <c r="C51" s="1" t="s">
        <v>34</v>
      </c>
      <c r="D51" s="1">
        <f t="shared" ref="D51:M51" si="40">SUM(D46:D50)</f>
        <v>317</v>
      </c>
      <c r="E51" s="1">
        <f t="shared" si="40"/>
        <v>927</v>
      </c>
      <c r="F51" s="1">
        <f t="shared" si="40"/>
        <v>713</v>
      </c>
      <c r="G51" s="1">
        <f t="shared" si="40"/>
        <v>937</v>
      </c>
      <c r="H51" s="1">
        <f t="shared" si="40"/>
        <v>432</v>
      </c>
      <c r="I51" s="1">
        <f t="shared" si="40"/>
        <v>1143</v>
      </c>
      <c r="J51" s="1">
        <f t="shared" si="40"/>
        <v>686</v>
      </c>
      <c r="K51" s="1">
        <f t="shared" si="40"/>
        <v>1246</v>
      </c>
      <c r="L51" s="1">
        <f t="shared" si="40"/>
        <v>453</v>
      </c>
      <c r="M51" s="1">
        <f t="shared" si="40"/>
        <v>1270</v>
      </c>
      <c r="N51" s="24">
        <f>SUM(N46:N50)</f>
        <v>833</v>
      </c>
      <c r="V51" s="11">
        <f t="shared" ref="V51:Z51" si="41">SUM(V46:V50)</f>
        <v>684</v>
      </c>
      <c r="W51" s="11">
        <f t="shared" si="41"/>
        <v>2522</v>
      </c>
      <c r="X51" s="11">
        <f t="shared" si="41"/>
        <v>2872</v>
      </c>
      <c r="Y51" s="11">
        <f t="shared" si="41"/>
        <v>2831</v>
      </c>
      <c r="Z51" s="11">
        <f t="shared" si="41"/>
        <v>2895</v>
      </c>
      <c r="AA51" s="11">
        <f>SUM(AA46:AA50)</f>
        <v>3503</v>
      </c>
    </row>
    <row r="52" spans="3:27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4"/>
      <c r="V52" s="11"/>
      <c r="W52" s="11"/>
      <c r="X52" s="11"/>
      <c r="Y52" s="11"/>
      <c r="Z52" s="11"/>
      <c r="AA52" s="11"/>
    </row>
    <row r="53" spans="3:27" x14ac:dyDescent="0.25">
      <c r="C53" s="2" t="s">
        <v>35</v>
      </c>
      <c r="D53" s="13">
        <v>-170</v>
      </c>
      <c r="E53" s="13">
        <v>-146</v>
      </c>
      <c r="F53" s="13">
        <v>-91</v>
      </c>
      <c r="G53" s="13">
        <v>-74</v>
      </c>
      <c r="H53" s="13">
        <v>-261</v>
      </c>
      <c r="I53" s="13">
        <v>-154</v>
      </c>
      <c r="J53" s="13">
        <f>-325-4-22-19-1</f>
        <v>-371</v>
      </c>
      <c r="K53" s="13">
        <v>-84</v>
      </c>
      <c r="L53" s="13">
        <v>-170</v>
      </c>
      <c r="M53" s="2">
        <v>-105</v>
      </c>
      <c r="N53" s="4">
        <f>-60-18-23-23-4</f>
        <v>-128</v>
      </c>
      <c r="V53" s="13">
        <f>-34-197-174-131-22</f>
        <v>-558</v>
      </c>
      <c r="W53" s="13">
        <f>-51-60-134-115-17+3</f>
        <v>-374</v>
      </c>
      <c r="X53" s="13">
        <f>-235-23-107-128-3+62-3-3+3</f>
        <v>-437</v>
      </c>
      <c r="Y53" s="13">
        <f>-181-20-148-152-2-33</f>
        <v>-536</v>
      </c>
      <c r="Z53" s="13">
        <f>-169-41-108-167-7+12</f>
        <v>-480</v>
      </c>
      <c r="AA53" s="13">
        <f>-560-25-120-151-9-3-4</f>
        <v>-872</v>
      </c>
    </row>
    <row r="54" spans="3:27" x14ac:dyDescent="0.25">
      <c r="C54" s="1" t="s">
        <v>36</v>
      </c>
      <c r="D54" s="1">
        <f t="shared" ref="D54:M54" si="42">SUM(D53)</f>
        <v>-170</v>
      </c>
      <c r="E54" s="1">
        <f t="shared" si="42"/>
        <v>-146</v>
      </c>
      <c r="F54" s="1">
        <f t="shared" si="42"/>
        <v>-91</v>
      </c>
      <c r="G54" s="1">
        <f t="shared" si="42"/>
        <v>-74</v>
      </c>
      <c r="H54" s="1">
        <f t="shared" si="42"/>
        <v>-261</v>
      </c>
      <c r="I54" s="1">
        <f t="shared" si="42"/>
        <v>-154</v>
      </c>
      <c r="J54" s="1">
        <f t="shared" si="42"/>
        <v>-371</v>
      </c>
      <c r="K54" s="1">
        <f t="shared" si="42"/>
        <v>-84</v>
      </c>
      <c r="L54" s="1">
        <f t="shared" si="42"/>
        <v>-170</v>
      </c>
      <c r="M54" s="1">
        <f t="shared" si="42"/>
        <v>-105</v>
      </c>
      <c r="N54" s="24">
        <f>SUM(N53)</f>
        <v>-128</v>
      </c>
      <c r="V54" s="11">
        <f t="shared" ref="V54:Z54" si="43">SUM(V53)</f>
        <v>-558</v>
      </c>
      <c r="W54" s="11">
        <f t="shared" si="43"/>
        <v>-374</v>
      </c>
      <c r="X54" s="11">
        <f t="shared" si="43"/>
        <v>-437</v>
      </c>
      <c r="Y54" s="11">
        <f t="shared" si="43"/>
        <v>-536</v>
      </c>
      <c r="Z54" s="11">
        <f t="shared" si="43"/>
        <v>-480</v>
      </c>
      <c r="AA54" s="11">
        <f>SUM(AA53)</f>
        <v>-872</v>
      </c>
    </row>
    <row r="55" spans="3:27" x14ac:dyDescent="0.25">
      <c r="D55" s="13"/>
      <c r="E55" s="13"/>
      <c r="F55" s="13"/>
      <c r="G55" s="13"/>
      <c r="H55" s="13"/>
      <c r="I55" s="13"/>
      <c r="J55" s="13"/>
      <c r="K55" s="13"/>
      <c r="L55" s="13"/>
      <c r="V55" s="13"/>
      <c r="W55" s="13"/>
      <c r="X55" s="13"/>
      <c r="Y55" s="13"/>
      <c r="Z55" s="13"/>
      <c r="AA55" s="13"/>
    </row>
    <row r="56" spans="3:27" x14ac:dyDescent="0.25">
      <c r="C56" s="2" t="s">
        <v>73</v>
      </c>
      <c r="D56" s="2">
        <v>-12</v>
      </c>
      <c r="E56" s="2">
        <v>-10</v>
      </c>
      <c r="F56" s="2">
        <v>-16</v>
      </c>
      <c r="G56" s="2">
        <v>-17</v>
      </c>
      <c r="H56" s="2">
        <v>-19</v>
      </c>
      <c r="I56" s="2">
        <v>-14</v>
      </c>
      <c r="J56" s="2">
        <v>-23</v>
      </c>
      <c r="K56" s="2">
        <v>-26</v>
      </c>
      <c r="L56" s="2">
        <v>-18</v>
      </c>
      <c r="M56" s="2">
        <v>-20</v>
      </c>
      <c r="N56" s="4">
        <v>-6</v>
      </c>
      <c r="V56" s="13">
        <v>1</v>
      </c>
      <c r="W56" s="13">
        <v>0</v>
      </c>
      <c r="X56" s="13">
        <v>0</v>
      </c>
      <c r="Y56" s="13">
        <v>1</v>
      </c>
      <c r="Z56" s="13">
        <v>9</v>
      </c>
      <c r="AA56" s="13">
        <v>22</v>
      </c>
    </row>
    <row r="57" spans="3:27" x14ac:dyDescent="0.25">
      <c r="C57" s="2" t="s">
        <v>74</v>
      </c>
      <c r="D57" s="13">
        <v>-110</v>
      </c>
      <c r="E57" s="13">
        <v>-117</v>
      </c>
      <c r="F57" s="13">
        <v>-125</v>
      </c>
      <c r="G57" s="13">
        <v>-124</v>
      </c>
      <c r="H57" s="13">
        <v>-129</v>
      </c>
      <c r="I57" s="13">
        <v>-137</v>
      </c>
      <c r="J57" s="13">
        <v>-145</v>
      </c>
      <c r="K57" s="13">
        <v>-157</v>
      </c>
      <c r="L57" s="13">
        <v>-159</v>
      </c>
      <c r="M57" s="2">
        <v>-165</v>
      </c>
      <c r="N57" s="4">
        <v>-152</v>
      </c>
      <c r="V57" s="13">
        <v>-57</v>
      </c>
      <c r="W57" s="13">
        <v>-409</v>
      </c>
      <c r="X57" s="13">
        <v>-399</v>
      </c>
      <c r="Y57" s="13">
        <v>-437</v>
      </c>
      <c r="Z57" s="13">
        <v>-539</v>
      </c>
      <c r="AA57" s="13">
        <v>-671</v>
      </c>
    </row>
    <row r="58" spans="3:27" x14ac:dyDescent="0.25">
      <c r="C58" s="2" t="s">
        <v>75</v>
      </c>
      <c r="D58" s="13">
        <v>0</v>
      </c>
      <c r="E58" s="13">
        <v>-185</v>
      </c>
      <c r="F58" s="13">
        <v>0</v>
      </c>
      <c r="G58" s="13">
        <v>0</v>
      </c>
      <c r="H58" s="13">
        <v>0</v>
      </c>
      <c r="I58" s="13">
        <v>-185</v>
      </c>
      <c r="J58" s="13">
        <v>0</v>
      </c>
      <c r="K58" s="13">
        <v>0</v>
      </c>
      <c r="L58" s="13">
        <v>0</v>
      </c>
      <c r="M58" s="2">
        <v>-178</v>
      </c>
      <c r="N58" s="4">
        <v>0</v>
      </c>
      <c r="V58" s="13">
        <v>0</v>
      </c>
      <c r="W58" s="13">
        <v>-132</v>
      </c>
      <c r="X58" s="13">
        <v>-158</v>
      </c>
      <c r="Y58" s="13">
        <v>-185</v>
      </c>
      <c r="Z58" s="13">
        <v>-185</v>
      </c>
      <c r="AA58" s="13">
        <v>-185</v>
      </c>
    </row>
    <row r="59" spans="3:27" x14ac:dyDescent="0.25">
      <c r="C59" s="2" t="s">
        <v>76</v>
      </c>
      <c r="D59" s="13">
        <v>0</v>
      </c>
      <c r="E59" s="13">
        <v>0</v>
      </c>
      <c r="F59" s="13">
        <v>-2</v>
      </c>
      <c r="G59" s="13">
        <v>0</v>
      </c>
      <c r="H59" s="13">
        <v>0</v>
      </c>
      <c r="I59" s="13">
        <v>0</v>
      </c>
      <c r="J59" s="13">
        <v>-268</v>
      </c>
      <c r="K59" s="13">
        <v>0</v>
      </c>
      <c r="L59" s="13">
        <v>0</v>
      </c>
      <c r="M59" s="2">
        <v>0</v>
      </c>
      <c r="N59" s="4">
        <v>-282</v>
      </c>
      <c r="V59" s="13">
        <v>0</v>
      </c>
      <c r="W59" s="13">
        <v>4</v>
      </c>
      <c r="X59" s="13">
        <v>17</v>
      </c>
      <c r="Y59" s="13">
        <v>2</v>
      </c>
      <c r="Z59" s="13">
        <v>0</v>
      </c>
      <c r="AA59" s="13">
        <v>-268</v>
      </c>
    </row>
    <row r="60" spans="3:27" x14ac:dyDescent="0.25">
      <c r="C60" s="2" t="s">
        <v>77</v>
      </c>
      <c r="D60" s="13">
        <v>0</v>
      </c>
      <c r="E60" s="13">
        <v>0</v>
      </c>
      <c r="F60" s="2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2">
        <v>0</v>
      </c>
      <c r="N60" s="4">
        <v>23</v>
      </c>
      <c r="O60" s="1"/>
      <c r="P60" s="1"/>
      <c r="Q60" s="1"/>
      <c r="R60" s="1"/>
      <c r="S60" s="1"/>
      <c r="T60" s="1"/>
      <c r="U60" s="1"/>
      <c r="V60" s="13">
        <v>0</v>
      </c>
      <c r="W60" s="13">
        <v>0</v>
      </c>
      <c r="X60" s="13">
        <v>93</v>
      </c>
      <c r="Y60" s="13">
        <v>0</v>
      </c>
      <c r="Z60" s="13">
        <v>2</v>
      </c>
      <c r="AA60" s="13">
        <v>0</v>
      </c>
    </row>
    <row r="61" spans="3:27" x14ac:dyDescent="0.25">
      <c r="C61" s="2" t="s">
        <v>78</v>
      </c>
      <c r="D61" s="13">
        <v>-41</v>
      </c>
      <c r="E61" s="13">
        <v>-64</v>
      </c>
      <c r="F61" s="13">
        <v>-5</v>
      </c>
      <c r="G61" s="13">
        <v>-262</v>
      </c>
      <c r="H61" s="13">
        <v>354</v>
      </c>
      <c r="I61" s="13">
        <v>-45</v>
      </c>
      <c r="J61" s="13">
        <v>593</v>
      </c>
      <c r="K61" s="13">
        <v>-365</v>
      </c>
      <c r="L61" s="13">
        <v>96</v>
      </c>
      <c r="M61" s="2">
        <v>-194</v>
      </c>
      <c r="N61" s="4">
        <v>27</v>
      </c>
      <c r="O61" s="1"/>
      <c r="P61" s="1"/>
      <c r="Q61" s="1"/>
      <c r="R61" s="1"/>
      <c r="S61" s="1"/>
      <c r="T61" s="1"/>
      <c r="U61" s="1"/>
      <c r="V61" s="13">
        <v>110</v>
      </c>
      <c r="W61" s="13">
        <v>79</v>
      </c>
      <c r="X61" s="13">
        <v>-275</v>
      </c>
      <c r="Y61" s="13">
        <v>2</v>
      </c>
      <c r="Z61" s="13">
        <v>948</v>
      </c>
      <c r="AA61" s="13">
        <f>700-143</f>
        <v>557</v>
      </c>
    </row>
    <row r="62" spans="3:27" x14ac:dyDescent="0.25">
      <c r="C62" s="2" t="s">
        <v>79</v>
      </c>
      <c r="D62" s="2">
        <v>-216</v>
      </c>
      <c r="E62" s="2">
        <v>-499</v>
      </c>
      <c r="F62" s="13">
        <v>-412</v>
      </c>
      <c r="G62" s="2">
        <v>-376</v>
      </c>
      <c r="H62" s="2">
        <v>-370</v>
      </c>
      <c r="I62" s="2">
        <v>-450</v>
      </c>
      <c r="J62" s="2">
        <v>-345</v>
      </c>
      <c r="K62" s="2">
        <v>-540</v>
      </c>
      <c r="L62" s="2">
        <v>-461</v>
      </c>
      <c r="M62" s="2">
        <v>-463</v>
      </c>
      <c r="N62" s="4">
        <v>-493</v>
      </c>
      <c r="O62" s="1"/>
      <c r="P62" s="1"/>
      <c r="Q62" s="1"/>
      <c r="R62" s="1"/>
      <c r="S62" s="1"/>
      <c r="T62" s="1"/>
      <c r="U62" s="1"/>
      <c r="V62" s="13">
        <v>-351</v>
      </c>
      <c r="W62" s="13">
        <f>-457-1215</f>
        <v>-1672</v>
      </c>
      <c r="X62" s="13">
        <f>-1281</f>
        <v>-1281</v>
      </c>
      <c r="Y62" s="13">
        <f>-173-1346</f>
        <v>-1519</v>
      </c>
      <c r="Z62" s="13">
        <f>-1321-1504</f>
        <v>-2825</v>
      </c>
      <c r="AA62" s="13">
        <v>-1705</v>
      </c>
    </row>
    <row r="63" spans="3:27" x14ac:dyDescent="0.25">
      <c r="C63" s="1" t="s">
        <v>37</v>
      </c>
      <c r="D63" s="1">
        <f>SUM(D56:D62)</f>
        <v>-379</v>
      </c>
      <c r="E63" s="1">
        <f>SUM(E56:E62)</f>
        <v>-875</v>
      </c>
      <c r="F63" s="1">
        <f>SUM(F56:F62)</f>
        <v>-560</v>
      </c>
      <c r="G63" s="1">
        <f>SUM(G56:G62)</f>
        <v>-779</v>
      </c>
      <c r="H63" s="1">
        <f>SUM(H56:H62)</f>
        <v>-164</v>
      </c>
      <c r="I63" s="1">
        <f>SUM(I56:I62)</f>
        <v>-831</v>
      </c>
      <c r="J63" s="1">
        <f>SUM(J56:J62)</f>
        <v>-188</v>
      </c>
      <c r="K63" s="1">
        <f>SUM(K56:K62)</f>
        <v>-1088</v>
      </c>
      <c r="L63" s="1">
        <f>SUM(L56:L62)</f>
        <v>-542</v>
      </c>
      <c r="M63" s="1">
        <f>SUM(M56:M62)</f>
        <v>-1020</v>
      </c>
      <c r="N63" s="24">
        <f>SUM(N56:N62)</f>
        <v>-883</v>
      </c>
      <c r="O63" s="1"/>
      <c r="P63" s="1"/>
      <c r="Q63" s="1"/>
      <c r="R63" s="1"/>
      <c r="S63" s="1"/>
      <c r="T63" s="1"/>
      <c r="U63" s="1"/>
      <c r="V63" s="11">
        <f t="shared" ref="V63:Z63" si="44">SUM(V56:V62)</f>
        <v>-297</v>
      </c>
      <c r="W63" s="11">
        <f t="shared" si="44"/>
        <v>-2130</v>
      </c>
      <c r="X63" s="11">
        <f t="shared" si="44"/>
        <v>-2003</v>
      </c>
      <c r="Y63" s="11">
        <f t="shared" si="44"/>
        <v>-2136</v>
      </c>
      <c r="Z63" s="11">
        <f t="shared" si="44"/>
        <v>-2590</v>
      </c>
      <c r="AA63" s="11">
        <f>SUM(AA56:AA62)</f>
        <v>-2250</v>
      </c>
    </row>
    <row r="64" spans="3:27" x14ac:dyDescent="0.25">
      <c r="P64" s="1"/>
      <c r="Q64" s="1"/>
      <c r="R64" s="1"/>
      <c r="S64" s="1"/>
      <c r="T64" s="1"/>
      <c r="U64" s="1"/>
      <c r="V64" s="11"/>
      <c r="W64" s="13"/>
      <c r="X64" s="13"/>
      <c r="Y64" s="13"/>
      <c r="Z64" s="13"/>
      <c r="AA64" s="13"/>
    </row>
    <row r="65" spans="3:27" x14ac:dyDescent="0.25">
      <c r="C65" s="2" t="s">
        <v>38</v>
      </c>
      <c r="D65" s="13">
        <v>4</v>
      </c>
      <c r="E65" s="13">
        <v>4</v>
      </c>
      <c r="F65" s="13">
        <v>0</v>
      </c>
      <c r="G65" s="13">
        <v>12</v>
      </c>
      <c r="H65" s="13">
        <v>-4</v>
      </c>
      <c r="I65" s="13">
        <v>-20</v>
      </c>
      <c r="J65" s="13">
        <v>9</v>
      </c>
      <c r="K65" s="13">
        <v>-1</v>
      </c>
      <c r="L65" s="13">
        <v>-10</v>
      </c>
      <c r="M65" s="2">
        <v>8</v>
      </c>
      <c r="N65" s="4">
        <v>-24</v>
      </c>
      <c r="P65" s="1"/>
      <c r="Q65" s="1"/>
      <c r="R65" s="1"/>
      <c r="S65" s="1"/>
      <c r="T65" s="1"/>
      <c r="U65" s="1"/>
      <c r="V65" s="13">
        <v>-1</v>
      </c>
      <c r="W65" s="13">
        <v>-15</v>
      </c>
      <c r="X65" s="13">
        <v>5</v>
      </c>
      <c r="Y65" s="13">
        <v>12</v>
      </c>
      <c r="Z65" s="13">
        <v>7</v>
      </c>
      <c r="AA65" s="13">
        <v>-15</v>
      </c>
    </row>
    <row r="66" spans="3:27" x14ac:dyDescent="0.25">
      <c r="D66" s="13"/>
      <c r="E66" s="13"/>
      <c r="F66" s="13"/>
      <c r="G66" s="13"/>
      <c r="H66" s="13"/>
      <c r="I66" s="13"/>
      <c r="J66" s="13"/>
      <c r="K66" s="13"/>
      <c r="L66" s="13"/>
      <c r="P66" s="1"/>
      <c r="Q66" s="1"/>
      <c r="R66" s="1"/>
      <c r="S66" s="1"/>
      <c r="T66" s="1"/>
      <c r="U66" s="1"/>
      <c r="V66" s="13"/>
      <c r="W66" s="13"/>
      <c r="X66" s="13"/>
      <c r="Y66" s="13"/>
      <c r="Z66" s="13"/>
      <c r="AA66" s="13"/>
    </row>
    <row r="67" spans="3:27" x14ac:dyDescent="0.25">
      <c r="C67" s="2" t="s">
        <v>39</v>
      </c>
      <c r="D67" s="2">
        <f>D51+D54+D63+D65</f>
        <v>-228</v>
      </c>
      <c r="E67" s="2">
        <f>E51+E54+E63+E65</f>
        <v>-90</v>
      </c>
      <c r="F67" s="2">
        <f>F51+F54+F63+F65</f>
        <v>62</v>
      </c>
      <c r="G67" s="2">
        <f>G51+G54+G63+G65</f>
        <v>96</v>
      </c>
      <c r="H67" s="2">
        <f>H51+H54+H63+H65</f>
        <v>3</v>
      </c>
      <c r="I67" s="2">
        <f>I51+I54+I63+I65</f>
        <v>138</v>
      </c>
      <c r="J67" s="2">
        <f>J51+J54+J63+J65</f>
        <v>136</v>
      </c>
      <c r="K67" s="2">
        <f>K51+K54+K63+K65</f>
        <v>73</v>
      </c>
      <c r="L67" s="2">
        <f>L51+L54+L63+L65</f>
        <v>-269</v>
      </c>
      <c r="M67" s="2">
        <f>M51+M54+M63+M65</f>
        <v>153</v>
      </c>
      <c r="N67" s="4">
        <f>N51+N54+N63+N65</f>
        <v>-202</v>
      </c>
      <c r="V67" s="13">
        <f t="shared" ref="V67:Z67" si="45">V51+V54+V63+V65</f>
        <v>-172</v>
      </c>
      <c r="W67" s="13">
        <f t="shared" si="45"/>
        <v>3</v>
      </c>
      <c r="X67" s="13">
        <f t="shared" si="45"/>
        <v>437</v>
      </c>
      <c r="Y67" s="13">
        <f t="shared" si="45"/>
        <v>171</v>
      </c>
      <c r="Z67" s="13">
        <f t="shared" si="45"/>
        <v>-168</v>
      </c>
      <c r="AA67" s="13">
        <f>AA51+AA54+AA63+AA65</f>
        <v>366</v>
      </c>
    </row>
    <row r="68" spans="3:27" x14ac:dyDescent="0.25">
      <c r="V68" s="13"/>
      <c r="W68" s="13"/>
      <c r="X68" s="13"/>
      <c r="Y68" s="13"/>
      <c r="Z68" s="13"/>
      <c r="AA68" s="13"/>
    </row>
    <row r="69" spans="3:27" x14ac:dyDescent="0.25">
      <c r="C69" s="2" t="s">
        <v>40</v>
      </c>
      <c r="D69" s="2">
        <f>D51+D53</f>
        <v>147</v>
      </c>
      <c r="E69" s="2">
        <f>E51+E53</f>
        <v>781</v>
      </c>
      <c r="F69" s="2">
        <f>F51+F53</f>
        <v>622</v>
      </c>
      <c r="G69" s="2">
        <f>G51+G53</f>
        <v>863</v>
      </c>
      <c r="H69" s="2">
        <f>H51+H53</f>
        <v>171</v>
      </c>
      <c r="I69" s="2">
        <f>I51+I53</f>
        <v>989</v>
      </c>
      <c r="J69" s="2">
        <f>J51+J53</f>
        <v>315</v>
      </c>
      <c r="K69" s="2">
        <f>K51+K53</f>
        <v>1162</v>
      </c>
      <c r="L69" s="2">
        <f>L51+L53</f>
        <v>283</v>
      </c>
      <c r="M69" s="2">
        <f>M51+M53</f>
        <v>1165</v>
      </c>
      <c r="N69" s="4">
        <f>N51+N53</f>
        <v>705</v>
      </c>
      <c r="V69" s="13">
        <f t="shared" ref="V69:Z69" si="46">V51+V53</f>
        <v>126</v>
      </c>
      <c r="W69" s="13">
        <f t="shared" si="46"/>
        <v>2148</v>
      </c>
      <c r="X69" s="13">
        <f t="shared" si="46"/>
        <v>2435</v>
      </c>
      <c r="Y69" s="13">
        <f t="shared" si="46"/>
        <v>2295</v>
      </c>
      <c r="Z69" s="13">
        <f t="shared" si="46"/>
        <v>2415</v>
      </c>
      <c r="AA69" s="13">
        <f>AA51+AA53</f>
        <v>2631</v>
      </c>
    </row>
    <row r="83" spans="30:30" x14ac:dyDescent="0.25">
      <c r="AD83" s="27" t="s">
        <v>105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A1"/>
  <sheetViews>
    <sheetView showGridLines="0" workbookViewId="0">
      <selection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F11" sqref="F11"/>
    </sheetView>
  </sheetViews>
  <sheetFormatPr baseColWidth="10" defaultRowHeight="16" x14ac:dyDescent="0.2"/>
  <cols>
    <col min="3" max="3" width="29.5" bestFit="1" customWidth="1"/>
    <col min="4" max="4" width="22.1640625" bestFit="1" customWidth="1"/>
    <col min="5" max="5" width="23.33203125" customWidth="1"/>
    <col min="6" max="6" width="22.33203125" bestFit="1" customWidth="1"/>
  </cols>
  <sheetData>
    <row r="4" spans="3:6" ht="62" x14ac:dyDescent="0.7">
      <c r="C4" s="26"/>
      <c r="D4" s="26" t="s">
        <v>111</v>
      </c>
      <c r="E4" s="26" t="s">
        <v>112</v>
      </c>
      <c r="F4" s="26" t="s">
        <v>113</v>
      </c>
    </row>
    <row r="5" spans="3:6" ht="62" x14ac:dyDescent="0.7">
      <c r="C5" s="26" t="s">
        <v>5</v>
      </c>
      <c r="D5" s="36">
        <f>Modell!$B$9/Modell!AB12</f>
        <v>14.765801474662247</v>
      </c>
      <c r="E5" s="36">
        <f>Modell!$B$9/Modell!AC12</f>
        <v>13.735629278755571</v>
      </c>
      <c r="F5" s="36">
        <f>Modell!$B$9/Modell!AD12</f>
        <v>13.081551694052905</v>
      </c>
    </row>
    <row r="6" spans="3:6" ht="62" x14ac:dyDescent="0.7">
      <c r="C6" s="26" t="s">
        <v>6</v>
      </c>
      <c r="D6" s="36">
        <f>Modell!$B$4/Modell!AB18</f>
        <v>8.2626911037600266</v>
      </c>
      <c r="E6" s="36">
        <f>Modell!$B$4/Modell!AC18</f>
        <v>7.6862242825674638</v>
      </c>
      <c r="F6" s="36">
        <f>Modell!$B$4/Modell!AD18</f>
        <v>7.3202136024451923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2025-07-08T18:52:52Z</dcterms:modified>
</cp:coreProperties>
</file>