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E18DB546-0D6C-484E-981E-6F595AA2F9D8}" xr6:coauthVersionLast="47" xr6:coauthVersionMax="47" xr10:uidLastSave="{00000000-0000-0000-0000-000000000000}"/>
  <bookViews>
    <workbookView xWindow="24540" yWindow="500" windowWidth="26640" windowHeight="26740" activeTab="1" xr2:uid="{5AE0DF26-B7DD-1242-A60E-253C73A930AF}"/>
  </bookViews>
  <sheets>
    <sheet name="Info" sheetId="1" r:id="rId1"/>
    <sheet name="Modell" sheetId="2" r:id="rId2"/>
    <sheet name="Seg_off" sheetId="9" r:id="rId3"/>
    <sheet name="Seg_on" sheetId="11" r:id="rId4"/>
    <sheet name="Seg_Bio" sheetId="12" r:id="rId5"/>
    <sheet name="Nøkkeltall" sheetId="3" r:id="rId6"/>
    <sheet name="Nedsideberegning" sheetId="5" r:id="rId7"/>
    <sheet name="Off wind" sheetId="6" r:id="rId8"/>
    <sheet name="On wind" sheetId="7" r:id="rId9"/>
    <sheet name="Solar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AF32" i="2" l="1"/>
  <c r="AG32" i="2"/>
  <c r="AH32" i="2"/>
  <c r="N14" i="11"/>
  <c r="F22" i="9"/>
  <c r="J22" i="9"/>
  <c r="F14" i="9"/>
  <c r="J14" i="9"/>
  <c r="N22" i="9"/>
  <c r="N14" i="9"/>
  <c r="H22" i="11"/>
  <c r="I27" i="9"/>
  <c r="J25" i="2" l="1"/>
  <c r="G59" i="2"/>
  <c r="G54" i="2"/>
  <c r="G20" i="2"/>
  <c r="G18" i="2"/>
  <c r="G17" i="2"/>
  <c r="G15" i="2"/>
  <c r="G13" i="2"/>
  <c r="G11" i="2"/>
  <c r="G10" i="2"/>
  <c r="G9" i="2"/>
  <c r="G8" i="2"/>
  <c r="G7" i="2"/>
  <c r="G5" i="2"/>
  <c r="G4" i="2"/>
  <c r="G6" i="2" l="1"/>
  <c r="G12" i="2" s="1"/>
  <c r="G14" i="2" s="1"/>
  <c r="G19" i="2" s="1"/>
  <c r="AF8" i="2" l="1"/>
  <c r="AF7" i="2"/>
  <c r="AF4" i="2"/>
  <c r="AF5" i="2" s="1"/>
  <c r="K6" i="12" l="1"/>
  <c r="R20" i="12"/>
  <c r="Q20" i="12"/>
  <c r="P20" i="12"/>
  <c r="O20" i="12"/>
  <c r="N20" i="12"/>
  <c r="M20" i="12"/>
  <c r="L20" i="12"/>
  <c r="K20" i="12"/>
  <c r="J20" i="12"/>
  <c r="I20" i="12"/>
  <c r="H20" i="12"/>
  <c r="G20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R8" i="12"/>
  <c r="Q8" i="12"/>
  <c r="P8" i="12"/>
  <c r="O8" i="12"/>
  <c r="N8" i="12"/>
  <c r="M8" i="12"/>
  <c r="L8" i="12"/>
  <c r="K8" i="12"/>
  <c r="J8" i="12"/>
  <c r="I8" i="12"/>
  <c r="H8" i="12"/>
  <c r="G8" i="12"/>
  <c r="R6" i="12"/>
  <c r="Q6" i="12"/>
  <c r="P6" i="12"/>
  <c r="O6" i="12"/>
  <c r="N6" i="12"/>
  <c r="M6" i="12"/>
  <c r="L6" i="12"/>
  <c r="J6" i="12"/>
  <c r="I6" i="12"/>
  <c r="H6" i="12"/>
  <c r="G6" i="12"/>
  <c r="R22" i="11"/>
  <c r="Q22" i="11"/>
  <c r="P22" i="11"/>
  <c r="O22" i="11"/>
  <c r="N22" i="11"/>
  <c r="M22" i="11"/>
  <c r="L22" i="11"/>
  <c r="K22" i="11"/>
  <c r="J22" i="11"/>
  <c r="I22" i="11"/>
  <c r="G22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R8" i="11"/>
  <c r="Q8" i="11"/>
  <c r="P8" i="11"/>
  <c r="O8" i="11"/>
  <c r="N8" i="11"/>
  <c r="M8" i="11"/>
  <c r="L8" i="11"/>
  <c r="K8" i="11"/>
  <c r="J8" i="11"/>
  <c r="I8" i="11"/>
  <c r="H8" i="11"/>
  <c r="G8" i="11"/>
  <c r="R6" i="11"/>
  <c r="Q6" i="11"/>
  <c r="P6" i="11"/>
  <c r="O6" i="11"/>
  <c r="N6" i="11"/>
  <c r="M6" i="11"/>
  <c r="L6" i="11"/>
  <c r="K6" i="11"/>
  <c r="J6" i="11"/>
  <c r="I6" i="11"/>
  <c r="H6" i="11"/>
  <c r="G6" i="11"/>
  <c r="R27" i="9"/>
  <c r="Q27" i="9"/>
  <c r="P27" i="9"/>
  <c r="O27" i="9"/>
  <c r="N27" i="9"/>
  <c r="M27" i="9"/>
  <c r="L27" i="9"/>
  <c r="K27" i="9"/>
  <c r="J27" i="9"/>
  <c r="H27" i="9"/>
  <c r="G27" i="9"/>
  <c r="R23" i="9"/>
  <c r="Q23" i="9"/>
  <c r="P23" i="9"/>
  <c r="O23" i="9"/>
  <c r="N23" i="9"/>
  <c r="M23" i="9"/>
  <c r="L23" i="9"/>
  <c r="K23" i="9"/>
  <c r="J23" i="9"/>
  <c r="I23" i="9"/>
  <c r="H23" i="9"/>
  <c r="G23" i="9"/>
  <c r="R15" i="9"/>
  <c r="Q15" i="9"/>
  <c r="P15" i="9"/>
  <c r="O15" i="9"/>
  <c r="N15" i="9"/>
  <c r="M15" i="9"/>
  <c r="L15" i="9"/>
  <c r="K15" i="9"/>
  <c r="J15" i="9"/>
  <c r="I15" i="9"/>
  <c r="H15" i="9"/>
  <c r="G15" i="9"/>
  <c r="R10" i="9"/>
  <c r="Q10" i="9"/>
  <c r="P10" i="9"/>
  <c r="O10" i="9"/>
  <c r="N10" i="9"/>
  <c r="M10" i="9"/>
  <c r="L10" i="9"/>
  <c r="K10" i="9"/>
  <c r="J10" i="9"/>
  <c r="I10" i="9"/>
  <c r="H10" i="9"/>
  <c r="G10" i="9"/>
  <c r="R8" i="9"/>
  <c r="Q8" i="9"/>
  <c r="P8" i="9"/>
  <c r="O8" i="9"/>
  <c r="N8" i="9"/>
  <c r="M8" i="9"/>
  <c r="L8" i="9"/>
  <c r="K8" i="9"/>
  <c r="J8" i="9"/>
  <c r="I8" i="9"/>
  <c r="H8" i="9"/>
  <c r="G8" i="9"/>
  <c r="O6" i="9"/>
  <c r="N6" i="9"/>
  <c r="M6" i="9"/>
  <c r="L6" i="9"/>
  <c r="K6" i="9"/>
  <c r="J6" i="9"/>
  <c r="I6" i="9"/>
  <c r="H6" i="9"/>
  <c r="G6" i="9"/>
  <c r="R6" i="9"/>
  <c r="Q6" i="9"/>
  <c r="P6" i="9"/>
  <c r="AG8" i="2" l="1"/>
  <c r="AH8" i="2" s="1"/>
  <c r="AI8" i="2" s="1"/>
  <c r="AJ8" i="2" s="1"/>
  <c r="AK8" i="2" s="1"/>
  <c r="AL8" i="2" s="1"/>
  <c r="AM8" i="2" s="1"/>
  <c r="AN8" i="2" s="1"/>
  <c r="AO8" i="2" s="1"/>
  <c r="AP8" i="2" s="1"/>
  <c r="AG7" i="2"/>
  <c r="AH7" i="2" s="1"/>
  <c r="AI7" i="2" s="1"/>
  <c r="AJ7" i="2" s="1"/>
  <c r="AK7" i="2" s="1"/>
  <c r="AL7" i="2" s="1"/>
  <c r="AM7" i="2" s="1"/>
  <c r="AN7" i="2" s="1"/>
  <c r="AO7" i="2" s="1"/>
  <c r="AP7" i="2" s="1"/>
  <c r="AG18" i="2"/>
  <c r="AH18" i="2" s="1"/>
  <c r="AI18" i="2" s="1"/>
  <c r="AJ18" i="2" s="1"/>
  <c r="AK18" i="2" s="1"/>
  <c r="AL18" i="2" s="1"/>
  <c r="AM18" i="2" s="1"/>
  <c r="AN18" i="2" s="1"/>
  <c r="AO18" i="2" s="1"/>
  <c r="AP18" i="2" s="1"/>
  <c r="AG17" i="2"/>
  <c r="AH17" i="2" s="1"/>
  <c r="AI17" i="2" s="1"/>
  <c r="AJ17" i="2" s="1"/>
  <c r="AK17" i="2" s="1"/>
  <c r="AL17" i="2" s="1"/>
  <c r="AM17" i="2" s="1"/>
  <c r="AN17" i="2" s="1"/>
  <c r="AO17" i="2" s="1"/>
  <c r="AP17" i="2" s="1"/>
  <c r="AG4" i="2"/>
  <c r="AG5" i="2" s="1"/>
  <c r="AH4" i="2" l="1"/>
  <c r="AI4" i="2" s="1"/>
  <c r="AJ4" i="2" s="1"/>
  <c r="AK4" i="2" s="1"/>
  <c r="AL4" i="2" s="1"/>
  <c r="AM4" i="2" s="1"/>
  <c r="AN4" i="2" s="1"/>
  <c r="AO4" i="2" s="1"/>
  <c r="AP4" i="2" s="1"/>
  <c r="K20" i="2"/>
  <c r="K18" i="2"/>
  <c r="K17" i="2"/>
  <c r="K16" i="2"/>
  <c r="K15" i="2"/>
  <c r="K11" i="2"/>
  <c r="K10" i="2"/>
  <c r="K9" i="2"/>
  <c r="K8" i="2"/>
  <c r="K7" i="2"/>
  <c r="K5" i="2"/>
  <c r="K4" i="2"/>
  <c r="O20" i="2"/>
  <c r="O18" i="2"/>
  <c r="O17" i="2"/>
  <c r="O16" i="2"/>
  <c r="O15" i="2"/>
  <c r="O11" i="2"/>
  <c r="O10" i="2"/>
  <c r="O9" i="2"/>
  <c r="O8" i="2"/>
  <c r="O7" i="2"/>
  <c r="O5" i="2"/>
  <c r="O4" i="2"/>
  <c r="O6" i="2" l="1"/>
  <c r="K6" i="2"/>
  <c r="AH5" i="2"/>
  <c r="K12" i="2"/>
  <c r="O12" i="2"/>
  <c r="AI5" i="2" l="1"/>
  <c r="AF9" i="2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Z32" i="2"/>
  <c r="AA32" i="2"/>
  <c r="AB32" i="2"/>
  <c r="AC32" i="2"/>
  <c r="AD32" i="2"/>
  <c r="AE32" i="2"/>
  <c r="AJ5" i="2" l="1"/>
  <c r="F110" i="2"/>
  <c r="F111" i="2" s="1"/>
  <c r="F6" i="2"/>
  <c r="F12" i="2" s="1"/>
  <c r="H98" i="2"/>
  <c r="D57" i="2"/>
  <c r="H54" i="2"/>
  <c r="D6" i="2"/>
  <c r="D12" i="2" s="1"/>
  <c r="H6" i="2"/>
  <c r="H12" i="2" s="1"/>
  <c r="E110" i="2"/>
  <c r="E111" i="2" s="1"/>
  <c r="E60" i="2"/>
  <c r="I54" i="2"/>
  <c r="E6" i="2"/>
  <c r="E12" i="2" s="1"/>
  <c r="I13" i="2"/>
  <c r="K13" i="2" s="1"/>
  <c r="K14" i="2" s="1"/>
  <c r="K19" i="2" s="1"/>
  <c r="K21" i="2" s="1"/>
  <c r="I6" i="2"/>
  <c r="I12" i="2" s="1"/>
  <c r="J123" i="2"/>
  <c r="N123" i="2"/>
  <c r="J60" i="2"/>
  <c r="J13" i="2"/>
  <c r="J6" i="2"/>
  <c r="J12" i="2" s="1"/>
  <c r="N13" i="2"/>
  <c r="N6" i="2"/>
  <c r="N12" i="2" s="1"/>
  <c r="X27" i="5"/>
  <c r="W27" i="5"/>
  <c r="V27" i="5"/>
  <c r="U27" i="5"/>
  <c r="T27" i="5"/>
  <c r="S27" i="5"/>
  <c r="R27" i="5"/>
  <c r="Q27" i="5"/>
  <c r="P27" i="5"/>
  <c r="O27" i="5"/>
  <c r="N27" i="5"/>
  <c r="L27" i="5"/>
  <c r="K27" i="5"/>
  <c r="J27" i="5"/>
  <c r="I27" i="5"/>
  <c r="H27" i="5"/>
  <c r="G27" i="5"/>
  <c r="F27" i="5"/>
  <c r="E27" i="5"/>
  <c r="D27" i="5"/>
  <c r="M27" i="5"/>
  <c r="R27" i="2"/>
  <c r="S27" i="2"/>
  <c r="G27" i="2"/>
  <c r="O27" i="2"/>
  <c r="O18" i="5"/>
  <c r="P18" i="5" s="1"/>
  <c r="Q18" i="5" s="1"/>
  <c r="R18" i="5" s="1"/>
  <c r="S18" i="5" s="1"/>
  <c r="T18" i="5" s="1"/>
  <c r="U18" i="5" s="1"/>
  <c r="V18" i="5" s="1"/>
  <c r="W18" i="5" s="1"/>
  <c r="X18" i="5" s="1"/>
  <c r="O17" i="5"/>
  <c r="P17" i="5" s="1"/>
  <c r="Q17" i="5" s="1"/>
  <c r="R17" i="5" s="1"/>
  <c r="S17" i="5" s="1"/>
  <c r="T17" i="5" s="1"/>
  <c r="U17" i="5" s="1"/>
  <c r="V17" i="5" s="1"/>
  <c r="W17" i="5" s="1"/>
  <c r="X17" i="5" s="1"/>
  <c r="N9" i="5"/>
  <c r="N8" i="5"/>
  <c r="O8" i="5" s="1"/>
  <c r="P8" i="5" s="1"/>
  <c r="Q8" i="5" s="1"/>
  <c r="R8" i="5" s="1"/>
  <c r="S8" i="5" s="1"/>
  <c r="T8" i="5" s="1"/>
  <c r="U8" i="5" s="1"/>
  <c r="V8" i="5" s="1"/>
  <c r="W8" i="5" s="1"/>
  <c r="X8" i="5" s="1"/>
  <c r="N7" i="5"/>
  <c r="O7" i="5" s="1"/>
  <c r="P7" i="5" s="1"/>
  <c r="Q7" i="5" s="1"/>
  <c r="R7" i="5" s="1"/>
  <c r="S7" i="5" s="1"/>
  <c r="T7" i="5" s="1"/>
  <c r="U7" i="5" s="1"/>
  <c r="V7" i="5" s="1"/>
  <c r="W7" i="5" s="1"/>
  <c r="X7" i="5" s="1"/>
  <c r="N4" i="5"/>
  <c r="N25" i="5" s="1"/>
  <c r="AF25" i="2"/>
  <c r="AE13" i="2"/>
  <c r="L54" i="2"/>
  <c r="M13" i="2"/>
  <c r="L13" i="2"/>
  <c r="L6" i="2"/>
  <c r="L12" i="2" s="1"/>
  <c r="L27" i="2" s="1"/>
  <c r="P13" i="2"/>
  <c r="P6" i="2"/>
  <c r="P12" i="2" s="1"/>
  <c r="P14" i="2" s="1"/>
  <c r="P19" i="2" s="1"/>
  <c r="P21" i="2" s="1"/>
  <c r="AG6" i="2"/>
  <c r="AH6" i="2"/>
  <c r="AI6" i="2"/>
  <c r="AI12" i="2" s="1"/>
  <c r="AI14" i="2" s="1"/>
  <c r="AJ6" i="2"/>
  <c r="AJ26" i="2" s="1"/>
  <c r="AH25" i="2"/>
  <c r="AI25" i="2"/>
  <c r="AJ25" i="2"/>
  <c r="AK25" i="2"/>
  <c r="M25" i="5"/>
  <c r="L25" i="5"/>
  <c r="K25" i="5"/>
  <c r="J25" i="5"/>
  <c r="I25" i="5"/>
  <c r="H25" i="5"/>
  <c r="G25" i="5"/>
  <c r="F25" i="5"/>
  <c r="E25" i="5"/>
  <c r="M13" i="5"/>
  <c r="L13" i="5"/>
  <c r="M6" i="5"/>
  <c r="M26" i="5" s="1"/>
  <c r="L6" i="5"/>
  <c r="L26" i="5" s="1"/>
  <c r="K6" i="5"/>
  <c r="K12" i="5" s="1"/>
  <c r="K14" i="5" s="1"/>
  <c r="J6" i="5"/>
  <c r="J12" i="5" s="1"/>
  <c r="J14" i="5" s="1"/>
  <c r="I6" i="5"/>
  <c r="I26" i="5" s="1"/>
  <c r="H6" i="5"/>
  <c r="H26" i="5" s="1"/>
  <c r="G6" i="5"/>
  <c r="G12" i="5" s="1"/>
  <c r="G14" i="5" s="1"/>
  <c r="F6" i="5"/>
  <c r="F26" i="5" s="1"/>
  <c r="E6" i="5"/>
  <c r="E26" i="5" s="1"/>
  <c r="D6" i="5"/>
  <c r="D26" i="5" s="1"/>
  <c r="AF100" i="2"/>
  <c r="O13" i="2" l="1"/>
  <c r="O14" i="2" s="1"/>
  <c r="O19" i="2" s="1"/>
  <c r="O21" i="2" s="1"/>
  <c r="O23" i="2" s="1"/>
  <c r="AH12" i="2"/>
  <c r="AH14" i="2" s="1"/>
  <c r="AK5" i="2"/>
  <c r="AK6" i="2" s="1"/>
  <c r="AK26" i="2" s="1"/>
  <c r="AG26" i="2"/>
  <c r="AG12" i="2"/>
  <c r="AG27" i="2" s="1"/>
  <c r="AH26" i="2"/>
  <c r="AI27" i="2"/>
  <c r="AI26" i="2"/>
  <c r="I14" i="2"/>
  <c r="I19" i="2" s="1"/>
  <c r="I21" i="2" s="1"/>
  <c r="I23" i="2" s="1"/>
  <c r="P27" i="2"/>
  <c r="F14" i="2"/>
  <c r="F19" i="2" s="1"/>
  <c r="F21" i="2" s="1"/>
  <c r="F23" i="2" s="1"/>
  <c r="F27" i="2"/>
  <c r="D27" i="2"/>
  <c r="D14" i="2"/>
  <c r="D19" i="2" s="1"/>
  <c r="D21" i="2" s="1"/>
  <c r="D23" i="2" s="1"/>
  <c r="H14" i="2"/>
  <c r="H19" i="2" s="1"/>
  <c r="H21" i="2" s="1"/>
  <c r="H23" i="2" s="1"/>
  <c r="H27" i="2"/>
  <c r="E27" i="2"/>
  <c r="E14" i="2"/>
  <c r="E19" i="2" s="1"/>
  <c r="E21" i="2" s="1"/>
  <c r="E23" i="2" s="1"/>
  <c r="I27" i="2"/>
  <c r="J14" i="2"/>
  <c r="J19" i="2" s="1"/>
  <c r="J21" i="2" s="1"/>
  <c r="J23" i="2" s="1"/>
  <c r="J27" i="2"/>
  <c r="K27" i="2"/>
  <c r="N14" i="2"/>
  <c r="N19" i="2" s="1"/>
  <c r="N21" i="2" s="1"/>
  <c r="N23" i="2" s="1"/>
  <c r="N27" i="2"/>
  <c r="D12" i="5"/>
  <c r="D14" i="5" s="1"/>
  <c r="O4" i="5"/>
  <c r="P4" i="5" s="1"/>
  <c r="P25" i="5" s="1"/>
  <c r="E12" i="5"/>
  <c r="E14" i="5" s="1"/>
  <c r="E19" i="5" s="1"/>
  <c r="E21" i="5" s="1"/>
  <c r="E23" i="5" s="1"/>
  <c r="H12" i="5"/>
  <c r="H14" i="5" s="1"/>
  <c r="H28" i="5" s="1"/>
  <c r="I12" i="5"/>
  <c r="I14" i="5" s="1"/>
  <c r="I28" i="5" s="1"/>
  <c r="G26" i="5"/>
  <c r="L12" i="5"/>
  <c r="L14" i="5" s="1"/>
  <c r="L19" i="5" s="1"/>
  <c r="L21" i="5" s="1"/>
  <c r="L23" i="5" s="1"/>
  <c r="M12" i="5"/>
  <c r="M14" i="5" s="1"/>
  <c r="M19" i="5" s="1"/>
  <c r="M21" i="5" s="1"/>
  <c r="M23" i="5" s="1"/>
  <c r="AF6" i="2"/>
  <c r="AF12" i="2" s="1"/>
  <c r="N5" i="5"/>
  <c r="N6" i="5" s="1"/>
  <c r="AG25" i="2"/>
  <c r="AI19" i="2"/>
  <c r="AI28" i="2"/>
  <c r="AJ12" i="2"/>
  <c r="L14" i="2"/>
  <c r="L19" i="2" s="1"/>
  <c r="L21" i="2" s="1"/>
  <c r="L23" i="2" s="1"/>
  <c r="Q4" i="5"/>
  <c r="P5" i="5"/>
  <c r="P6" i="5" s="1"/>
  <c r="O5" i="5"/>
  <c r="O6" i="5" s="1"/>
  <c r="O12" i="5" s="1"/>
  <c r="O14" i="5" s="1"/>
  <c r="O25" i="5"/>
  <c r="O26" i="5"/>
  <c r="J19" i="5"/>
  <c r="J21" i="5" s="1"/>
  <c r="J23" i="5" s="1"/>
  <c r="J28" i="5"/>
  <c r="L28" i="5"/>
  <c r="K19" i="5"/>
  <c r="K21" i="5" s="1"/>
  <c r="K23" i="5" s="1"/>
  <c r="K28" i="5"/>
  <c r="D28" i="5"/>
  <c r="D19" i="5"/>
  <c r="D21" i="5" s="1"/>
  <c r="D23" i="5" s="1"/>
  <c r="G19" i="5"/>
  <c r="G21" i="5" s="1"/>
  <c r="G23" i="5" s="1"/>
  <c r="G28" i="5"/>
  <c r="E28" i="5"/>
  <c r="F12" i="5"/>
  <c r="F14" i="5" s="1"/>
  <c r="H19" i="5"/>
  <c r="H21" i="5" s="1"/>
  <c r="H23" i="5" s="1"/>
  <c r="I19" i="5"/>
  <c r="I21" i="5" s="1"/>
  <c r="I23" i="5" s="1"/>
  <c r="J26" i="5"/>
  <c r="K26" i="5"/>
  <c r="W100" i="2"/>
  <c r="X100" i="2"/>
  <c r="Y100" i="2"/>
  <c r="Z100" i="2"/>
  <c r="AA100" i="2"/>
  <c r="AB100" i="2"/>
  <c r="AC100" i="2"/>
  <c r="AD100" i="2"/>
  <c r="AE100" i="2"/>
  <c r="V6" i="2"/>
  <c r="V12" i="2" s="1"/>
  <c r="V27" i="2" s="1"/>
  <c r="W6" i="2"/>
  <c r="W26" i="2" s="1"/>
  <c r="Y111" i="2"/>
  <c r="X6" i="2"/>
  <c r="X12" i="2" s="1"/>
  <c r="X27" i="2" s="1"/>
  <c r="Y6" i="2"/>
  <c r="Y12" i="2" s="1"/>
  <c r="Y27" i="2" s="1"/>
  <c r="Z6" i="2"/>
  <c r="Z26" i="2" s="1"/>
  <c r="AA6" i="2"/>
  <c r="AA12" i="2" s="1"/>
  <c r="AA27" i="2" s="1"/>
  <c r="AC104" i="2"/>
  <c r="AC111" i="2" s="1"/>
  <c r="AB6" i="2"/>
  <c r="AB12" i="2" s="1"/>
  <c r="AB27" i="2" s="1"/>
  <c r="AC6" i="2"/>
  <c r="AC26" i="2" s="1"/>
  <c r="AD123" i="2"/>
  <c r="AD124" i="2" s="1"/>
  <c r="AE124" i="2"/>
  <c r="AC124" i="2"/>
  <c r="AB124" i="2"/>
  <c r="AA124" i="2"/>
  <c r="Z124" i="2"/>
  <c r="Y124" i="2"/>
  <c r="X124" i="2"/>
  <c r="W124" i="2"/>
  <c r="V124" i="2"/>
  <c r="AE111" i="2"/>
  <c r="AD111" i="2"/>
  <c r="AB111" i="2"/>
  <c r="AA111" i="2"/>
  <c r="Z111" i="2"/>
  <c r="X111" i="2"/>
  <c r="W111" i="2"/>
  <c r="V111" i="2"/>
  <c r="AE98" i="2"/>
  <c r="AE130" i="2" s="1"/>
  <c r="AD98" i="2"/>
  <c r="AD130" i="2" s="1"/>
  <c r="AC98" i="2"/>
  <c r="AC130" i="2" s="1"/>
  <c r="AB98" i="2"/>
  <c r="AB130" i="2" s="1"/>
  <c r="AA98" i="2"/>
  <c r="AA130" i="2" s="1"/>
  <c r="Z98" i="2"/>
  <c r="Z130" i="2" s="1"/>
  <c r="Y98" i="2"/>
  <c r="Y130" i="2" s="1"/>
  <c r="X98" i="2"/>
  <c r="X130" i="2" s="1"/>
  <c r="W98" i="2"/>
  <c r="W130" i="2" s="1"/>
  <c r="V98" i="2"/>
  <c r="W25" i="2"/>
  <c r="X25" i="2"/>
  <c r="Y25" i="2"/>
  <c r="Z25" i="2"/>
  <c r="AA25" i="2"/>
  <c r="AB25" i="2"/>
  <c r="AC25" i="2"/>
  <c r="AD25" i="2"/>
  <c r="AE25" i="2"/>
  <c r="AD13" i="2"/>
  <c r="AD6" i="2"/>
  <c r="AD12" i="2" s="1"/>
  <c r="AD27" i="2" s="1"/>
  <c r="AE6" i="2"/>
  <c r="AE12" i="2" s="1"/>
  <c r="AE27" i="2" s="1"/>
  <c r="Q124" i="2"/>
  <c r="P111" i="2"/>
  <c r="O111" i="2"/>
  <c r="N111" i="2"/>
  <c r="M111" i="2"/>
  <c r="L111" i="2"/>
  <c r="K111" i="2"/>
  <c r="J111" i="2"/>
  <c r="I111" i="2"/>
  <c r="H111" i="2"/>
  <c r="G111" i="2"/>
  <c r="D111" i="2"/>
  <c r="S111" i="2"/>
  <c r="R111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S124" i="2"/>
  <c r="R124" i="2"/>
  <c r="Q111" i="2"/>
  <c r="D98" i="2"/>
  <c r="D130" i="2" s="1"/>
  <c r="E98" i="2"/>
  <c r="E130" i="2" s="1"/>
  <c r="F98" i="2"/>
  <c r="F130" i="2" s="1"/>
  <c r="G98" i="2"/>
  <c r="H130" i="2"/>
  <c r="I98" i="2"/>
  <c r="I130" i="2" s="1"/>
  <c r="J98" i="2"/>
  <c r="J130" i="2" s="1"/>
  <c r="K98" i="2"/>
  <c r="K130" i="2" s="1"/>
  <c r="L98" i="2"/>
  <c r="L130" i="2" s="1"/>
  <c r="M98" i="2"/>
  <c r="M130" i="2" s="1"/>
  <c r="N98" i="2"/>
  <c r="N130" i="2" s="1"/>
  <c r="O98" i="2"/>
  <c r="O130" i="2" s="1"/>
  <c r="P98" i="2"/>
  <c r="P130" i="2" s="1"/>
  <c r="R98" i="2"/>
  <c r="R130" i="2" s="1"/>
  <c r="S98" i="2"/>
  <c r="Q98" i="2"/>
  <c r="D82" i="2"/>
  <c r="E82" i="2"/>
  <c r="F82" i="2"/>
  <c r="G82" i="2"/>
  <c r="H82" i="2"/>
  <c r="I82" i="2"/>
  <c r="J82" i="2"/>
  <c r="K82" i="2"/>
  <c r="L82" i="2"/>
  <c r="N82" i="2"/>
  <c r="O82" i="2"/>
  <c r="P82" i="2"/>
  <c r="R82" i="2"/>
  <c r="S82" i="2"/>
  <c r="M78" i="2"/>
  <c r="P78" i="2"/>
  <c r="O78" i="2"/>
  <c r="N78" i="2"/>
  <c r="L78" i="2"/>
  <c r="K78" i="2"/>
  <c r="J78" i="2"/>
  <c r="J79" i="2" s="1"/>
  <c r="I78" i="2"/>
  <c r="H78" i="2"/>
  <c r="G78" i="2"/>
  <c r="F78" i="2"/>
  <c r="E78" i="2"/>
  <c r="D78" i="2"/>
  <c r="S78" i="2"/>
  <c r="R78" i="2"/>
  <c r="Q78" i="2"/>
  <c r="S60" i="2"/>
  <c r="R60" i="2"/>
  <c r="P60" i="2"/>
  <c r="O60" i="2"/>
  <c r="N60" i="2"/>
  <c r="M60" i="2"/>
  <c r="L60" i="2"/>
  <c r="K60" i="2"/>
  <c r="I60" i="2"/>
  <c r="H60" i="2"/>
  <c r="G60" i="2"/>
  <c r="F60" i="2"/>
  <c r="D60" i="2"/>
  <c r="Q60" i="2"/>
  <c r="A13" i="2" s="1"/>
  <c r="A12" i="2" s="1"/>
  <c r="D54" i="2"/>
  <c r="E54" i="2"/>
  <c r="F54" i="2"/>
  <c r="J54" i="2"/>
  <c r="K54" i="2"/>
  <c r="M54" i="2"/>
  <c r="N54" i="2"/>
  <c r="O54" i="2"/>
  <c r="P54" i="2"/>
  <c r="Q54" i="2"/>
  <c r="R54" i="2"/>
  <c r="S54" i="2"/>
  <c r="G28" i="2"/>
  <c r="K28" i="2"/>
  <c r="O28" i="2"/>
  <c r="P28" i="2"/>
  <c r="S28" i="2"/>
  <c r="R28" i="2"/>
  <c r="H25" i="2"/>
  <c r="I25" i="2"/>
  <c r="K25" i="2"/>
  <c r="L25" i="2"/>
  <c r="M25" i="2"/>
  <c r="N25" i="2"/>
  <c r="O25" i="2"/>
  <c r="P25" i="2"/>
  <c r="D26" i="2"/>
  <c r="E26" i="2"/>
  <c r="F26" i="2"/>
  <c r="G26" i="2"/>
  <c r="H26" i="2"/>
  <c r="I26" i="2"/>
  <c r="J26" i="2"/>
  <c r="K26" i="2"/>
  <c r="L26" i="2"/>
  <c r="N26" i="2"/>
  <c r="O26" i="2"/>
  <c r="P26" i="2"/>
  <c r="R25" i="2"/>
  <c r="S25" i="2"/>
  <c r="R26" i="2"/>
  <c r="S26" i="2"/>
  <c r="Q25" i="2"/>
  <c r="G23" i="2"/>
  <c r="K23" i="2"/>
  <c r="P23" i="2"/>
  <c r="R23" i="2"/>
  <c r="S23" i="2"/>
  <c r="M6" i="2"/>
  <c r="M12" i="2" s="1"/>
  <c r="Q13" i="2"/>
  <c r="Q6" i="2"/>
  <c r="Q12" i="2" s="1"/>
  <c r="Q27" i="2" s="1"/>
  <c r="B6" i="2"/>
  <c r="AH27" i="2" l="1"/>
  <c r="AH28" i="2"/>
  <c r="AH19" i="2"/>
  <c r="AH20" i="2" s="1"/>
  <c r="AH21" i="2" s="1"/>
  <c r="AH23" i="2" s="1"/>
  <c r="F7" i="3" s="1"/>
  <c r="AL5" i="2"/>
  <c r="AL6" i="2"/>
  <c r="AL25" i="2"/>
  <c r="AK12" i="2"/>
  <c r="AK14" i="2" s="1"/>
  <c r="AK28" i="2" s="1"/>
  <c r="AG14" i="2"/>
  <c r="AG19" i="2" s="1"/>
  <c r="AG20" i="2" s="1"/>
  <c r="I28" i="2"/>
  <c r="H28" i="2"/>
  <c r="N28" i="2"/>
  <c r="D28" i="2"/>
  <c r="M14" i="2"/>
  <c r="M19" i="2" s="1"/>
  <c r="M21" i="2" s="1"/>
  <c r="M23" i="2" s="1"/>
  <c r="M27" i="2"/>
  <c r="AF26" i="2"/>
  <c r="AF14" i="2"/>
  <c r="AF27" i="2"/>
  <c r="E28" i="2"/>
  <c r="F28" i="2"/>
  <c r="J28" i="2"/>
  <c r="AJ14" i="2"/>
  <c r="AJ19" i="2" s="1"/>
  <c r="AJ27" i="2"/>
  <c r="F128" i="2"/>
  <c r="M28" i="5"/>
  <c r="S128" i="2"/>
  <c r="L28" i="2"/>
  <c r="AI20" i="2"/>
  <c r="AI21" i="2" s="1"/>
  <c r="AI23" i="2" s="1"/>
  <c r="P128" i="2"/>
  <c r="I128" i="2"/>
  <c r="AE26" i="2"/>
  <c r="J128" i="2"/>
  <c r="N12" i="5"/>
  <c r="N14" i="5" s="1"/>
  <c r="N26" i="5"/>
  <c r="AD14" i="2"/>
  <c r="AD19" i="2" s="1"/>
  <c r="AD21" i="2" s="1"/>
  <c r="AD23" i="2" s="1"/>
  <c r="AD82" i="2"/>
  <c r="Q79" i="2"/>
  <c r="Q26" i="2"/>
  <c r="E79" i="2"/>
  <c r="O128" i="2"/>
  <c r="G128" i="2"/>
  <c r="AD26" i="2"/>
  <c r="K128" i="2"/>
  <c r="AE14" i="2"/>
  <c r="AB26" i="2"/>
  <c r="P12" i="5"/>
  <c r="P14" i="5" s="1"/>
  <c r="P19" i="5" s="1"/>
  <c r="P26" i="5"/>
  <c r="O28" i="5"/>
  <c r="Q5" i="5"/>
  <c r="Q6" i="5" s="1"/>
  <c r="R4" i="5"/>
  <c r="Q25" i="5"/>
  <c r="F19" i="5"/>
  <c r="F21" i="5" s="1"/>
  <c r="F23" i="5" s="1"/>
  <c r="F28" i="5"/>
  <c r="Q128" i="2"/>
  <c r="D128" i="2"/>
  <c r="R79" i="2"/>
  <c r="S79" i="2"/>
  <c r="M79" i="2"/>
  <c r="K79" i="2"/>
  <c r="D79" i="2"/>
  <c r="L79" i="2"/>
  <c r="G130" i="2"/>
  <c r="Z128" i="2"/>
  <c r="N128" i="2"/>
  <c r="V128" i="2"/>
  <c r="M82" i="2"/>
  <c r="H128" i="2"/>
  <c r="L128" i="2"/>
  <c r="Q14" i="2"/>
  <c r="Q82" i="2"/>
  <c r="Q130" i="2"/>
  <c r="M26" i="2"/>
  <c r="O79" i="2"/>
  <c r="S130" i="2"/>
  <c r="I79" i="2"/>
  <c r="R128" i="2"/>
  <c r="E128" i="2"/>
  <c r="AE82" i="2"/>
  <c r="B9" i="2"/>
  <c r="F79" i="2"/>
  <c r="G79" i="2"/>
  <c r="P79" i="2"/>
  <c r="N79" i="2"/>
  <c r="H79" i="2"/>
  <c r="V26" i="2"/>
  <c r="V130" i="2"/>
  <c r="W128" i="2"/>
  <c r="V14" i="2"/>
  <c r="V82" i="2"/>
  <c r="W12" i="2"/>
  <c r="W27" i="2" s="1"/>
  <c r="X128" i="2"/>
  <c r="Y128" i="2"/>
  <c r="X14" i="2"/>
  <c r="X82" i="2"/>
  <c r="X26" i="2"/>
  <c r="Y14" i="2"/>
  <c r="Y82" i="2"/>
  <c r="Y26" i="2"/>
  <c r="AA128" i="2"/>
  <c r="Z12" i="2"/>
  <c r="Z27" i="2" s="1"/>
  <c r="AA14" i="2"/>
  <c r="AA82" i="2"/>
  <c r="AA26" i="2"/>
  <c r="AB128" i="2"/>
  <c r="AC128" i="2"/>
  <c r="AB14" i="2"/>
  <c r="AB82" i="2"/>
  <c r="AC12" i="2"/>
  <c r="AD128" i="2"/>
  <c r="AE128" i="2"/>
  <c r="M128" i="2"/>
  <c r="AK27" i="2" l="1"/>
  <c r="AM5" i="2"/>
  <c r="AM25" i="2"/>
  <c r="AM6" i="2"/>
  <c r="AG28" i="2"/>
  <c r="AL26" i="2"/>
  <c r="AL12" i="2"/>
  <c r="AJ28" i="2"/>
  <c r="AG21" i="2"/>
  <c r="M28" i="2"/>
  <c r="AK19" i="2"/>
  <c r="AK20" i="2" s="1"/>
  <c r="AK21" i="2" s="1"/>
  <c r="AK23" i="2" s="1"/>
  <c r="AF28" i="2"/>
  <c r="AF19" i="2"/>
  <c r="AF20" i="2" s="1"/>
  <c r="AF21" i="2" s="1"/>
  <c r="AF23" i="2" s="1"/>
  <c r="D7" i="3" s="1"/>
  <c r="AC14" i="2"/>
  <c r="AC28" i="2" s="1"/>
  <c r="AC27" i="2"/>
  <c r="E5" i="3"/>
  <c r="F5" i="3"/>
  <c r="D5" i="3"/>
  <c r="AD28" i="2"/>
  <c r="AJ20" i="2"/>
  <c r="AJ21" i="2" s="1"/>
  <c r="AJ23" i="2" s="1"/>
  <c r="P28" i="5"/>
  <c r="N19" i="5"/>
  <c r="N28" i="5"/>
  <c r="E6" i="3"/>
  <c r="F6" i="3"/>
  <c r="D6" i="3"/>
  <c r="AE19" i="2"/>
  <c r="AE21" i="2" s="1"/>
  <c r="AE23" i="2" s="1"/>
  <c r="AE28" i="2"/>
  <c r="Q12" i="5"/>
  <c r="Q14" i="5" s="1"/>
  <c r="Q26" i="5"/>
  <c r="R5" i="5"/>
  <c r="S4" i="5"/>
  <c r="R25" i="5"/>
  <c r="R6" i="5"/>
  <c r="P20" i="5"/>
  <c r="P21" i="5" s="1"/>
  <c r="P23" i="5" s="1"/>
  <c r="Q28" i="2"/>
  <c r="Q19" i="2"/>
  <c r="Q21" i="2" s="1"/>
  <c r="Q23" i="2" s="1"/>
  <c r="V28" i="2"/>
  <c r="V19" i="2"/>
  <c r="V21" i="2" s="1"/>
  <c r="V23" i="2" s="1"/>
  <c r="W82" i="2"/>
  <c r="W14" i="2"/>
  <c r="X28" i="2"/>
  <c r="X19" i="2"/>
  <c r="X21" i="2" s="1"/>
  <c r="X23" i="2" s="1"/>
  <c r="Y28" i="2"/>
  <c r="Y19" i="2"/>
  <c r="Y21" i="2" s="1"/>
  <c r="Y23" i="2" s="1"/>
  <c r="Z14" i="2"/>
  <c r="Z82" i="2"/>
  <c r="AA19" i="2"/>
  <c r="AA21" i="2" s="1"/>
  <c r="AA23" i="2" s="1"/>
  <c r="AA28" i="2"/>
  <c r="AB19" i="2"/>
  <c r="AB21" i="2" s="1"/>
  <c r="AB23" i="2" s="1"/>
  <c r="AB28" i="2"/>
  <c r="AC82" i="2"/>
  <c r="AM26" i="2" l="1"/>
  <c r="AM12" i="2"/>
  <c r="AL27" i="2"/>
  <c r="AL14" i="2"/>
  <c r="AN5" i="2"/>
  <c r="AN6" i="2"/>
  <c r="AN25" i="2"/>
  <c r="AG23" i="2"/>
  <c r="E7" i="3" s="1"/>
  <c r="AC19" i="2"/>
  <c r="AC21" i="2" s="1"/>
  <c r="AC23" i="2" s="1"/>
  <c r="N20" i="5"/>
  <c r="N21" i="5" s="1"/>
  <c r="R12" i="5"/>
  <c r="R14" i="5" s="1"/>
  <c r="R26" i="5"/>
  <c r="S25" i="5"/>
  <c r="S5" i="5"/>
  <c r="T4" i="5"/>
  <c r="S6" i="5"/>
  <c r="Q19" i="5"/>
  <c r="Q20" i="5" s="1"/>
  <c r="Q21" i="5" s="1"/>
  <c r="Q23" i="5" s="1"/>
  <c r="Q28" i="5"/>
  <c r="W28" i="2"/>
  <c r="W19" i="2"/>
  <c r="W21" i="2" s="1"/>
  <c r="W23" i="2" s="1"/>
  <c r="Z19" i="2"/>
  <c r="Z21" i="2" s="1"/>
  <c r="Z23" i="2" s="1"/>
  <c r="Z28" i="2"/>
  <c r="AN12" i="2" l="1"/>
  <c r="AN26" i="2"/>
  <c r="AO5" i="2"/>
  <c r="AO6" i="2"/>
  <c r="AO25" i="2"/>
  <c r="AL19" i="2"/>
  <c r="AL20" i="2" s="1"/>
  <c r="AL21" i="2" s="1"/>
  <c r="AL23" i="2" s="1"/>
  <c r="AL28" i="2"/>
  <c r="AM27" i="2"/>
  <c r="AM14" i="2"/>
  <c r="N23" i="5"/>
  <c r="S12" i="5"/>
  <c r="S14" i="5" s="1"/>
  <c r="S26" i="5"/>
  <c r="T25" i="5"/>
  <c r="T5" i="5"/>
  <c r="U4" i="5"/>
  <c r="T6" i="5"/>
  <c r="R19" i="5"/>
  <c r="R20" i="5" s="1"/>
  <c r="R21" i="5" s="1"/>
  <c r="R23" i="5" s="1"/>
  <c r="R28" i="5"/>
  <c r="AN14" i="2" l="1"/>
  <c r="AN27" i="2"/>
  <c r="AO26" i="2"/>
  <c r="AO12" i="2"/>
  <c r="AP5" i="2"/>
  <c r="AP6" i="2"/>
  <c r="AP25" i="2"/>
  <c r="AM28" i="2"/>
  <c r="AM19" i="2"/>
  <c r="AM20" i="2" s="1"/>
  <c r="AM21" i="2" s="1"/>
  <c r="T12" i="5"/>
  <c r="T14" i="5" s="1"/>
  <c r="T26" i="5"/>
  <c r="U25" i="5"/>
  <c r="U5" i="5"/>
  <c r="V4" i="5"/>
  <c r="U6" i="5"/>
  <c r="S28" i="5"/>
  <c r="S19" i="5"/>
  <c r="S20" i="5" s="1"/>
  <c r="S21" i="5" s="1"/>
  <c r="S23" i="5" s="1"/>
  <c r="AP26" i="2" l="1"/>
  <c r="AP12" i="2"/>
  <c r="AO14" i="2"/>
  <c r="AO27" i="2"/>
  <c r="AM23" i="2"/>
  <c r="AN28" i="2"/>
  <c r="AN19" i="2"/>
  <c r="AN20" i="2" s="1"/>
  <c r="AN21" i="2" s="1"/>
  <c r="AN23" i="2" s="1"/>
  <c r="W4" i="5"/>
  <c r="V5" i="5"/>
  <c r="V6" i="5"/>
  <c r="V25" i="5"/>
  <c r="U12" i="5"/>
  <c r="U14" i="5" s="1"/>
  <c r="U26" i="5"/>
  <c r="T28" i="5"/>
  <c r="T19" i="5"/>
  <c r="T20" i="5" s="1"/>
  <c r="T21" i="5" s="1"/>
  <c r="T23" i="5" s="1"/>
  <c r="AO28" i="2" l="1"/>
  <c r="AO19" i="2"/>
  <c r="AO20" i="2" s="1"/>
  <c r="AO21" i="2" s="1"/>
  <c r="AO23" i="2" s="1"/>
  <c r="AP27" i="2"/>
  <c r="AP14" i="2"/>
  <c r="V12" i="5"/>
  <c r="V14" i="5" s="1"/>
  <c r="V26" i="5"/>
  <c r="U19" i="5"/>
  <c r="U20" i="5" s="1"/>
  <c r="U21" i="5" s="1"/>
  <c r="U23" i="5" s="1"/>
  <c r="U28" i="5"/>
  <c r="W5" i="5"/>
  <c r="W25" i="5"/>
  <c r="X4" i="5"/>
  <c r="W6" i="5"/>
  <c r="AP28" i="2" l="1"/>
  <c r="AP19" i="2"/>
  <c r="AP20" i="2" s="1"/>
  <c r="AP21" i="2" s="1"/>
  <c r="W12" i="5"/>
  <c r="W14" i="5" s="1"/>
  <c r="W26" i="5"/>
  <c r="X25" i="5"/>
  <c r="X5" i="5"/>
  <c r="X6" i="5"/>
  <c r="V19" i="5"/>
  <c r="V20" i="5" s="1"/>
  <c r="V21" i="5" s="1"/>
  <c r="V23" i="5" s="1"/>
  <c r="V28" i="5"/>
  <c r="AP23" i="2" l="1"/>
  <c r="AQ21" i="2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EG21" i="2" s="1"/>
  <c r="EH21" i="2" s="1"/>
  <c r="EI21" i="2" s="1"/>
  <c r="EJ21" i="2" s="1"/>
  <c r="EK21" i="2" s="1"/>
  <c r="EL21" i="2" s="1"/>
  <c r="EM21" i="2" s="1"/>
  <c r="EN21" i="2" s="1"/>
  <c r="EO21" i="2" s="1"/>
  <c r="X12" i="5"/>
  <c r="X14" i="5" s="1"/>
  <c r="X26" i="5"/>
  <c r="W19" i="5"/>
  <c r="W20" i="5" s="1"/>
  <c r="W21" i="5" s="1"/>
  <c r="W23" i="5" s="1"/>
  <c r="W28" i="5"/>
  <c r="AS26" i="2" l="1"/>
  <c r="AS28" i="2" s="1"/>
  <c r="AS29" i="2" s="1"/>
  <c r="X19" i="5"/>
  <c r="X20" i="5" s="1"/>
  <c r="X21" i="5" s="1"/>
  <c r="X28" i="5"/>
  <c r="X23" i="5" l="1"/>
  <c r="Y21" i="5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EG21" i="5" s="1"/>
  <c r="EH21" i="5" s="1"/>
  <c r="EI21" i="5" s="1"/>
  <c r="EJ21" i="5" s="1"/>
  <c r="EK21" i="5" s="1"/>
  <c r="O19" i="5" l="1"/>
  <c r="O20" i="5" s="1"/>
  <c r="O21" i="5" l="1"/>
  <c r="O23" i="5" l="1"/>
  <c r="AA26" i="5"/>
  <c r="AA28" i="5" s="1"/>
  <c r="A5" i="5" l="1"/>
  <c r="AA29" i="5"/>
  <c r="A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tc={EE99891B-7261-2843-AABE-5DEEB7F3FED5}</author>
    <author>tc={8A13C613-E8FC-E14D-8075-FF174949A718}</author>
  </authors>
  <commentList>
    <comment ref="C31" authorId="0" shapeId="0" xr:uid="{EE99891B-7261-2843-AABE-5DEEB7F3FED5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Installert og under konstruksjon
</t>
      </text>
    </comment>
    <comment ref="D57" authorId="1" shapeId="0" xr:uid="{8A13C613-E8FC-E14D-8075-FF174949A71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Dividend 5255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tc={A9097F8D-91A8-9741-8D5E-CDDC3AD62120}</author>
    <author>tc={8E62FA0B-E388-8D44-90E1-02F4E3C81772}</author>
    <author>tc={A93D8A69-F21C-5B45-B427-37C2B7AE4D98}</author>
    <author>tc={019E1FA5-46A4-7B4F-BAC4-BCBE12FE427B}</author>
  </authors>
  <commentList>
    <comment ref="B5" authorId="0" shapeId="0" xr:uid="{A9097F8D-91A8-9741-8D5E-CDDC3AD6212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Installert eller kapasitet som Ørsted har tatt final decision på</t>
      </text>
    </comment>
    <comment ref="B9" authorId="1" shapeId="0" xr:uid="{8E62FA0B-E388-8D44-90E1-02F4E3C8177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Eierskapsjustert kapasitet</t>
      </text>
    </comment>
    <comment ref="B12" authorId="2" shapeId="0" xr:uid="{A93D8A69-F21C-5B45-B427-37C2B7AE4D9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Hvor mye av den teoretiske maksimale kapasiteten som blir brukt</t>
      </text>
    </comment>
    <comment ref="B13" authorId="3" shapeId="0" xr:uid="{019E1FA5-46A4-7B4F-BAC4-BCBE12FE427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Hvor stor del av tiden møllene var teknisk tilgjengelig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tc={5607A2FE-9E90-A34D-9BBA-187208773FF1}</author>
  </authors>
  <commentList>
    <comment ref="B5" authorId="0" shapeId="0" xr:uid="{5607A2FE-9E90-A34D-9BBA-187208773FF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Installert eller kapasitet som Ørsted har tatt final decision på</t>
      </text>
    </comment>
  </commentList>
</comments>
</file>

<file path=xl/sharedStrings.xml><?xml version="1.0" encoding="utf-8"?>
<sst xmlns="http://schemas.openxmlformats.org/spreadsheetml/2006/main" count="705" uniqueCount="480">
  <si>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</si>
  <si>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</si>
  <si>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</si>
  <si>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</si>
  <si>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</si>
  <si>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</si>
  <si>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</si>
  <si>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</si>
  <si>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</si>
  <si>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</si>
  <si>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</si>
  <si>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</si>
  <si>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</si>
  <si>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</si>
  <si>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</si>
  <si>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</si>
  <si>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</si>
  <si>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</si>
  <si>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</si>
  <si>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</si>
  <si>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</si>
  <si>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</si>
  <si>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</si>
  <si>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</si>
  <si>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</si>
  <si>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</si>
  <si>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</si>
  <si>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</si>
  <si>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</si>
  <si>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</si>
  <si>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</si>
  <si>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</si>
  <si>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</si>
  <si>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</si>
  <si>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</si>
  <si>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</si>
  <si>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</si>
  <si>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</si>
  <si>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Revenue y/y</t>
  </si>
  <si>
    <t>EBIT margin</t>
  </si>
  <si>
    <t>Nedside</t>
  </si>
  <si>
    <t>FY 2015</t>
  </si>
  <si>
    <t>FY 2016</t>
  </si>
  <si>
    <t>FY 2017</t>
  </si>
  <si>
    <t>FY 2018</t>
  </si>
  <si>
    <t>Press releases:</t>
  </si>
  <si>
    <t>Revenues</t>
  </si>
  <si>
    <t>Cost of sales</t>
  </si>
  <si>
    <t>Gross profit</t>
  </si>
  <si>
    <t>Other external expenses</t>
  </si>
  <si>
    <t>Employee costs</t>
  </si>
  <si>
    <t>Share of JV</t>
  </si>
  <si>
    <t>Other operating income</t>
  </si>
  <si>
    <t>Other opex</t>
  </si>
  <si>
    <t>EBITDA</t>
  </si>
  <si>
    <t>A/I</t>
  </si>
  <si>
    <t>EBIT</t>
  </si>
  <si>
    <t>Divestment of enterprises</t>
  </si>
  <si>
    <t>Financial income</t>
  </si>
  <si>
    <t>Financial expenses</t>
  </si>
  <si>
    <t>PTP</t>
  </si>
  <si>
    <t>Tax</t>
  </si>
  <si>
    <t>Net income</t>
  </si>
  <si>
    <t>Share</t>
  </si>
  <si>
    <t>EPS</t>
  </si>
  <si>
    <t>Gross margin</t>
  </si>
  <si>
    <t>DKKm</t>
  </si>
  <si>
    <t>MC DKKm</t>
  </si>
  <si>
    <t>Cash DKKm</t>
  </si>
  <si>
    <t>Debt DKKm</t>
  </si>
  <si>
    <t>EV DKKm</t>
  </si>
  <si>
    <t>Balanse DKKm</t>
  </si>
  <si>
    <t>Land and buildings</t>
  </si>
  <si>
    <t>Production assets</t>
  </si>
  <si>
    <t>Fixtures and fittings</t>
  </si>
  <si>
    <t>PP&amp;E</t>
  </si>
  <si>
    <t>Investments in JV</t>
  </si>
  <si>
    <t>Receivables from JV</t>
  </si>
  <si>
    <t>Other securities</t>
  </si>
  <si>
    <t>Derivatives</t>
  </si>
  <si>
    <t>Deferred tax</t>
  </si>
  <si>
    <t>Other receivables</t>
  </si>
  <si>
    <t>Inventories</t>
  </si>
  <si>
    <t>Contract assets</t>
  </si>
  <si>
    <t>Trade receivables</t>
  </si>
  <si>
    <t>Income tax</t>
  </si>
  <si>
    <t>Securities</t>
  </si>
  <si>
    <t>Cash</t>
  </si>
  <si>
    <t>Total assets</t>
  </si>
  <si>
    <t>Share capital</t>
  </si>
  <si>
    <t>Reserves</t>
  </si>
  <si>
    <t>Retained earnings</t>
  </si>
  <si>
    <t>Hybrid capital</t>
  </si>
  <si>
    <t>Non-controlling interests</t>
  </si>
  <si>
    <t>Total equity</t>
  </si>
  <si>
    <t>Provisions</t>
  </si>
  <si>
    <t>Lease liabilities</t>
  </si>
  <si>
    <t>Non-current bond and bank debt</t>
  </si>
  <si>
    <t>Contract liabilities</t>
  </si>
  <si>
    <t>Tax equity liabilities</t>
  </si>
  <si>
    <t>Other payables</t>
  </si>
  <si>
    <t>Current bond and bank debt</t>
  </si>
  <si>
    <t>Contract libailites</t>
  </si>
  <si>
    <t>Trade payable</t>
  </si>
  <si>
    <t>Tax equity liabiliteis</t>
  </si>
  <si>
    <t>Total debt</t>
  </si>
  <si>
    <t>Total E/D</t>
  </si>
  <si>
    <t xml:space="preserve">Cash flow DKKm </t>
  </si>
  <si>
    <t>Model EBITDA</t>
  </si>
  <si>
    <t>Reported EBITDA</t>
  </si>
  <si>
    <t>Reversal of gain (loss)</t>
  </si>
  <si>
    <t>Change in derivatives</t>
  </si>
  <si>
    <t>Change in provisons</t>
  </si>
  <si>
    <t>Change in inventories</t>
  </si>
  <si>
    <t>Change in contract assets</t>
  </si>
  <si>
    <t>Change in trade receiavbles</t>
  </si>
  <si>
    <t>Change in other receivables</t>
  </si>
  <si>
    <t>Change in trade payable</t>
  </si>
  <si>
    <t>Change in tax equity lia</t>
  </si>
  <si>
    <t>Change in other payables</t>
  </si>
  <si>
    <t>Interest received</t>
  </si>
  <si>
    <t>Interest paid</t>
  </si>
  <si>
    <t>Income tax paid</t>
  </si>
  <si>
    <t>CFFO</t>
  </si>
  <si>
    <t>Capex</t>
  </si>
  <si>
    <t>Sale of intangible assets and PP&amp;E</t>
  </si>
  <si>
    <t>Purchase of JV</t>
  </si>
  <si>
    <t>Purchase of securities</t>
  </si>
  <si>
    <t>Sale/maturation of securities</t>
  </si>
  <si>
    <t>Transaction with JV</t>
  </si>
  <si>
    <t>Dividend from JV</t>
  </si>
  <si>
    <t>CFFI</t>
  </si>
  <si>
    <t>Raising of loans</t>
  </si>
  <si>
    <t>Instalments on loans</t>
  </si>
  <si>
    <t>Instalments on leases</t>
  </si>
  <si>
    <t>Coupon payment on hybrid capital</t>
  </si>
  <si>
    <t>Proceeds from issuance of hybrid</t>
  </si>
  <si>
    <t>Trasnactions with non-contrlling int</t>
  </si>
  <si>
    <t>Net proceeds from tax equity</t>
  </si>
  <si>
    <t xml:space="preserve">Collaterol posted </t>
  </si>
  <si>
    <t>Collaterol relaeased</t>
  </si>
  <si>
    <t>Restricted cash</t>
  </si>
  <si>
    <t>CFFF</t>
  </si>
  <si>
    <t>FX</t>
  </si>
  <si>
    <t>CIC</t>
  </si>
  <si>
    <t>FCF</t>
  </si>
  <si>
    <t>Gross investments:</t>
  </si>
  <si>
    <t xml:space="preserve">EBITDA: </t>
  </si>
  <si>
    <t>50-54 DKK billion</t>
  </si>
  <si>
    <t>ROCE</t>
  </si>
  <si>
    <t>.822</t>
  </si>
  <si>
    <t>capex Y/Y</t>
  </si>
  <si>
    <t>Other items</t>
  </si>
  <si>
    <t>Divestment of EP</t>
  </si>
  <si>
    <t>P/B</t>
  </si>
  <si>
    <t>Discount</t>
  </si>
  <si>
    <t>TV</t>
  </si>
  <si>
    <t>NPV</t>
  </si>
  <si>
    <t>NPV/Share</t>
  </si>
  <si>
    <t>Opp/nedside</t>
  </si>
  <si>
    <t>Nullvekst og konstante marginer</t>
  </si>
  <si>
    <t>EBITDA margin</t>
  </si>
  <si>
    <t>Opp-/nedside</t>
  </si>
  <si>
    <t>EV/EBITDA</t>
  </si>
  <si>
    <t>Change in other non-current assets</t>
  </si>
  <si>
    <t>Repurchase of hybrid capital</t>
  </si>
  <si>
    <t>USA</t>
  </si>
  <si>
    <t>Block island wind farm</t>
  </si>
  <si>
    <t>Revolution wind</t>
  </si>
  <si>
    <t>South fork wind</t>
  </si>
  <si>
    <t>Sunrise wind</t>
  </si>
  <si>
    <t>Number of turbines: 5</t>
  </si>
  <si>
    <t>Wind turbine capaicity: 6 MW</t>
  </si>
  <si>
    <t>Location: 3 miles southeast of Bloclk Island, RI</t>
  </si>
  <si>
    <t>Operation since: 2016</t>
  </si>
  <si>
    <t>Ownership: 100%</t>
  </si>
  <si>
    <t>Status: Under construction</t>
  </si>
  <si>
    <t>Capacity: 400 MW to RI and 304 MW to Connecticut</t>
  </si>
  <si>
    <t xml:space="preserve">Location: 15 miles south of the RI coast </t>
  </si>
  <si>
    <t>Ownership: 50% (Global Infrastructure partners)</t>
  </si>
  <si>
    <t>Capacity: 132 MW</t>
  </si>
  <si>
    <t>Number of turbines: 12</t>
  </si>
  <si>
    <t>Wind turbine capacity: 11MW</t>
  </si>
  <si>
    <t>Location: 35 miles east of Montauk Point</t>
  </si>
  <si>
    <t>Operation since: 2024</t>
  </si>
  <si>
    <t>Owership: 50% (Global Infrastructure partners)</t>
  </si>
  <si>
    <t>Capacity: 924 MW</t>
  </si>
  <si>
    <t>Location: 30 miles east of Long Island's Montauk Point</t>
  </si>
  <si>
    <t>UK</t>
  </si>
  <si>
    <t>Barrow</t>
  </si>
  <si>
    <t>Number of turbines: 30</t>
  </si>
  <si>
    <t>Operation since: 2006</t>
  </si>
  <si>
    <t>Location: Northwest coast of England</t>
  </si>
  <si>
    <t>Burbo Bank</t>
  </si>
  <si>
    <t>Number of turbines: 25</t>
  </si>
  <si>
    <t>Operation since: 2007</t>
  </si>
  <si>
    <t>Location: Burbo Flats in Liverpool Bay</t>
  </si>
  <si>
    <t>Burbo Bank Extension</t>
  </si>
  <si>
    <t>Number of turbines: 32</t>
  </si>
  <si>
    <t>Operation since: 2017</t>
  </si>
  <si>
    <t>Ownership: 50% (LEGO (Kirkbi), Greencoat</t>
  </si>
  <si>
    <t>Gunfleet Sands 1&amp; 2</t>
  </si>
  <si>
    <t>Number of turbines: 48</t>
  </si>
  <si>
    <t>Overall capacity: 173 MW</t>
  </si>
  <si>
    <t>Overall capacity: 30 MW</t>
  </si>
  <si>
    <t>Overall capacity 90 MW</t>
  </si>
  <si>
    <t>Overall capacity: 90 MW</t>
  </si>
  <si>
    <t>Overall capacity 250 MW</t>
  </si>
  <si>
    <t>Operation since: 2010</t>
  </si>
  <si>
    <t>Location: 7km southeast of Essex</t>
  </si>
  <si>
    <t>Ownership: 50% (JERA, Dev bank of Japan)</t>
  </si>
  <si>
    <t>Gunfleet Sands 3</t>
  </si>
  <si>
    <t>Number of turbines: 2</t>
  </si>
  <si>
    <t>Overall capacity: 12 MW</t>
  </si>
  <si>
    <t>Operation since: 2013</t>
  </si>
  <si>
    <t>Hornsea 1</t>
  </si>
  <si>
    <t>Number of turbines: 174</t>
  </si>
  <si>
    <t>Overall capacity: 1218 MW</t>
  </si>
  <si>
    <t>Wind turbines capacity: 7 MW</t>
  </si>
  <si>
    <t>Operation since: 2019</t>
  </si>
  <si>
    <t>Location: North sea, 100km from Yorkshire coast</t>
  </si>
  <si>
    <t>Ownership: 50% (Grenncoat, TRIG % Equitix, GLIL &amp; Octupus renewables)</t>
  </si>
  <si>
    <t>Hornsea 2</t>
  </si>
  <si>
    <t>Number of turbines: 165</t>
  </si>
  <si>
    <t>Overall capacity: 1320 MW</t>
  </si>
  <si>
    <t>Wind turbines capacity: 8 MW</t>
  </si>
  <si>
    <t>Operation since: 2022</t>
  </si>
  <si>
    <t>Location: North sea, 89km from Yorkshire coast, adjacent to H1</t>
  </si>
  <si>
    <t>Ownership: 50% (AXA IM Alts and Credit Agricole Assurance)</t>
  </si>
  <si>
    <t>Expected capacity: 2800 MW</t>
  </si>
  <si>
    <t>Location: Off the North Norfolk coast in the north sea</t>
  </si>
  <si>
    <t>Hornsea 3</t>
  </si>
  <si>
    <t>Status: Awarded</t>
  </si>
  <si>
    <t>Expected capacity: 2400 MW</t>
  </si>
  <si>
    <t>Expected completion: 2030</t>
  </si>
  <si>
    <t>Location: North Sea, approx 69km off the Yorkshire coast</t>
  </si>
  <si>
    <t>Isle of Man</t>
  </si>
  <si>
    <t>Satus: In development</t>
  </si>
  <si>
    <t>Lincs:</t>
  </si>
  <si>
    <t>Location: 8km off the east coast, near Ksegness in Lincolnshire</t>
  </si>
  <si>
    <t>Number of turbines: 75</t>
  </si>
  <si>
    <t>Overall capacity: 270 MW</t>
  </si>
  <si>
    <t>Ownership: 25% (GIG; Octupus renewables</t>
  </si>
  <si>
    <t>Race Bank</t>
  </si>
  <si>
    <t>Location: 17 miles off Blakeney Point</t>
  </si>
  <si>
    <t>Number of turbines: 91</t>
  </si>
  <si>
    <t>Overall capicity: 546 MW</t>
  </si>
  <si>
    <t>Operation since: 2018</t>
  </si>
  <si>
    <t>Ownership: 50% (MIRA, RE Fund)</t>
  </si>
  <si>
    <t>Walney</t>
  </si>
  <si>
    <t>Number of turbines: 102</t>
  </si>
  <si>
    <t>Overall capacity: 367 MW</t>
  </si>
  <si>
    <t>Operation since 2012</t>
  </si>
  <si>
    <t>Ownership: 50% (PGGM; Greencoat)</t>
  </si>
  <si>
    <t>Walney Extension</t>
  </si>
  <si>
    <t>Location: 15km from Coastline of Walney Island</t>
  </si>
  <si>
    <t xml:space="preserve">Location: approx 19 km West of Barrow-in-Furness </t>
  </si>
  <si>
    <t>Number of turbines: 87</t>
  </si>
  <si>
    <t>Overall capacity: 659 MW</t>
  </si>
  <si>
    <t>Operation since 2018</t>
  </si>
  <si>
    <t>Ownership: 50% (AIP, PFA)</t>
  </si>
  <si>
    <t>West of Duddon Sands</t>
  </si>
  <si>
    <t>Location: 14km from Walney Island, Cumbria</t>
  </si>
  <si>
    <t>Number of turbines: 108</t>
  </si>
  <si>
    <t>Overall capacity: 389 MW</t>
  </si>
  <si>
    <t>Operation since: 2014</t>
  </si>
  <si>
    <t>Ownership: 50% (Scottish Power Renewables)</t>
  </si>
  <si>
    <t>Westermost Rough</t>
  </si>
  <si>
    <t>Location: 8km off the Yorkshire Coast</t>
  </si>
  <si>
    <t>Number of turbines: 35</t>
  </si>
  <si>
    <t>Overall capacity: 210 MW</t>
  </si>
  <si>
    <t>Operation since: 2015</t>
  </si>
  <si>
    <t>Ownership: 50% (Equitix, USS, Stepstone)</t>
  </si>
  <si>
    <t>Taiwan</t>
  </si>
  <si>
    <t>Formosa 1</t>
  </si>
  <si>
    <t>Location: 2-6 km off the coast of Miaoli County</t>
  </si>
  <si>
    <t>Overall capacity: 128 MW</t>
  </si>
  <si>
    <t>Number of turbines: 22</t>
  </si>
  <si>
    <t>Ownership: 35%</t>
  </si>
  <si>
    <t>Greater Changhua</t>
  </si>
  <si>
    <t>Location: 35-50km of the coast of Changhua County</t>
  </si>
  <si>
    <t>Overall capacity: 605,2 MW</t>
  </si>
  <si>
    <t>Ownership: 50% (CDPQ &amp; Cathay PE</t>
  </si>
  <si>
    <t>Greater Changhua 2a</t>
  </si>
  <si>
    <t>Number of turbines: 36</t>
  </si>
  <si>
    <t>Overall capacity: 294,8 MW</t>
  </si>
  <si>
    <t>Greater Changhua 2b &amp; 4</t>
  </si>
  <si>
    <t>Overall capacity: 940 MW</t>
  </si>
  <si>
    <t>Location: Coast of Changhua County</t>
  </si>
  <si>
    <t>Poland</t>
  </si>
  <si>
    <t>Baltica 2 &amp; 3</t>
  </si>
  <si>
    <t>Status: awarded</t>
  </si>
  <si>
    <t>Capacity: Baltica 2 (1498 MW), Baltica 3 (1255 MW)</t>
  </si>
  <si>
    <t>Nederland</t>
  </si>
  <si>
    <t xml:space="preserve">Borssele 1 &amp; 2 </t>
  </si>
  <si>
    <t>Location: In the North Sea, 23 km off the Dutch Zeeland coast</t>
  </si>
  <si>
    <t>Overall capacity: 752 MW</t>
  </si>
  <si>
    <t>Number of turbines: 94</t>
  </si>
  <si>
    <t>Operation since: 2020</t>
  </si>
  <si>
    <t>Ownership: 50% (NBIM)</t>
  </si>
  <si>
    <t>Tyskland/Danmark</t>
  </si>
  <si>
    <t>Borkum Riffgrund 1</t>
  </si>
  <si>
    <t>Location: 37km from Borkum, in the German North sea</t>
  </si>
  <si>
    <t>Overall capacity: 312 MW</t>
  </si>
  <si>
    <t>Number of turbines: 78</t>
  </si>
  <si>
    <t>Ownership: 50% (Greencoat renewables)</t>
  </si>
  <si>
    <t>Borkum Riffgrund 2</t>
  </si>
  <si>
    <t>Location: Adjacent to BR 1</t>
  </si>
  <si>
    <t>Overall capacity: 450 MW</t>
  </si>
  <si>
    <t>Number of turbines: 56</t>
  </si>
  <si>
    <t>Ownership: 50% (Gulf Energy)</t>
  </si>
  <si>
    <t>Borkum Riffgrund 3</t>
  </si>
  <si>
    <t>Location: Adjacent to BR 1 and 2</t>
  </si>
  <si>
    <t>Overall capacity: 913 MW</t>
  </si>
  <si>
    <t>Number of turbines: 83</t>
  </si>
  <si>
    <t xml:space="preserve">Gode wind 1 &amp; 2 </t>
  </si>
  <si>
    <t>Location: 50km from Lower Saxony coast</t>
  </si>
  <si>
    <t>Overall capacity: 582 MW</t>
  </si>
  <si>
    <t>Number of turbines: 97</t>
  </si>
  <si>
    <t>Ownership: 50% (Nuveen Infrastructure)</t>
  </si>
  <si>
    <t>Ownership: 50% (Nuveen infrastructure ...)</t>
  </si>
  <si>
    <t>Gode wind 3</t>
  </si>
  <si>
    <t>Overall capacity: 253 MW</t>
  </si>
  <si>
    <t>Number of turbines: 23</t>
  </si>
  <si>
    <t>Ownership: 50% (Nuveen infrastructure)</t>
  </si>
  <si>
    <t>Operation since: 2025</t>
  </si>
  <si>
    <t>Anholdt</t>
  </si>
  <si>
    <t>Overall capacity: 400 MW</t>
  </si>
  <si>
    <t>Number of turbines: 111</t>
  </si>
  <si>
    <t>Location: Between Djursland and Anholt</t>
  </si>
  <si>
    <t>Ownership: 50% (PensionDanmark)</t>
  </si>
  <si>
    <t>Avedøre</t>
  </si>
  <si>
    <t>Overall capacity: 7,2 MW</t>
  </si>
  <si>
    <t>Operation since: 2009-2011</t>
  </si>
  <si>
    <t>Location: Avedøre</t>
  </si>
  <si>
    <t>Horns Rev 1</t>
  </si>
  <si>
    <t>Overall capacity: 160 MW</t>
  </si>
  <si>
    <t>Number of turbines: 80</t>
  </si>
  <si>
    <t>Operation since: 2002</t>
  </si>
  <si>
    <t>Location: North sea</t>
  </si>
  <si>
    <t>Ownership: 40% (Vattenfall)</t>
  </si>
  <si>
    <t>Horns Rev 2</t>
  </si>
  <si>
    <t>Overall capacity: 209 MW</t>
  </si>
  <si>
    <t>Operation since: 2009</t>
  </si>
  <si>
    <t>Location: 30km off Esbjerg</t>
  </si>
  <si>
    <t>Nysted</t>
  </si>
  <si>
    <t>Number of turbines: 72</t>
  </si>
  <si>
    <t>Operation since: 2003</t>
  </si>
  <si>
    <t>Location: 10km South of Nysted</t>
  </si>
  <si>
    <t>Ownership: 42,7%</t>
  </si>
  <si>
    <t>(Hornsea 4)</t>
  </si>
  <si>
    <t>Overall capacity: 165,6 MW</t>
  </si>
  <si>
    <t>Installed capacity (GW)</t>
  </si>
  <si>
    <t>1000 MW</t>
  </si>
  <si>
    <t>1 TW</t>
  </si>
  <si>
    <t>1 GW</t>
  </si>
  <si>
    <t>1000 GW</t>
  </si>
  <si>
    <t>y/y</t>
  </si>
  <si>
    <t>Guidance Q225</t>
  </si>
  <si>
    <t>5. sep er generalforsamling her skal de godkjenne og etter dette gi mer info om emi.</t>
  </si>
  <si>
    <r>
      <rPr>
        <b/>
        <sz val="14"/>
        <color theme="1"/>
        <rFont val="Calibri"/>
        <family val="2"/>
        <scheme val="minor"/>
      </rPr>
      <t>25.08.25:</t>
    </r>
    <r>
      <rPr>
        <sz val="14"/>
        <color theme="1"/>
        <rFont val="Calibri"/>
        <family val="2"/>
        <scheme val="minor"/>
      </rPr>
      <t xml:space="preserve"> Ørsted bekrefter at de fortsetter med den planlagte emisjonen. </t>
    </r>
  </si>
  <si>
    <r>
      <rPr>
        <b/>
        <sz val="14"/>
        <color theme="1"/>
        <rFont val="Calibri"/>
        <family val="2"/>
        <scheme val="minor"/>
      </rPr>
      <t xml:space="preserve">23.08.25: </t>
    </r>
    <r>
      <rPr>
        <sz val="14"/>
        <color theme="1"/>
        <rFont val="Calibri"/>
        <family val="2"/>
        <scheme val="minor"/>
      </rPr>
      <t>22. aug fikk Ørsted en stoppordre fra USA om å stoppe byggingen av Revolution Wind</t>
    </r>
  </si>
  <si>
    <r>
      <rPr>
        <b/>
        <sz val="14"/>
        <color theme="1"/>
        <rFont val="Calibri"/>
        <family val="2"/>
        <scheme val="minor"/>
      </rPr>
      <t>11.08.25:</t>
    </r>
    <r>
      <rPr>
        <sz val="14"/>
        <color theme="1"/>
        <rFont val="Calibri"/>
        <family val="2"/>
        <scheme val="minor"/>
      </rPr>
      <t xml:space="preserve"> Ørsted henter 60mrd DKK i en emisjon med danske stat som garantist med 50,1% </t>
    </r>
  </si>
  <si>
    <t>Grunnet uroligeheter i USA er det ikke mulig å utføre "the planned partial divestment and financing".</t>
  </si>
  <si>
    <t>De skal egentlig selge seg ned i Sunrise, noe de ikke har fått til. Aksjen falt 30%</t>
  </si>
  <si>
    <r>
      <t xml:space="preserve">10.07.2025: </t>
    </r>
    <r>
      <rPr>
        <sz val="14"/>
        <color theme="1"/>
        <rFont val="Calibri"/>
        <family val="2"/>
        <scheme val="minor"/>
      </rPr>
      <t>Ørsted sikrer finansiering på Greater Changua 2</t>
    </r>
    <r>
      <rPr>
        <b/>
        <sz val="14"/>
        <color theme="1"/>
        <rFont val="Calibri"/>
        <family val="2"/>
        <scheme val="minor"/>
      </rPr>
      <t xml:space="preserve">.  </t>
    </r>
    <r>
      <rPr>
        <sz val="14"/>
        <color theme="1"/>
        <rFont val="Calibri"/>
        <family val="2"/>
        <scheme val="minor"/>
      </rPr>
      <t>Pakke som innebærer 25 banker for å sikre 20mrd DKK</t>
    </r>
  </si>
  <si>
    <r>
      <rPr>
        <b/>
        <sz val="14"/>
        <color theme="1"/>
        <rFont val="Calibri"/>
        <family val="2"/>
        <scheme val="minor"/>
      </rPr>
      <t>07.05.25:</t>
    </r>
    <r>
      <rPr>
        <sz val="14"/>
        <color theme="1"/>
        <rFont val="Calibri"/>
        <family val="2"/>
        <scheme val="minor"/>
      </rPr>
      <t xml:space="preserve"> Ørsted har vedtatt å droppe Hornsea 4 i sin gjeldende form. Siden de fikk lisense i sep24 har kostnadene økt, økning i renter og økende risiko</t>
    </r>
  </si>
  <si>
    <t>"Farm-down" uttrykk for når Ørsted selger seg ned i sine assets</t>
  </si>
  <si>
    <t>for å finansiere andre prosjekter</t>
  </si>
  <si>
    <r>
      <rPr>
        <b/>
        <sz val="14"/>
        <color theme="1"/>
        <rFont val="Calibri"/>
        <family val="2"/>
        <scheme val="minor"/>
      </rPr>
      <t>01.05.25</t>
    </r>
    <r>
      <rPr>
        <sz val="14"/>
        <color theme="1"/>
        <rFont val="Calibri"/>
        <family val="2"/>
        <scheme val="minor"/>
      </rPr>
      <t>: Ørsted har utført en "Farm-down" for en 24,5% andel i West of Duddon sands Offshore. Får inn 4mrd DKK</t>
    </r>
  </si>
  <si>
    <t xml:space="preserve"> </t>
  </si>
  <si>
    <t>24-27 DKK billion</t>
  </si>
  <si>
    <t>EBITDA 26</t>
  </si>
  <si>
    <t>EBITDA 27</t>
  </si>
  <si>
    <t>&gt; 32 BDKK</t>
  </si>
  <si>
    <t>&gt; 28 BDKK</t>
  </si>
  <si>
    <t>Gross capex 25-27</t>
  </si>
  <si>
    <t>145 BDKK</t>
  </si>
  <si>
    <t>Germany</t>
  </si>
  <si>
    <t>Status: in operation</t>
  </si>
  <si>
    <t>Location: Bodenwöhr, Bavaria</t>
  </si>
  <si>
    <t>Number of panels: 18 972</t>
  </si>
  <si>
    <t>Solar capacity: 10,4 MWp</t>
  </si>
  <si>
    <t>Altenschwand</t>
  </si>
  <si>
    <t>Amberg Sud</t>
  </si>
  <si>
    <t>Location: Amberg, in the Oberpfalz</t>
  </si>
  <si>
    <t>Number of panels: 7 690</t>
  </si>
  <si>
    <t xml:space="preserve">Solar capacity: 4,8 MWac </t>
  </si>
  <si>
    <t>Hatzenhof Solarpark</t>
  </si>
  <si>
    <t xml:space="preserve">Solar capacity: 9 MWac </t>
  </si>
  <si>
    <t>Rottenegg Solarpark</t>
  </si>
  <si>
    <t xml:space="preserve">Solar capacity: 6 MWac </t>
  </si>
  <si>
    <t>Ballinrea solar farm</t>
  </si>
  <si>
    <t xml:space="preserve">Solar capacity: 55 MWac </t>
  </si>
  <si>
    <t>Target operation: 2026</t>
  </si>
  <si>
    <t>Garreenleen solar farm</t>
  </si>
  <si>
    <t>Location: 15 km outside of Carlow town</t>
  </si>
  <si>
    <t>Solar capacity: first phase 81 MW, second phase 79 MW</t>
  </si>
  <si>
    <t>Ireland/UK</t>
  </si>
  <si>
    <t>Carnegie Road Storage project</t>
  </si>
  <si>
    <t>Status: In operation</t>
  </si>
  <si>
    <t>Location: Liverpool</t>
  </si>
  <si>
    <t>Solar capacity: 20 MWc</t>
  </si>
  <si>
    <t>US</t>
  </si>
  <si>
    <t>Eleven mile solar center</t>
  </si>
  <si>
    <t>Location: Pinal County, Arizona</t>
  </si>
  <si>
    <t>Helena Energy Center</t>
  </si>
  <si>
    <t>Location: Bee County, Texas</t>
  </si>
  <si>
    <t>Mocingbird Solar center</t>
  </si>
  <si>
    <t>Location: Lamar County, Texas</t>
  </si>
  <si>
    <t>Muscle Shoals</t>
  </si>
  <si>
    <t>Location: Colbert County, alabama</t>
  </si>
  <si>
    <t>Operation since: 2021</t>
  </si>
  <si>
    <t>Old 300 Solar center</t>
  </si>
  <si>
    <t>Location: Fort Bend County, Texas</t>
  </si>
  <si>
    <t>Operation since: 2023</t>
  </si>
  <si>
    <t>Permian Energy center</t>
  </si>
  <si>
    <t>Location: Andrews County, Texas</t>
  </si>
  <si>
    <t>Solar capacity: 300 MWac</t>
  </si>
  <si>
    <t>Solar capacity: 250 MWac</t>
  </si>
  <si>
    <t>Solar capacity: 470 MWac</t>
  </si>
  <si>
    <t>Solar capacity: 227 MWac</t>
  </si>
  <si>
    <t>Solar capacity: 430 MWac</t>
  </si>
  <si>
    <t>Solar capacity: 420 MWac</t>
  </si>
  <si>
    <t>Business drivers</t>
  </si>
  <si>
    <t>Decided and installed cap (GW)</t>
  </si>
  <si>
    <t>Generation capacity (GW)</t>
  </si>
  <si>
    <t>Load factor</t>
  </si>
  <si>
    <t>Denmark</t>
  </si>
  <si>
    <t>Netherlands</t>
  </si>
  <si>
    <t>APAC</t>
  </si>
  <si>
    <t>Power sales</t>
  </si>
  <si>
    <t>Power price LEBA UK GBP/MWh</t>
  </si>
  <si>
    <t>Power generation (GWh)</t>
  </si>
  <si>
    <t>Wind speed (M/S)</t>
  </si>
  <si>
    <t>Power sales (GWh)</t>
  </si>
  <si>
    <t>Financial drivers</t>
  </si>
  <si>
    <t>Revenue</t>
  </si>
  <si>
    <t>Sites, O&amp;M and PPAs</t>
  </si>
  <si>
    <t>Construction agreements</t>
  </si>
  <si>
    <t>Other</t>
  </si>
  <si>
    <t>Construction agreements and divestment gains</t>
  </si>
  <si>
    <t>Cancellation fees</t>
  </si>
  <si>
    <t>Depreciation</t>
  </si>
  <si>
    <t>Impairment loss</t>
  </si>
  <si>
    <t>Divestments</t>
  </si>
  <si>
    <t>Availability</t>
  </si>
  <si>
    <t>Load factor Wind</t>
  </si>
  <si>
    <t>Load factor, solar PV</t>
  </si>
  <si>
    <t>Availability, Wind</t>
  </si>
  <si>
    <t>Availability, Solar PV</t>
  </si>
  <si>
    <t>US, Wind</t>
  </si>
  <si>
    <t>US, Solar PV</t>
  </si>
  <si>
    <t>Europe</t>
  </si>
  <si>
    <t>Financial perfomance</t>
  </si>
  <si>
    <t>US dollar/DKK</t>
  </si>
  <si>
    <t>Degree days</t>
  </si>
  <si>
    <t>Heat generation (GWh)</t>
  </si>
  <si>
    <t>Gas sales (GWh)</t>
  </si>
  <si>
    <t>Gas price, TTF (EUR/MWh)</t>
  </si>
  <si>
    <t>Power price, DK (EUR/MWh)</t>
  </si>
  <si>
    <t>Wood pellet spread, DK (EUR/MWh)</t>
  </si>
  <si>
    <t>Financial performance</t>
  </si>
  <si>
    <t>GHP plants</t>
  </si>
  <si>
    <t>Gas market &amp; infrastructure</t>
  </si>
  <si>
    <t>Ohter</t>
  </si>
  <si>
    <t>Spørre vhatten om de ulike punkteene jeg ikke kan</t>
  </si>
  <si>
    <r>
      <t xml:space="preserve">22.09.25: </t>
    </r>
    <r>
      <rPr>
        <sz val="14"/>
        <color theme="1"/>
        <rFont val="Calibri"/>
        <family val="2"/>
        <scheme val="minor"/>
      </rPr>
      <t>US District court of Columbia godkjente at ørsted kunne fortsette arbeide med Revolution Wind</t>
    </r>
  </si>
  <si>
    <t>Under construction (Investor update 15.09.25)</t>
  </si>
  <si>
    <t>Kapasitet offshore vind</t>
  </si>
  <si>
    <t>Danmark</t>
  </si>
  <si>
    <t>Land</t>
  </si>
  <si>
    <t>GW</t>
  </si>
  <si>
    <t>Kapasitet Onshore vind</t>
  </si>
  <si>
    <t>Expected Commissioning:  Q1 2026</t>
  </si>
  <si>
    <t>Expected commissioning: Q3 26</t>
  </si>
  <si>
    <t>Expected completion:  H2 2026</t>
  </si>
  <si>
    <t>Expection operation: H2 27</t>
  </si>
  <si>
    <t>Expected commissioning: Baltica 2 ( H2 2027), Baltica 3 (2029)</t>
  </si>
  <si>
    <t>Expected completion: H2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</si>
</sst>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9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4" fontId="2" fillId="0" borderId="1" xfId="0" applyNumberFormat="1" applyFont="1" applyBorder="1"/>
    <xf numFmtId="166" fontId="1" fillId="0" borderId="0" xfId="0" applyNumberFormat="1" applyFont="1"/>
    <xf numFmtId="10" fontId="4" fillId="0" borderId="0" xfId="0" applyNumberFormat="1" applyFont="1"/>
    <xf numFmtId="10" fontId="4" fillId="0" borderId="1" xfId="0" applyNumberFormat="1" applyFont="1" applyBorder="1"/>
    <xf numFmtId="2" fontId="2" fillId="0" borderId="1" xfId="0" applyNumberFormat="1" applyFont="1" applyBorder="1"/>
    <xf numFmtId="166" fontId="1" fillId="0" borderId="1" xfId="0" applyNumberFormat="1" applyFont="1" applyBorder="1"/>
    <xf numFmtId="166" fontId="2" fillId="0" borderId="1" xfId="0" applyNumberFormat="1" applyFont="1" applyBorder="1"/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1" fillId="0" borderId="2" xfId="0" applyFont="1" applyBorder="1"/>
    <xf numFmtId="3" fontId="4" fillId="0" borderId="1" xfId="0" applyNumberFormat="1" applyFont="1" applyBorder="1"/>
    <xf numFmtId="0" fontId="4" fillId="0" borderId="1" xfId="0" applyFont="1" applyBorder="1"/>
    <xf numFmtId="0" fontId="5" fillId="0" borderId="3" xfId="0" applyFont="1" applyBorder="1"/>
    <xf numFmtId="165" fontId="6" fillId="0" borderId="3" xfId="0" applyNumberFormat="1" applyFont="1" applyBorder="1"/>
    <xf numFmtId="0" fontId="2" fillId="0" borderId="2" xfId="0" applyFont="1" applyBorder="1"/>
    <xf numFmtId="9" fontId="2" fillId="0" borderId="0" xfId="0" applyNumberFormat="1" applyFont="1"/>
    <xf numFmtId="8" fontId="2" fillId="0" borderId="2" xfId="0" applyNumberFormat="1" applyFont="1" applyBorder="1"/>
    <xf numFmtId="8" fontId="2" fillId="0" borderId="0" xfId="0" applyNumberFormat="1" applyFont="1"/>
    <xf numFmtId="10" fontId="1" fillId="0" borderId="0" xfId="0" applyNumberFormat="1" applyFont="1"/>
    <xf numFmtId="8" fontId="1" fillId="0" borderId="0" xfId="0" applyNumberFormat="1" applyFont="1"/>
    <xf numFmtId="166" fontId="2" fillId="0" borderId="2" xfId="0" applyNumberFormat="1" applyFont="1" applyBorder="1"/>
    <xf numFmtId="0" fontId="2" fillId="0" borderId="4" xfId="0" applyFont="1" applyBorder="1"/>
    <xf numFmtId="14" fontId="1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2" fontId="1" fillId="0" borderId="0" xfId="0" applyNumberFormat="1" applyFont="1"/>
    <xf numFmtId="0" fontId="2" fillId="0" borderId="5" xfId="0" applyFont="1" applyBorder="1"/>
    <xf numFmtId="0" fontId="8" fillId="0" borderId="0" xfId="0" applyFont="1" applyAlignment="1">
      <alignment horizontal="left" indent="2"/>
    </xf>
    <xf numFmtId="0" fontId="8" fillId="0" borderId="0" xfId="0" applyFont="1"/>
    <xf numFmtId="0" fontId="2" fillId="0" borderId="6" xfId="0" applyFont="1" applyBorder="1"/>
    <xf numFmtId="3" fontId="8" fillId="0" borderId="0" xfId="0" applyNumberFormat="1" applyFont="1" applyAlignment="1">
      <alignment horizontal="right"/>
    </xf>
    <xf numFmtId="0" fontId="2" fillId="0" borderId="0" xfId="0" applyNumberFormat="1" applyFont="1"/>
    <xf numFmtId="0" fontId="2" fillId="0" borderId="1" xfId="0" applyNumberFormat="1" applyFont="1" applyBorder="1"/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711200</xdr:colOff>
      <xdr:row>1</xdr:row>
      <xdr:rowOff>127000</xdr:rowOff>
    </xdr:from>
    <xdr:to>
      <xdr:col>22</xdr:col>
      <xdr:colOff>285124</xdr:colOff>
      <xdr:row>22</xdr:row>
      <xdr:rowOff>101600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35A322E7-17F9-4CF7-210D-B81C6F740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6500" y="368300"/>
          <a:ext cx="10305424" cy="50419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22</xdr:row>
      <xdr:rowOff>215900</xdr:rowOff>
    </xdr:from>
    <xdr:to>
      <xdr:col>22</xdr:col>
      <xdr:colOff>355600</xdr:colOff>
      <xdr:row>46</xdr:row>
      <xdr:rowOff>194027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63AB574D-E948-46A2-332E-F4EF82E72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0" y="5524500"/>
          <a:ext cx="7772400" cy="5769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</xdr:colOff>
      <xdr:row>0</xdr:row>
      <xdr:rowOff>0</xdr:rowOff>
    </xdr:from>
    <xdr:to>
      <xdr:col>9</xdr:col>
      <xdr:colOff>594188</xdr:colOff>
      <xdr:row>12</xdr:row>
      <xdr:rowOff>228600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373B6A1B-92AB-4413-E57A-64A7AC85F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9" y="0"/>
          <a:ext cx="8214189" cy="3124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0A2C474A-E945-1849-B71D-8257568BCF2C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1" dT="2025-09-20T17:58:26.11" personId="{0A2C474A-E945-1849-B71D-8257568BCF2C}" id="{EE99891B-7261-2843-AABE-5DEEB7F3FED5}">
    <text xml:space="preserve">Installert og under konstruksjon
</text>
  </threadedComment>
  <threadedComment ref="D57" dT="2025-08-30T16:48:25.56" personId="{0A2C474A-E945-1849-B71D-8257568BCF2C}" id="{8A13C613-E8FC-E14D-8075-FF174949A718}">
    <text>Dividend 5255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5-09-20T19:52:12.22" personId="{0A2C474A-E945-1849-B71D-8257568BCF2C}" id="{A9097F8D-91A8-9741-8D5E-CDDC3AD62120}">
    <text>Installert eller kapasitet som Ørsted har tatt final decision på</text>
  </threadedComment>
  <threadedComment ref="B9" dT="2025-09-20T19:52:53.48" personId="{0A2C474A-E945-1849-B71D-8257568BCF2C}" id="{8E62FA0B-E388-8D44-90E1-02F4E3C81772}">
    <text>Eierskapsjustert kapasitet</text>
  </threadedComment>
  <threadedComment ref="B12" dT="2025-09-20T19:57:09.76" personId="{0A2C474A-E945-1849-B71D-8257568BCF2C}" id="{A93D8A69-F21C-5B45-B427-37C2B7AE4D98}">
    <text>Hvor mye av den teoretiske maksimale kapasiteten som blir brukt</text>
  </threadedComment>
  <threadedComment ref="B13" dT="2025-09-20T19:57:41.17" personId="{0A2C474A-E945-1849-B71D-8257568BCF2C}" id="{019E1FA5-46A4-7B4F-BAC4-BCBE12FE427B}">
    <text>Hvor stor del av tiden møllene var teknisk tilgjengelig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5" dT="2025-09-20T19:52:12.22" personId="{0A2C474A-E945-1849-B71D-8257568BCF2C}" id="{5607A2FE-9E90-A34D-9BBA-187208773FF1}">
    <text>Installert eller kapasitet som Ørsted har tatt final decision på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K40"/>
  <sheetViews>
    <sheetView showGridLines="0" topLeftCell="F1" workbookViewId="0">
      <selection activeCell="X24" sqref="X24"/>
    </sheetView>
  </sheetViews>
  <sheetFormatPr baseColWidth="10" defaultRowHeight="19" x14ac:dyDescent="0.25"/>
  <cols>
    <col min="1" max="1" width="11.83203125" style="2" bestFit="1" customWidth="1"/>
    <col min="2" max="6" width="10.83203125" style="2"/>
    <col min="7" max="7" width="18.83203125" style="2" customWidth="1"/>
    <col min="8" max="16384" width="10.83203125" style="2"/>
  </cols>
  <sheetData>
    <row r="1" spans="1:11" x14ac:dyDescent="0.25">
      <c r="K1" s="1" t="s">
        <v>468</v>
      </c>
    </row>
    <row r="4" spans="1:11" x14ac:dyDescent="0.25">
      <c r="A4" s="2" t="s">
        <v>367</v>
      </c>
    </row>
    <row r="5" spans="1:11" x14ac:dyDescent="0.25">
      <c r="A5" s="2" t="s">
        <v>368</v>
      </c>
      <c r="G5" s="1" t="s">
        <v>358</v>
      </c>
    </row>
    <row r="6" spans="1:11" x14ac:dyDescent="0.25">
      <c r="A6" s="1"/>
      <c r="G6" s="2" t="s">
        <v>147</v>
      </c>
      <c r="H6" s="2" t="s">
        <v>371</v>
      </c>
    </row>
    <row r="7" spans="1:11" x14ac:dyDescent="0.25">
      <c r="A7" s="1"/>
      <c r="G7" s="2" t="s">
        <v>146</v>
      </c>
      <c r="H7" s="2" t="s">
        <v>148</v>
      </c>
    </row>
    <row r="8" spans="1:11" x14ac:dyDescent="0.25">
      <c r="A8" s="1"/>
    </row>
    <row r="9" spans="1:11" x14ac:dyDescent="0.25">
      <c r="G9" s="2" t="s">
        <v>372</v>
      </c>
      <c r="H9" s="2" t="s">
        <v>375</v>
      </c>
    </row>
    <row r="10" spans="1:11" x14ac:dyDescent="0.25">
      <c r="G10" s="2" t="s">
        <v>373</v>
      </c>
      <c r="H10" s="2" t="s">
        <v>374</v>
      </c>
    </row>
    <row r="11" spans="1:11" x14ac:dyDescent="0.25">
      <c r="G11" s="2" t="s">
        <v>376</v>
      </c>
      <c r="H11" s="2" t="s">
        <v>377</v>
      </c>
    </row>
    <row r="19" spans="1:4" x14ac:dyDescent="0.25">
      <c r="A19" s="1" t="s">
        <v>45</v>
      </c>
    </row>
    <row r="20" spans="1:4" x14ac:dyDescent="0.25">
      <c r="A20" s="1" t="s">
        <v>467</v>
      </c>
    </row>
    <row r="21" spans="1:4" x14ac:dyDescent="0.25">
      <c r="A21" s="2" t="s">
        <v>360</v>
      </c>
    </row>
    <row r="22" spans="1:4" x14ac:dyDescent="0.25">
      <c r="A22" s="2" t="s">
        <v>359</v>
      </c>
    </row>
    <row r="23" spans="1:4" x14ac:dyDescent="0.25">
      <c r="A23" s="2" t="s">
        <v>361</v>
      </c>
    </row>
    <row r="24" spans="1:4" x14ac:dyDescent="0.25">
      <c r="A24" s="2" t="s">
        <v>362</v>
      </c>
    </row>
    <row r="25" spans="1:4" x14ac:dyDescent="0.25">
      <c r="A25" s="2" t="s">
        <v>363</v>
      </c>
    </row>
    <row r="26" spans="1:4" x14ac:dyDescent="0.25">
      <c r="A26" s="2" t="s">
        <v>364</v>
      </c>
    </row>
    <row r="27" spans="1:4" x14ac:dyDescent="0.25">
      <c r="A27" s="43" t="s">
        <v>365</v>
      </c>
    </row>
    <row r="28" spans="1:4" x14ac:dyDescent="0.25">
      <c r="A28" s="2" t="s">
        <v>366</v>
      </c>
    </row>
    <row r="29" spans="1:4" x14ac:dyDescent="0.25">
      <c r="A29" s="2" t="s">
        <v>369</v>
      </c>
    </row>
    <row r="32" spans="1:4" x14ac:dyDescent="0.25">
      <c r="A32" s="1" t="s">
        <v>469</v>
      </c>
      <c r="D32" s="1" t="s">
        <v>473</v>
      </c>
    </row>
    <row r="34" spans="1:5" x14ac:dyDescent="0.25">
      <c r="A34" s="1" t="s">
        <v>471</v>
      </c>
      <c r="B34" s="1" t="s">
        <v>472</v>
      </c>
      <c r="D34" s="1" t="s">
        <v>471</v>
      </c>
      <c r="E34" s="1" t="s">
        <v>472</v>
      </c>
    </row>
    <row r="35" spans="1:5" x14ac:dyDescent="0.25">
      <c r="A35" s="2" t="s">
        <v>188</v>
      </c>
      <c r="B35" s="2">
        <v>13.2</v>
      </c>
      <c r="D35" s="2" t="s">
        <v>188</v>
      </c>
      <c r="E35" s="2">
        <v>6.2E-2</v>
      </c>
    </row>
    <row r="36" spans="1:5" x14ac:dyDescent="0.25">
      <c r="A36" s="2" t="s">
        <v>289</v>
      </c>
      <c r="B36" s="2">
        <v>2.75</v>
      </c>
      <c r="D36" s="2" t="s">
        <v>378</v>
      </c>
      <c r="E36" s="2">
        <v>0.05</v>
      </c>
    </row>
    <row r="37" spans="1:5" x14ac:dyDescent="0.25">
      <c r="A37" s="2" t="s">
        <v>378</v>
      </c>
      <c r="B37" s="2">
        <v>2.5099999999999998</v>
      </c>
      <c r="D37" s="2" t="s">
        <v>166</v>
      </c>
      <c r="E37" s="2">
        <v>3</v>
      </c>
    </row>
    <row r="38" spans="1:5" x14ac:dyDescent="0.25">
      <c r="A38" s="2" t="s">
        <v>273</v>
      </c>
      <c r="B38" s="2">
        <v>1.95</v>
      </c>
    </row>
    <row r="39" spans="1:5" x14ac:dyDescent="0.25">
      <c r="A39" s="2" t="s">
        <v>166</v>
      </c>
      <c r="B39" s="2">
        <v>1.79</v>
      </c>
    </row>
    <row r="40" spans="1:5" x14ac:dyDescent="0.25">
      <c r="A40" s="2" t="s">
        <v>470</v>
      </c>
      <c r="B40" s="2">
        <v>0.94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O130"/>
  <sheetViews>
    <sheetView showGridLines="0" tabSelected="1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S34" sqref="S34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3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6" width="10.83203125" style="2"/>
    <col min="17" max="17" width="10.83203125" style="4"/>
    <col min="18" max="31" width="10.83203125" style="2"/>
    <col min="32" max="32" width="10.83203125" style="4"/>
    <col min="33" max="43" width="10.83203125" style="2"/>
    <col min="44" max="44" width="14.83203125" style="2" bestFit="1" customWidth="1"/>
    <col min="45" max="45" width="13.1640625" style="2" bestFit="1" customWidth="1"/>
    <col min="46" max="16384" width="10.83203125" style="2"/>
  </cols>
  <sheetData>
    <row r="1" spans="1:49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B1" s="1"/>
    </row>
    <row r="3" spans="1:49" x14ac:dyDescent="0.25">
      <c r="A3" s="1" t="s">
        <v>0</v>
      </c>
      <c r="C3" s="2" t="s">
        <v>66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17" t="s">
        <v>31</v>
      </c>
      <c r="R3" s="7" t="s">
        <v>35</v>
      </c>
      <c r="S3" s="7" t="s">
        <v>36</v>
      </c>
      <c r="V3" s="7" t="s">
        <v>41</v>
      </c>
      <c r="W3" s="7" t="s">
        <v>42</v>
      </c>
      <c r="X3" s="7" t="s">
        <v>43</v>
      </c>
      <c r="Y3" s="7" t="s">
        <v>44</v>
      </c>
      <c r="Z3" s="7" t="s">
        <v>32</v>
      </c>
      <c r="AA3" s="7" t="s">
        <v>33</v>
      </c>
      <c r="AB3" s="7" t="s">
        <v>34</v>
      </c>
      <c r="AC3" s="7" t="s">
        <v>15</v>
      </c>
      <c r="AD3" s="7" t="s">
        <v>16</v>
      </c>
      <c r="AE3" s="7" t="s">
        <v>17</v>
      </c>
      <c r="AF3" s="17" t="s">
        <v>18</v>
      </c>
      <c r="AG3" s="7" t="s">
        <v>19</v>
      </c>
      <c r="AH3" s="7" t="s">
        <v>20</v>
      </c>
      <c r="AI3" s="7" t="s">
        <v>21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7" t="s">
        <v>28</v>
      </c>
    </row>
    <row r="4" spans="1:49" x14ac:dyDescent="0.25">
      <c r="A4" s="2" t="s">
        <v>1</v>
      </c>
      <c r="B4" s="21">
        <v>120</v>
      </c>
      <c r="C4" s="1" t="s">
        <v>46</v>
      </c>
      <c r="D4" s="12">
        <v>33762</v>
      </c>
      <c r="E4" s="12">
        <v>26295</v>
      </c>
      <c r="F4" s="12">
        <v>36541</v>
      </c>
      <c r="G4" s="12">
        <f>132277-D4-E4-F4</f>
        <v>35679</v>
      </c>
      <c r="H4" s="12">
        <v>29369</v>
      </c>
      <c r="I4" s="12">
        <v>16477</v>
      </c>
      <c r="J4" s="12">
        <v>17441</v>
      </c>
      <c r="K4" s="12">
        <f>79255-H4-I4-J4</f>
        <v>15968</v>
      </c>
      <c r="L4" s="12">
        <v>19168</v>
      </c>
      <c r="M4" s="12">
        <v>15023</v>
      </c>
      <c r="N4" s="12">
        <v>15766</v>
      </c>
      <c r="O4" s="12">
        <f>71034-L4-M4-N4</f>
        <v>21077</v>
      </c>
      <c r="P4" s="12">
        <v>20705</v>
      </c>
      <c r="Q4" s="13">
        <v>17135</v>
      </c>
      <c r="R4" s="12"/>
      <c r="S4" s="12"/>
      <c r="V4" s="12">
        <v>66708</v>
      </c>
      <c r="W4" s="12">
        <v>57393</v>
      </c>
      <c r="X4" s="12">
        <v>59709</v>
      </c>
      <c r="Y4" s="12">
        <v>75520</v>
      </c>
      <c r="Z4" s="12">
        <v>70398</v>
      </c>
      <c r="AA4" s="12">
        <v>50151</v>
      </c>
      <c r="AB4" s="12">
        <v>77673</v>
      </c>
      <c r="AC4" s="12">
        <v>132277</v>
      </c>
      <c r="AD4" s="12">
        <v>79255</v>
      </c>
      <c r="AE4" s="12">
        <v>71034</v>
      </c>
      <c r="AF4" s="13">
        <f>AE4*1.16</f>
        <v>82399.439999999988</v>
      </c>
      <c r="AG4" s="12">
        <f>AF4*1.1</f>
        <v>90639.383999999991</v>
      </c>
      <c r="AH4" s="12">
        <f>AG4*1.1</f>
        <v>99703.322400000005</v>
      </c>
      <c r="AI4" s="12">
        <f t="shared" ref="AI4:AO4" si="0">AH4*1.1</f>
        <v>109673.65464000001</v>
      </c>
      <c r="AJ4" s="12">
        <f t="shared" si="0"/>
        <v>120641.02010400002</v>
      </c>
      <c r="AK4" s="12">
        <f t="shared" si="0"/>
        <v>132705.12211440003</v>
      </c>
      <c r="AL4" s="12">
        <f t="shared" si="0"/>
        <v>145975.63432584004</v>
      </c>
      <c r="AM4" s="12">
        <f t="shared" si="0"/>
        <v>160573.19775842407</v>
      </c>
      <c r="AN4" s="12">
        <f t="shared" si="0"/>
        <v>176630.51753426649</v>
      </c>
      <c r="AO4" s="12">
        <f t="shared" si="0"/>
        <v>194293.56928769316</v>
      </c>
      <c r="AP4" s="12">
        <f>AO4*1.1</f>
        <v>213722.92621646248</v>
      </c>
    </row>
    <row r="5" spans="1:49" x14ac:dyDescent="0.25">
      <c r="A5" s="2" t="s">
        <v>2</v>
      </c>
      <c r="B5" s="5">
        <v>1321.1976</v>
      </c>
      <c r="C5" s="2" t="s">
        <v>47</v>
      </c>
      <c r="D5" s="14">
        <v>-24547</v>
      </c>
      <c r="E5" s="14">
        <v>-19289</v>
      </c>
      <c r="F5" s="14">
        <v>-28503</v>
      </c>
      <c r="G5" s="14">
        <f>-97163-D5-E5-F5</f>
        <v>-24824</v>
      </c>
      <c r="H5" s="14">
        <v>-20344</v>
      </c>
      <c r="I5" s="14">
        <v>-11658</v>
      </c>
      <c r="J5" s="14">
        <v>-10334</v>
      </c>
      <c r="K5" s="14">
        <f>-46624-H5-I5-J5</f>
        <v>-4288</v>
      </c>
      <c r="L5" s="14">
        <v>-9409</v>
      </c>
      <c r="M5" s="14">
        <v>-7918</v>
      </c>
      <c r="N5" s="14">
        <v>-8197</v>
      </c>
      <c r="O5" s="14">
        <f>-35963-L5-M5-N5</f>
        <v>-10439</v>
      </c>
      <c r="P5" s="14">
        <v>-10006</v>
      </c>
      <c r="Q5" s="15">
        <v>-11292</v>
      </c>
      <c r="R5" s="14"/>
      <c r="S5" s="14"/>
      <c r="V5" s="14">
        <v>-51541</v>
      </c>
      <c r="W5" s="14">
        <v>-37622</v>
      </c>
      <c r="X5" s="14">
        <v>-40694</v>
      </c>
      <c r="Y5" s="14">
        <v>-54018</v>
      </c>
      <c r="Z5" s="14">
        <v>-42836</v>
      </c>
      <c r="AA5" s="14">
        <v>-25784</v>
      </c>
      <c r="AB5" s="14">
        <v>-53110</v>
      </c>
      <c r="AC5" s="14">
        <v>-97163</v>
      </c>
      <c r="AD5" s="14">
        <v>-46624</v>
      </c>
      <c r="AE5" s="14">
        <v>-35963</v>
      </c>
      <c r="AF5" s="15">
        <f>AF4*-0.51</f>
        <v>-42023.714399999997</v>
      </c>
      <c r="AG5" s="14">
        <f>AG4*-0.5</f>
        <v>-45319.691999999995</v>
      </c>
      <c r="AH5" s="14">
        <f t="shared" ref="AH5:AP5" si="1">AH4*-0.5</f>
        <v>-49851.661200000002</v>
      </c>
      <c r="AI5" s="14">
        <f t="shared" si="1"/>
        <v>-54836.827320000004</v>
      </c>
      <c r="AJ5" s="14">
        <f t="shared" si="1"/>
        <v>-60320.510052000012</v>
      </c>
      <c r="AK5" s="14">
        <f t="shared" si="1"/>
        <v>-66352.561057200015</v>
      </c>
      <c r="AL5" s="14">
        <f t="shared" si="1"/>
        <v>-72987.817162920022</v>
      </c>
      <c r="AM5" s="14">
        <f t="shared" si="1"/>
        <v>-80286.598879212033</v>
      </c>
      <c r="AN5" s="14">
        <f t="shared" si="1"/>
        <v>-88315.258767133244</v>
      </c>
      <c r="AO5" s="14">
        <f t="shared" si="1"/>
        <v>-97146.784643846579</v>
      </c>
      <c r="AP5" s="14">
        <f t="shared" si="1"/>
        <v>-106861.46310823124</v>
      </c>
    </row>
    <row r="6" spans="1:49" x14ac:dyDescent="0.25">
      <c r="A6" s="2" t="s">
        <v>67</v>
      </c>
      <c r="B6" s="5">
        <f>B4*B5</f>
        <v>158543.712</v>
      </c>
      <c r="C6" s="2" t="s">
        <v>48</v>
      </c>
      <c r="D6" s="14">
        <f>SUM(D4:D5)</f>
        <v>9215</v>
      </c>
      <c r="E6" s="14">
        <f>SUM(E4:E5)</f>
        <v>7006</v>
      </c>
      <c r="F6" s="14">
        <f>SUM(F4:F5)</f>
        <v>8038</v>
      </c>
      <c r="G6" s="14">
        <f>SUM(G4:G5)</f>
        <v>10855</v>
      </c>
      <c r="H6" s="14">
        <f t="shared" ref="H6:Q6" si="2">SUM(H4:H5)</f>
        <v>9025</v>
      </c>
      <c r="I6" s="14">
        <f t="shared" si="2"/>
        <v>4819</v>
      </c>
      <c r="J6" s="14">
        <f t="shared" si="2"/>
        <v>7107</v>
      </c>
      <c r="K6" s="14">
        <f t="shared" si="2"/>
        <v>11680</v>
      </c>
      <c r="L6" s="14">
        <f t="shared" si="2"/>
        <v>9759</v>
      </c>
      <c r="M6" s="14">
        <f t="shared" si="2"/>
        <v>7105</v>
      </c>
      <c r="N6" s="14">
        <f t="shared" si="2"/>
        <v>7569</v>
      </c>
      <c r="O6" s="14">
        <f t="shared" si="2"/>
        <v>10638</v>
      </c>
      <c r="P6" s="14">
        <f t="shared" si="2"/>
        <v>10699</v>
      </c>
      <c r="Q6" s="15">
        <f t="shared" si="2"/>
        <v>5843</v>
      </c>
      <c r="R6" s="14"/>
      <c r="S6" s="14"/>
      <c r="V6" s="14">
        <f t="shared" ref="V6:AP6" si="3">SUM(V4:V5)</f>
        <v>15167</v>
      </c>
      <c r="W6" s="14">
        <f t="shared" si="3"/>
        <v>19771</v>
      </c>
      <c r="X6" s="14">
        <f t="shared" si="3"/>
        <v>19015</v>
      </c>
      <c r="Y6" s="14">
        <f t="shared" si="3"/>
        <v>21502</v>
      </c>
      <c r="Z6" s="14">
        <f t="shared" si="3"/>
        <v>27562</v>
      </c>
      <c r="AA6" s="14">
        <f t="shared" si="3"/>
        <v>24367</v>
      </c>
      <c r="AB6" s="14">
        <f t="shared" si="3"/>
        <v>24563</v>
      </c>
      <c r="AC6" s="14">
        <f t="shared" si="3"/>
        <v>35114</v>
      </c>
      <c r="AD6" s="14">
        <f t="shared" si="3"/>
        <v>32631</v>
      </c>
      <c r="AE6" s="14">
        <f t="shared" si="3"/>
        <v>35071</v>
      </c>
      <c r="AF6" s="15">
        <f t="shared" si="3"/>
        <v>40375.725599999991</v>
      </c>
      <c r="AG6" s="14">
        <f t="shared" si="3"/>
        <v>45319.691999999995</v>
      </c>
      <c r="AH6" s="14">
        <f t="shared" si="3"/>
        <v>49851.661200000002</v>
      </c>
      <c r="AI6" s="14">
        <f t="shared" si="3"/>
        <v>54836.827320000004</v>
      </c>
      <c r="AJ6" s="14">
        <f t="shared" si="3"/>
        <v>60320.510052000012</v>
      </c>
      <c r="AK6" s="14">
        <f t="shared" si="3"/>
        <v>66352.561057200015</v>
      </c>
      <c r="AL6" s="14">
        <f t="shared" si="3"/>
        <v>72987.817162920022</v>
      </c>
      <c r="AM6" s="14">
        <f t="shared" si="3"/>
        <v>80286.598879212033</v>
      </c>
      <c r="AN6" s="14">
        <f t="shared" si="3"/>
        <v>88315.258767133244</v>
      </c>
      <c r="AO6" s="14">
        <f t="shared" si="3"/>
        <v>97146.784643846579</v>
      </c>
      <c r="AP6" s="14">
        <f t="shared" si="3"/>
        <v>106861.46310823124</v>
      </c>
    </row>
    <row r="7" spans="1:49" x14ac:dyDescent="0.25">
      <c r="A7" s="2" t="s">
        <v>68</v>
      </c>
      <c r="B7" s="5">
        <v>45000</v>
      </c>
      <c r="C7" s="2" t="s">
        <v>49</v>
      </c>
      <c r="D7" s="14">
        <v>-1175</v>
      </c>
      <c r="E7" s="14">
        <v>-1673</v>
      </c>
      <c r="F7" s="14">
        <v>-1777</v>
      </c>
      <c r="G7" s="14">
        <f>-7049-D7-E7-F7</f>
        <v>-2424</v>
      </c>
      <c r="H7" s="14">
        <v>-1629</v>
      </c>
      <c r="I7" s="14">
        <v>-1435</v>
      </c>
      <c r="J7" s="14">
        <v>-1606</v>
      </c>
      <c r="K7" s="14">
        <f>-7406-H7-I7-J7</f>
        <v>-2736</v>
      </c>
      <c r="L7" s="14">
        <v>-1562</v>
      </c>
      <c r="M7" s="14">
        <v>-1908</v>
      </c>
      <c r="N7" s="14">
        <v>-2279</v>
      </c>
      <c r="O7" s="14">
        <f>-8697-L7-M7-N7</f>
        <v>-2948</v>
      </c>
      <c r="P7" s="14">
        <v>-1921</v>
      </c>
      <c r="Q7" s="15">
        <v>-2273</v>
      </c>
      <c r="R7" s="14"/>
      <c r="S7" s="14"/>
      <c r="V7" s="2">
        <v>-3263</v>
      </c>
      <c r="W7" s="2">
        <v>-4078</v>
      </c>
      <c r="X7" s="2">
        <v>-4241</v>
      </c>
      <c r="Y7" s="2">
        <v>-5865</v>
      </c>
      <c r="Z7" s="2">
        <v>-6091</v>
      </c>
      <c r="AA7" s="14">
        <v>-5774</v>
      </c>
      <c r="AB7" s="14">
        <v>-5760</v>
      </c>
      <c r="AC7" s="14">
        <v>-7049</v>
      </c>
      <c r="AD7" s="14">
        <v>-7406</v>
      </c>
      <c r="AE7" s="14">
        <v>-8697</v>
      </c>
      <c r="AF7" s="15">
        <f>AE7*1.03</f>
        <v>-8957.91</v>
      </c>
      <c r="AG7" s="14">
        <f>AF7*1.1</f>
        <v>-9853.7010000000009</v>
      </c>
      <c r="AH7" s="14">
        <f>AG7*1.06</f>
        <v>-10444.923060000001</v>
      </c>
      <c r="AI7" s="14">
        <f t="shared" ref="AI7:AP7" si="4">AH7*1.1</f>
        <v>-11489.415366000003</v>
      </c>
      <c r="AJ7" s="14">
        <f t="shared" si="4"/>
        <v>-12638.356902600004</v>
      </c>
      <c r="AK7" s="14">
        <f t="shared" si="4"/>
        <v>-13902.192592860005</v>
      </c>
      <c r="AL7" s="14">
        <f t="shared" si="4"/>
        <v>-15292.411852146006</v>
      </c>
      <c r="AM7" s="14">
        <f t="shared" si="4"/>
        <v>-16821.653037360607</v>
      </c>
      <c r="AN7" s="14">
        <f t="shared" si="4"/>
        <v>-18503.81834109667</v>
      </c>
      <c r="AO7" s="14">
        <f t="shared" si="4"/>
        <v>-20354.200175206341</v>
      </c>
      <c r="AP7" s="14">
        <f t="shared" si="4"/>
        <v>-22389.620192726976</v>
      </c>
    </row>
    <row r="8" spans="1:49" x14ac:dyDescent="0.25">
      <c r="A8" s="2" t="s">
        <v>69</v>
      </c>
      <c r="B8" s="5">
        <f>Q64+Q71</f>
        <v>82748</v>
      </c>
      <c r="C8" s="2" t="s">
        <v>50</v>
      </c>
      <c r="D8" s="14">
        <v>-1166</v>
      </c>
      <c r="E8" s="14">
        <v>-1268</v>
      </c>
      <c r="F8" s="14">
        <v>-1367</v>
      </c>
      <c r="G8" s="14">
        <f>-5278-D8-E8-F8</f>
        <v>-1477</v>
      </c>
      <c r="H8" s="14">
        <v>-1540</v>
      </c>
      <c r="I8" s="14">
        <v>-1782</v>
      </c>
      <c r="J8" s="14">
        <v>-1421</v>
      </c>
      <c r="K8" s="14">
        <f>-6374-H8-I8-J8</f>
        <v>-1631</v>
      </c>
      <c r="L8" s="14">
        <v>-1881</v>
      </c>
      <c r="M8" s="14">
        <v>-1430</v>
      </c>
      <c r="N8" s="14">
        <v>-1586</v>
      </c>
      <c r="O8" s="14">
        <f>-6532-L8-M8-N8</f>
        <v>-1635</v>
      </c>
      <c r="P8" s="14">
        <v>-1614</v>
      </c>
      <c r="Q8" s="15">
        <v>-1514</v>
      </c>
      <c r="R8" s="14"/>
      <c r="S8" s="14"/>
      <c r="V8" s="14">
        <v>-3310</v>
      </c>
      <c r="W8" s="14">
        <v>-3088</v>
      </c>
      <c r="X8" s="14">
        <v>-3197</v>
      </c>
      <c r="Y8" s="14">
        <v>-3126</v>
      </c>
      <c r="Z8" s="14">
        <v>-3952</v>
      </c>
      <c r="AA8" s="14">
        <v>-4283</v>
      </c>
      <c r="AB8" s="14">
        <v>-4289</v>
      </c>
      <c r="AC8" s="14">
        <v>-5278</v>
      </c>
      <c r="AD8" s="14">
        <v>-6374</v>
      </c>
      <c r="AE8" s="14">
        <v>-6532</v>
      </c>
      <c r="AF8" s="15">
        <f>AE8*1.03</f>
        <v>-6727.96</v>
      </c>
      <c r="AG8" s="14">
        <f>AF8*1.1</f>
        <v>-7400.7560000000003</v>
      </c>
      <c r="AH8" s="14">
        <f>AG8*1.06</f>
        <v>-7844.8013600000004</v>
      </c>
      <c r="AI8" s="14">
        <f t="shared" ref="AI8:AP8" si="5">AH8*1.1</f>
        <v>-8629.2814960000014</v>
      </c>
      <c r="AJ8" s="14">
        <f t="shared" si="5"/>
        <v>-9492.2096456000017</v>
      </c>
      <c r="AK8" s="14">
        <f t="shared" si="5"/>
        <v>-10441.430610160003</v>
      </c>
      <c r="AL8" s="14">
        <f t="shared" si="5"/>
        <v>-11485.573671176004</v>
      </c>
      <c r="AM8" s="14">
        <f t="shared" si="5"/>
        <v>-12634.131038293604</v>
      </c>
      <c r="AN8" s="14">
        <f t="shared" si="5"/>
        <v>-13897.544142122966</v>
      </c>
      <c r="AO8" s="14">
        <f t="shared" si="5"/>
        <v>-15287.298556335263</v>
      </c>
      <c r="AP8" s="14">
        <f t="shared" si="5"/>
        <v>-16816.028411968789</v>
      </c>
    </row>
    <row r="9" spans="1:49" x14ac:dyDescent="0.25">
      <c r="A9" s="3" t="s">
        <v>70</v>
      </c>
      <c r="B9" s="6">
        <f>B6-B7+B8</f>
        <v>196291.712</v>
      </c>
      <c r="C9" s="2" t="s">
        <v>51</v>
      </c>
      <c r="D9" s="14">
        <v>55</v>
      </c>
      <c r="E9" s="14">
        <v>1</v>
      </c>
      <c r="F9" s="14">
        <v>-12</v>
      </c>
      <c r="G9" s="14">
        <f>-114-D9-E9-F9</f>
        <v>-158</v>
      </c>
      <c r="H9" s="14">
        <v>62</v>
      </c>
      <c r="I9" s="14">
        <v>-25</v>
      </c>
      <c r="J9" s="14">
        <v>-7</v>
      </c>
      <c r="K9" s="14">
        <f>-55-H9-I9-J9</f>
        <v>-85</v>
      </c>
      <c r="L9" s="14">
        <v>4</v>
      </c>
      <c r="M9" s="14">
        <v>-26</v>
      </c>
      <c r="N9" s="14">
        <v>-38</v>
      </c>
      <c r="O9" s="14">
        <f>-68-L9-M9-N9</f>
        <v>-8</v>
      </c>
      <c r="P9" s="14">
        <v>24</v>
      </c>
      <c r="Q9" s="15">
        <v>3</v>
      </c>
      <c r="R9" s="14"/>
      <c r="S9" s="14"/>
      <c r="V9" s="14">
        <v>112</v>
      </c>
      <c r="W9" s="14">
        <v>25</v>
      </c>
      <c r="X9" s="14">
        <v>-119</v>
      </c>
      <c r="Y9" s="14">
        <v>-6</v>
      </c>
      <c r="Z9" s="14">
        <v>-20</v>
      </c>
      <c r="AA9" s="14">
        <v>71</v>
      </c>
      <c r="AB9" s="14">
        <v>-17</v>
      </c>
      <c r="AC9" s="14">
        <v>114</v>
      </c>
      <c r="AD9" s="14">
        <v>-55</v>
      </c>
      <c r="AE9" s="14">
        <v>-68</v>
      </c>
      <c r="AF9" s="15">
        <f>AE9*1</f>
        <v>-68</v>
      </c>
      <c r="AG9" s="14">
        <f t="shared" ref="AG9:AP9" si="6">AF9*1.05</f>
        <v>-71.400000000000006</v>
      </c>
      <c r="AH9" s="14">
        <f t="shared" si="6"/>
        <v>-74.970000000000013</v>
      </c>
      <c r="AI9" s="14">
        <f t="shared" si="6"/>
        <v>-78.71850000000002</v>
      </c>
      <c r="AJ9" s="14">
        <f t="shared" si="6"/>
        <v>-82.654425000000018</v>
      </c>
      <c r="AK9" s="14">
        <f t="shared" si="6"/>
        <v>-86.787146250000021</v>
      </c>
      <c r="AL9" s="14">
        <f t="shared" si="6"/>
        <v>-91.126503562500019</v>
      </c>
      <c r="AM9" s="14">
        <f t="shared" si="6"/>
        <v>-95.682828740625027</v>
      </c>
      <c r="AN9" s="14">
        <f t="shared" si="6"/>
        <v>-100.46697017765628</v>
      </c>
      <c r="AO9" s="14">
        <f t="shared" si="6"/>
        <v>-105.4903186865391</v>
      </c>
      <c r="AP9" s="14">
        <f t="shared" si="6"/>
        <v>-110.76483462086605</v>
      </c>
    </row>
    <row r="10" spans="1:49" x14ac:dyDescent="0.25">
      <c r="C10" s="2" t="s">
        <v>52</v>
      </c>
      <c r="D10" s="14">
        <v>2576</v>
      </c>
      <c r="E10" s="14">
        <v>857</v>
      </c>
      <c r="F10" s="14">
        <v>9759</v>
      </c>
      <c r="G10" s="14">
        <f>14119-D10-E10-F10</f>
        <v>927</v>
      </c>
      <c r="H10" s="14">
        <v>1096</v>
      </c>
      <c r="I10" s="14">
        <v>2138</v>
      </c>
      <c r="J10" s="14">
        <v>4949</v>
      </c>
      <c r="K10" s="14">
        <f>10329-H10-I10-J10</f>
        <v>2146</v>
      </c>
      <c r="L10" s="14">
        <v>1300</v>
      </c>
      <c r="M10" s="14">
        <v>1370</v>
      </c>
      <c r="N10" s="14">
        <v>920</v>
      </c>
      <c r="O10" s="14">
        <f>5298-L10-M10-N10</f>
        <v>1708</v>
      </c>
      <c r="P10" s="14">
        <v>1864</v>
      </c>
      <c r="Q10" s="15">
        <v>4337</v>
      </c>
      <c r="R10" s="14"/>
      <c r="S10" s="14"/>
      <c r="V10" s="14">
        <v>1575</v>
      </c>
      <c r="W10" s="14">
        <v>4867</v>
      </c>
      <c r="X10" s="14">
        <v>11665</v>
      </c>
      <c r="Y10" s="14">
        <v>16275</v>
      </c>
      <c r="Z10" s="14">
        <v>1781</v>
      </c>
      <c r="AA10" s="14">
        <v>2620</v>
      </c>
      <c r="AB10" s="14">
        <v>10185</v>
      </c>
      <c r="AC10" s="14">
        <v>14119</v>
      </c>
      <c r="AD10" s="14">
        <v>10329</v>
      </c>
      <c r="AE10" s="14">
        <v>5298</v>
      </c>
      <c r="AF10" s="15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</row>
    <row r="11" spans="1:49" x14ac:dyDescent="0.25">
      <c r="A11" s="30" t="s">
        <v>154</v>
      </c>
      <c r="C11" s="2" t="s">
        <v>53</v>
      </c>
      <c r="D11" s="14">
        <v>-76</v>
      </c>
      <c r="E11" s="14">
        <v>-1308</v>
      </c>
      <c r="F11" s="14">
        <v>-2324</v>
      </c>
      <c r="G11" s="14">
        <f>-4963-D11-E11-F11</f>
        <v>-1255</v>
      </c>
      <c r="H11" s="14">
        <v>-104</v>
      </c>
      <c r="I11" s="14">
        <v>-395</v>
      </c>
      <c r="J11" s="14">
        <v>151</v>
      </c>
      <c r="K11" s="14">
        <f>-10408-H11-I11-J11</f>
        <v>-10060</v>
      </c>
      <c r="L11" s="14">
        <v>-132</v>
      </c>
      <c r="M11" s="14">
        <v>1459</v>
      </c>
      <c r="N11" s="14">
        <v>4962</v>
      </c>
      <c r="O11" s="14">
        <f>6887-L11-M11-N11</f>
        <v>598</v>
      </c>
      <c r="P11" s="14">
        <v>-181</v>
      </c>
      <c r="Q11" s="15">
        <v>248</v>
      </c>
      <c r="R11" s="14"/>
      <c r="S11" s="14"/>
      <c r="V11" s="14">
        <v>-393</v>
      </c>
      <c r="W11" s="14">
        <v>-558</v>
      </c>
      <c r="X11" s="14">
        <v>-549</v>
      </c>
      <c r="Y11" s="14">
        <v>-289</v>
      </c>
      <c r="Z11" s="14">
        <v>-260</v>
      </c>
      <c r="AA11" s="14">
        <v>-403</v>
      </c>
      <c r="AB11" s="14">
        <v>-386</v>
      </c>
      <c r="AC11" s="14">
        <v>-4963</v>
      </c>
      <c r="AD11" s="14">
        <v>-10408</v>
      </c>
      <c r="AE11" s="14">
        <v>6887</v>
      </c>
      <c r="AF11" s="15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</row>
    <row r="12" spans="1:49" x14ac:dyDescent="0.25">
      <c r="A12" s="28">
        <f>B4/A13</f>
        <v>1.627441382071259</v>
      </c>
      <c r="C12" s="1" t="s">
        <v>54</v>
      </c>
      <c r="D12" s="12">
        <f>SUM(D6:D11)</f>
        <v>9429</v>
      </c>
      <c r="E12" s="12">
        <f>SUM(E6:E11)</f>
        <v>3615</v>
      </c>
      <c r="F12" s="12">
        <f>SUM(F6:F11)</f>
        <v>12317</v>
      </c>
      <c r="G12" s="12">
        <f>SUM(G6:G11)</f>
        <v>6468</v>
      </c>
      <c r="H12" s="12">
        <f t="shared" ref="H12:Q12" si="7">SUM(H6:H11)</f>
        <v>6910</v>
      </c>
      <c r="I12" s="12">
        <f t="shared" si="7"/>
        <v>3320</v>
      </c>
      <c r="J12" s="12">
        <f t="shared" si="7"/>
        <v>9173</v>
      </c>
      <c r="K12" s="12">
        <f t="shared" si="7"/>
        <v>-686</v>
      </c>
      <c r="L12" s="12">
        <f t="shared" si="7"/>
        <v>7488</v>
      </c>
      <c r="M12" s="12">
        <f t="shared" si="7"/>
        <v>6570</v>
      </c>
      <c r="N12" s="12">
        <f t="shared" si="7"/>
        <v>9548</v>
      </c>
      <c r="O12" s="12">
        <f t="shared" si="7"/>
        <v>8353</v>
      </c>
      <c r="P12" s="12">
        <f t="shared" si="7"/>
        <v>8871</v>
      </c>
      <c r="Q12" s="13">
        <f t="shared" si="7"/>
        <v>6644</v>
      </c>
      <c r="R12" s="12"/>
      <c r="S12" s="12"/>
      <c r="V12" s="12">
        <f t="shared" ref="V12:AP12" si="8">SUM(V6:V11)</f>
        <v>9888</v>
      </c>
      <c r="W12" s="12">
        <f t="shared" si="8"/>
        <v>16939</v>
      </c>
      <c r="X12" s="12">
        <f t="shared" si="8"/>
        <v>22574</v>
      </c>
      <c r="Y12" s="12">
        <f t="shared" si="8"/>
        <v>28491</v>
      </c>
      <c r="Z12" s="12">
        <f t="shared" si="8"/>
        <v>19020</v>
      </c>
      <c r="AA12" s="12">
        <f t="shared" si="8"/>
        <v>16598</v>
      </c>
      <c r="AB12" s="12">
        <f t="shared" si="8"/>
        <v>24296</v>
      </c>
      <c r="AC12" s="12">
        <f t="shared" si="8"/>
        <v>32057</v>
      </c>
      <c r="AD12" s="12">
        <f t="shared" si="8"/>
        <v>18717</v>
      </c>
      <c r="AE12" s="12">
        <f t="shared" si="8"/>
        <v>31959</v>
      </c>
      <c r="AF12" s="13">
        <f t="shared" si="8"/>
        <v>24621.855599999992</v>
      </c>
      <c r="AG12" s="12">
        <f t="shared" si="8"/>
        <v>27993.834999999992</v>
      </c>
      <c r="AH12" s="12">
        <f t="shared" si="8"/>
        <v>31486.966779999999</v>
      </c>
      <c r="AI12" s="12">
        <f t="shared" si="8"/>
        <v>34639.411957999997</v>
      </c>
      <c r="AJ12" s="12">
        <f t="shared" si="8"/>
        <v>38107.289078800008</v>
      </c>
      <c r="AK12" s="12">
        <f t="shared" si="8"/>
        <v>41922.150707930014</v>
      </c>
      <c r="AL12" s="12">
        <f t="shared" si="8"/>
        <v>46118.705136035518</v>
      </c>
      <c r="AM12" s="12">
        <f t="shared" si="8"/>
        <v>50735.131974817195</v>
      </c>
      <c r="AN12" s="12">
        <f t="shared" si="8"/>
        <v>55813.429313735949</v>
      </c>
      <c r="AO12" s="12">
        <f t="shared" si="8"/>
        <v>61399.795593618437</v>
      </c>
      <c r="AP12" s="12">
        <f t="shared" si="8"/>
        <v>67545.049668914624</v>
      </c>
    </row>
    <row r="13" spans="1:49" x14ac:dyDescent="0.25">
      <c r="A13" s="29">
        <f>Q60/B5</f>
        <v>73.735374632833128</v>
      </c>
      <c r="C13" s="2" t="s">
        <v>55</v>
      </c>
      <c r="D13" s="14">
        <v>-2128</v>
      </c>
      <c r="E13" s="14">
        <v>-2304</v>
      </c>
      <c r="F13" s="14">
        <v>-2530</v>
      </c>
      <c r="G13" s="14">
        <f>-12283-D13-E13-F13</f>
        <v>-5321</v>
      </c>
      <c r="H13" s="14">
        <v>-2438</v>
      </c>
      <c r="I13" s="14">
        <f>-2454</f>
        <v>-2454</v>
      </c>
      <c r="J13" s="14">
        <f>-2537-28422</f>
        <v>-30959</v>
      </c>
      <c r="K13" s="14">
        <f>-9795-26775-15563-H13-I13-J13</f>
        <v>-16282</v>
      </c>
      <c r="L13" s="14">
        <f>-2423+761</f>
        <v>-1662</v>
      </c>
      <c r="M13" s="14">
        <f>-2683-3913</f>
        <v>-6596</v>
      </c>
      <c r="N13" s="14">
        <f>-2548-284</f>
        <v>-2832</v>
      </c>
      <c r="O13" s="14">
        <f>-10225-15563-L13-M13-N13</f>
        <v>-14698</v>
      </c>
      <c r="P13" s="14">
        <f>-2555+272</f>
        <v>-2283</v>
      </c>
      <c r="Q13" s="15">
        <f>-2435-20</f>
        <v>-2455</v>
      </c>
      <c r="R13" s="14"/>
      <c r="S13" s="14"/>
      <c r="V13" s="14">
        <v>-6857</v>
      </c>
      <c r="W13" s="14">
        <v>-5232</v>
      </c>
      <c r="X13" s="14">
        <v>-6284</v>
      </c>
      <c r="Y13" s="14">
        <v>-5375</v>
      </c>
      <c r="Z13" s="14">
        <v>-7432</v>
      </c>
      <c r="AA13" s="14">
        <v>-7588</v>
      </c>
      <c r="AB13" s="14">
        <v>-8101</v>
      </c>
      <c r="AC13" s="14">
        <v>-12283</v>
      </c>
      <c r="AD13" s="14">
        <f>-9795-26775</f>
        <v>-36570</v>
      </c>
      <c r="AE13" s="14">
        <f>-10225-15563</f>
        <v>-25788</v>
      </c>
      <c r="AF13" s="15">
        <v>-14000</v>
      </c>
      <c r="AG13" s="14">
        <v>-10000</v>
      </c>
      <c r="AH13" s="14">
        <v>-10000</v>
      </c>
      <c r="AI13" s="14">
        <v>-10000</v>
      </c>
      <c r="AJ13" s="14">
        <v>-10000</v>
      </c>
      <c r="AK13" s="14">
        <v>-10000</v>
      </c>
      <c r="AL13" s="14">
        <v>-10000</v>
      </c>
      <c r="AM13" s="14">
        <v>-10000</v>
      </c>
      <c r="AN13" s="14">
        <v>-10000</v>
      </c>
      <c r="AO13" s="14">
        <v>-10000</v>
      </c>
      <c r="AP13" s="14">
        <v>-10000</v>
      </c>
    </row>
    <row r="14" spans="1:49" x14ac:dyDescent="0.25">
      <c r="C14" s="1" t="s">
        <v>56</v>
      </c>
      <c r="D14" s="12">
        <f>SUM(D12:D13)</f>
        <v>7301</v>
      </c>
      <c r="E14" s="12">
        <f>SUM(E12:E13)</f>
        <v>1311</v>
      </c>
      <c r="F14" s="12">
        <f>SUM(F12:F13)</f>
        <v>9787</v>
      </c>
      <c r="G14" s="12">
        <f>SUM(G12:G13)</f>
        <v>1147</v>
      </c>
      <c r="H14" s="12">
        <f t="shared" ref="H14:Q14" si="9">SUM(H12:H13)</f>
        <v>4472</v>
      </c>
      <c r="I14" s="12">
        <f t="shared" si="9"/>
        <v>866</v>
      </c>
      <c r="J14" s="12">
        <f t="shared" si="9"/>
        <v>-21786</v>
      </c>
      <c r="K14" s="12">
        <f t="shared" si="9"/>
        <v>-16968</v>
      </c>
      <c r="L14" s="12">
        <f t="shared" si="9"/>
        <v>5826</v>
      </c>
      <c r="M14" s="12">
        <f t="shared" si="9"/>
        <v>-26</v>
      </c>
      <c r="N14" s="12">
        <f t="shared" si="9"/>
        <v>6716</v>
      </c>
      <c r="O14" s="12">
        <f t="shared" si="9"/>
        <v>-6345</v>
      </c>
      <c r="P14" s="12">
        <f t="shared" si="9"/>
        <v>6588</v>
      </c>
      <c r="Q14" s="13">
        <f t="shared" si="9"/>
        <v>4189</v>
      </c>
      <c r="R14" s="12"/>
      <c r="S14" s="12"/>
      <c r="V14" s="12">
        <f t="shared" ref="V14:AP14" si="10">SUM(V12:V13)</f>
        <v>3031</v>
      </c>
      <c r="W14" s="12">
        <f t="shared" si="10"/>
        <v>11707</v>
      </c>
      <c r="X14" s="12">
        <f t="shared" si="10"/>
        <v>16290</v>
      </c>
      <c r="Y14" s="12">
        <f t="shared" si="10"/>
        <v>23116</v>
      </c>
      <c r="Z14" s="12">
        <f t="shared" si="10"/>
        <v>11588</v>
      </c>
      <c r="AA14" s="12">
        <f t="shared" si="10"/>
        <v>9010</v>
      </c>
      <c r="AB14" s="12">
        <f t="shared" si="10"/>
        <v>16195</v>
      </c>
      <c r="AC14" s="12">
        <f t="shared" si="10"/>
        <v>19774</v>
      </c>
      <c r="AD14" s="12">
        <f>SUM(AD12:AD13)</f>
        <v>-17853</v>
      </c>
      <c r="AE14" s="12">
        <f t="shared" si="10"/>
        <v>6171</v>
      </c>
      <c r="AF14" s="13">
        <f t="shared" si="10"/>
        <v>10621.855599999992</v>
      </c>
      <c r="AG14" s="12">
        <f t="shared" si="10"/>
        <v>17993.834999999992</v>
      </c>
      <c r="AH14" s="12">
        <f t="shared" si="10"/>
        <v>21486.966779999999</v>
      </c>
      <c r="AI14" s="12">
        <f t="shared" si="10"/>
        <v>24639.411957999997</v>
      </c>
      <c r="AJ14" s="12">
        <f t="shared" si="10"/>
        <v>28107.289078800008</v>
      </c>
      <c r="AK14" s="12">
        <f t="shared" si="10"/>
        <v>31922.150707930014</v>
      </c>
      <c r="AL14" s="12">
        <f t="shared" si="10"/>
        <v>36118.705136035518</v>
      </c>
      <c r="AM14" s="12">
        <f t="shared" si="10"/>
        <v>40735.131974817195</v>
      </c>
      <c r="AN14" s="12">
        <f t="shared" si="10"/>
        <v>45813.429313735949</v>
      </c>
      <c r="AO14" s="12">
        <f t="shared" si="10"/>
        <v>51399.795593618437</v>
      </c>
      <c r="AP14" s="12">
        <f t="shared" si="10"/>
        <v>57545.049668914624</v>
      </c>
      <c r="AQ14" s="12"/>
      <c r="AR14" s="12"/>
      <c r="AS14" s="12"/>
      <c r="AT14" s="12"/>
      <c r="AU14" s="12"/>
      <c r="AV14" s="12"/>
      <c r="AW14" s="12"/>
    </row>
    <row r="15" spans="1:49" x14ac:dyDescent="0.25">
      <c r="A15" s="2" t="s">
        <v>353</v>
      </c>
      <c r="C15" s="2" t="s">
        <v>57</v>
      </c>
      <c r="D15" s="14">
        <v>108</v>
      </c>
      <c r="E15" s="14">
        <v>67</v>
      </c>
      <c r="F15" s="14">
        <v>124</v>
      </c>
      <c r="G15" s="14">
        <f>331-D15-E15-F15</f>
        <v>32</v>
      </c>
      <c r="H15" s="14">
        <v>169</v>
      </c>
      <c r="I15" s="14">
        <v>159</v>
      </c>
      <c r="J15" s="14">
        <v>-50</v>
      </c>
      <c r="K15" s="14">
        <f>234-H15-I15-J15</f>
        <v>-44</v>
      </c>
      <c r="L15" s="14">
        <v>-52</v>
      </c>
      <c r="M15" s="14">
        <v>-7</v>
      </c>
      <c r="N15" s="14">
        <v>14</v>
      </c>
      <c r="O15" s="14">
        <f>-11-L15-M15-N15</f>
        <v>34</v>
      </c>
      <c r="P15" s="14">
        <v>87</v>
      </c>
      <c r="Q15" s="15">
        <v>124</v>
      </c>
      <c r="R15" s="14"/>
      <c r="S15" s="14"/>
      <c r="V15" s="14">
        <v>56</v>
      </c>
      <c r="W15" s="14">
        <v>1250</v>
      </c>
      <c r="X15" s="14">
        <v>-139</v>
      </c>
      <c r="Y15" s="14">
        <v>127</v>
      </c>
      <c r="Z15" s="14">
        <v>-63</v>
      </c>
      <c r="AA15" s="14">
        <v>10831</v>
      </c>
      <c r="AB15" s="14">
        <v>-742</v>
      </c>
      <c r="AC15" s="14">
        <v>331</v>
      </c>
      <c r="AD15" s="14">
        <v>234</v>
      </c>
      <c r="AE15" s="14">
        <v>-11</v>
      </c>
      <c r="AF15" s="15">
        <v>422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</row>
    <row r="16" spans="1:49" x14ac:dyDescent="0.25">
      <c r="A16" s="2" t="s">
        <v>355</v>
      </c>
      <c r="C16" s="2" t="s">
        <v>51</v>
      </c>
      <c r="D16" s="14">
        <v>0</v>
      </c>
      <c r="E16" s="14">
        <v>1</v>
      </c>
      <c r="F16" s="14">
        <v>1</v>
      </c>
      <c r="G16" s="14">
        <v>360</v>
      </c>
      <c r="H16" s="14">
        <v>13</v>
      </c>
      <c r="I16" s="14">
        <v>9</v>
      </c>
      <c r="J16" s="14">
        <v>9</v>
      </c>
      <c r="K16" s="14">
        <f>36-H16-I16-J16</f>
        <v>5</v>
      </c>
      <c r="L16" s="14">
        <v>7</v>
      </c>
      <c r="M16" s="14">
        <v>10</v>
      </c>
      <c r="N16" s="14">
        <v>13</v>
      </c>
      <c r="O16" s="14">
        <f>37-L16-M16-N16</f>
        <v>7</v>
      </c>
      <c r="P16" s="14">
        <v>11</v>
      </c>
      <c r="Q16" s="15">
        <v>7</v>
      </c>
      <c r="R16" s="14"/>
      <c r="S16" s="14"/>
      <c r="V16" s="14">
        <v>-8</v>
      </c>
      <c r="W16" s="14">
        <v>-8</v>
      </c>
      <c r="X16" s="14">
        <v>-10</v>
      </c>
      <c r="Y16" s="14">
        <v>1</v>
      </c>
      <c r="Z16" s="14">
        <v>2</v>
      </c>
      <c r="AA16" s="14">
        <v>7</v>
      </c>
      <c r="AB16" s="14">
        <v>-10</v>
      </c>
      <c r="AC16" s="14">
        <v>40</v>
      </c>
      <c r="AD16" s="14">
        <v>36</v>
      </c>
      <c r="AE16" s="14">
        <v>37</v>
      </c>
      <c r="AF16" s="15">
        <v>36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</row>
    <row r="17" spans="1:145" x14ac:dyDescent="0.25">
      <c r="C17" s="2" t="s">
        <v>58</v>
      </c>
      <c r="D17" s="14">
        <v>1063</v>
      </c>
      <c r="E17" s="14">
        <v>2028</v>
      </c>
      <c r="F17" s="14">
        <v>4685</v>
      </c>
      <c r="G17" s="14">
        <f>15514-D17-E17-F17</f>
        <v>7738</v>
      </c>
      <c r="H17" s="14">
        <v>3086</v>
      </c>
      <c r="I17" s="14">
        <v>835</v>
      </c>
      <c r="J17" s="14">
        <v>1360</v>
      </c>
      <c r="K17" s="14">
        <f>12379-H17-I17-J17</f>
        <v>7098</v>
      </c>
      <c r="L17" s="14">
        <v>1575</v>
      </c>
      <c r="M17" s="14">
        <v>2854</v>
      </c>
      <c r="N17" s="14">
        <v>1545</v>
      </c>
      <c r="O17" s="14">
        <f>8590-L17-M17-N17</f>
        <v>2616</v>
      </c>
      <c r="P17" s="14">
        <v>1819</v>
      </c>
      <c r="Q17" s="15">
        <v>2654</v>
      </c>
      <c r="R17" s="14"/>
      <c r="S17" s="14"/>
      <c r="V17" s="14">
        <v>9297</v>
      </c>
      <c r="W17" s="14">
        <v>8179</v>
      </c>
      <c r="X17" s="14">
        <v>4253</v>
      </c>
      <c r="Y17" s="14">
        <v>3179</v>
      </c>
      <c r="Z17" s="14">
        <v>7718</v>
      </c>
      <c r="AA17" s="14">
        <v>5779</v>
      </c>
      <c r="AB17" s="14">
        <v>4380</v>
      </c>
      <c r="AC17" s="14">
        <v>15514</v>
      </c>
      <c r="AD17" s="14">
        <v>12379</v>
      </c>
      <c r="AE17" s="14">
        <v>8590</v>
      </c>
      <c r="AF17" s="15">
        <v>8946</v>
      </c>
      <c r="AG17" s="14">
        <f>AF17*1.1</f>
        <v>9840.6</v>
      </c>
      <c r="AH17" s="14">
        <f>AG17*1.05</f>
        <v>10332.630000000001</v>
      </c>
      <c r="AI17" s="14">
        <f t="shared" ref="AI17:AP17" si="11">AH17*1.05</f>
        <v>10849.261500000002</v>
      </c>
      <c r="AJ17" s="14">
        <f t="shared" si="11"/>
        <v>11391.724575000004</v>
      </c>
      <c r="AK17" s="14">
        <f t="shared" si="11"/>
        <v>11961.310803750004</v>
      </c>
      <c r="AL17" s="14">
        <f t="shared" si="11"/>
        <v>12559.376343937505</v>
      </c>
      <c r="AM17" s="14">
        <f t="shared" si="11"/>
        <v>13187.345161134381</v>
      </c>
      <c r="AN17" s="14">
        <f t="shared" si="11"/>
        <v>13846.712419191101</v>
      </c>
      <c r="AO17" s="14">
        <f t="shared" si="11"/>
        <v>14539.048040150656</v>
      </c>
      <c r="AP17" s="14">
        <f t="shared" si="11"/>
        <v>15266.000442158189</v>
      </c>
    </row>
    <row r="18" spans="1:145" x14ac:dyDescent="0.25">
      <c r="A18" s="2" t="s">
        <v>356</v>
      </c>
      <c r="C18" s="2" t="s">
        <v>59</v>
      </c>
      <c r="D18" s="14">
        <v>-1911</v>
      </c>
      <c r="E18" s="14">
        <v>-2514</v>
      </c>
      <c r="F18" s="14">
        <v>-4902</v>
      </c>
      <c r="G18" s="14">
        <f>-18050-D18-E18-F18</f>
        <v>-8723</v>
      </c>
      <c r="H18" s="14">
        <v>-4605</v>
      </c>
      <c r="I18" s="14">
        <v>-2632</v>
      </c>
      <c r="J18" s="14">
        <v>-1488</v>
      </c>
      <c r="K18" s="14">
        <f>-13822-H18-I18-J18</f>
        <v>-5097</v>
      </c>
      <c r="L18" s="14">
        <v>-2922</v>
      </c>
      <c r="M18" s="14">
        <v>-3406</v>
      </c>
      <c r="N18" s="14">
        <v>-2780</v>
      </c>
      <c r="O18" s="14">
        <f>-12181-L18-M18-N18</f>
        <v>-3073</v>
      </c>
      <c r="P18" s="14">
        <v>-3386</v>
      </c>
      <c r="Q18" s="15">
        <v>-2985</v>
      </c>
      <c r="R18" s="14"/>
      <c r="S18" s="14"/>
      <c r="V18" s="14">
        <v>-10706</v>
      </c>
      <c r="W18" s="14">
        <v>-8946</v>
      </c>
      <c r="X18" s="14">
        <v>-5295</v>
      </c>
      <c r="Y18" s="14">
        <v>-4457</v>
      </c>
      <c r="Z18" s="14">
        <v>-8853</v>
      </c>
      <c r="AA18" s="14">
        <v>-8303</v>
      </c>
      <c r="AB18" s="14">
        <v>-6546</v>
      </c>
      <c r="AC18" s="14">
        <v>-18050</v>
      </c>
      <c r="AD18" s="14">
        <v>-13822</v>
      </c>
      <c r="AE18" s="14">
        <v>-12181</v>
      </c>
      <c r="AF18" s="15">
        <v>-12742</v>
      </c>
      <c r="AG18" s="14">
        <f>AF18*1.1</f>
        <v>-14016.2</v>
      </c>
      <c r="AH18" s="14">
        <f>AG18*1.05</f>
        <v>-14717.010000000002</v>
      </c>
      <c r="AI18" s="14">
        <f t="shared" ref="AI18:AP18" si="12">AH18*1.05</f>
        <v>-15452.860500000003</v>
      </c>
      <c r="AJ18" s="14">
        <f t="shared" si="12"/>
        <v>-16225.503525000004</v>
      </c>
      <c r="AK18" s="14">
        <f t="shared" si="12"/>
        <v>-17036.778701250005</v>
      </c>
      <c r="AL18" s="14">
        <f t="shared" si="12"/>
        <v>-17888.617636312505</v>
      </c>
      <c r="AM18" s="14">
        <f t="shared" si="12"/>
        <v>-18783.048518128133</v>
      </c>
      <c r="AN18" s="14">
        <f t="shared" si="12"/>
        <v>-19722.200944034539</v>
      </c>
      <c r="AO18" s="14">
        <f t="shared" si="12"/>
        <v>-20708.310991236267</v>
      </c>
      <c r="AP18" s="14">
        <f t="shared" si="12"/>
        <v>-21743.726540798081</v>
      </c>
    </row>
    <row r="19" spans="1:145" x14ac:dyDescent="0.25">
      <c r="A19" s="2" t="s">
        <v>354</v>
      </c>
      <c r="C19" s="2" t="s">
        <v>60</v>
      </c>
      <c r="D19" s="14">
        <f>SUM(D14:D18)</f>
        <v>6561</v>
      </c>
      <c r="E19" s="14">
        <f>SUM(E14:E18)</f>
        <v>893</v>
      </c>
      <c r="F19" s="14">
        <f>SUM(F14:F18)</f>
        <v>9695</v>
      </c>
      <c r="G19" s="14">
        <f>SUM(G14:G18)</f>
        <v>554</v>
      </c>
      <c r="H19" s="14">
        <f t="shared" ref="H19:Q19" si="13">SUM(H14:H18)</f>
        <v>3135</v>
      </c>
      <c r="I19" s="14">
        <f t="shared" si="13"/>
        <v>-763</v>
      </c>
      <c r="J19" s="14">
        <f t="shared" si="13"/>
        <v>-21955</v>
      </c>
      <c r="K19" s="14">
        <f t="shared" si="13"/>
        <v>-15006</v>
      </c>
      <c r="L19" s="14">
        <f t="shared" si="13"/>
        <v>4434</v>
      </c>
      <c r="M19" s="14">
        <f t="shared" si="13"/>
        <v>-575</v>
      </c>
      <c r="N19" s="14">
        <f t="shared" si="13"/>
        <v>5508</v>
      </c>
      <c r="O19" s="14">
        <f t="shared" si="13"/>
        <v>-6761</v>
      </c>
      <c r="P19" s="14">
        <f t="shared" si="13"/>
        <v>5119</v>
      </c>
      <c r="Q19" s="15">
        <f t="shared" si="13"/>
        <v>3989</v>
      </c>
      <c r="R19" s="14"/>
      <c r="S19" s="14"/>
      <c r="V19" s="14">
        <f t="shared" ref="V19:AP19" si="14">SUM(V14:V18)</f>
        <v>1670</v>
      </c>
      <c r="W19" s="14">
        <f t="shared" si="14"/>
        <v>12182</v>
      </c>
      <c r="X19" s="14">
        <f t="shared" si="14"/>
        <v>15099</v>
      </c>
      <c r="Y19" s="14">
        <f t="shared" si="14"/>
        <v>21966</v>
      </c>
      <c r="Z19" s="14">
        <f t="shared" si="14"/>
        <v>10392</v>
      </c>
      <c r="AA19" s="14">
        <f t="shared" si="14"/>
        <v>17324</v>
      </c>
      <c r="AB19" s="14">
        <f t="shared" si="14"/>
        <v>13277</v>
      </c>
      <c r="AC19" s="14">
        <f t="shared" si="14"/>
        <v>17609</v>
      </c>
      <c r="AD19" s="14">
        <f t="shared" si="14"/>
        <v>-19026</v>
      </c>
      <c r="AE19" s="14">
        <f t="shared" si="14"/>
        <v>2606</v>
      </c>
      <c r="AF19" s="15">
        <f t="shared" si="14"/>
        <v>7283.8555999999917</v>
      </c>
      <c r="AG19" s="14">
        <f t="shared" si="14"/>
        <v>13818.23499999999</v>
      </c>
      <c r="AH19" s="14">
        <f t="shared" si="14"/>
        <v>17102.586779999998</v>
      </c>
      <c r="AI19" s="14">
        <f t="shared" si="14"/>
        <v>20035.812957999995</v>
      </c>
      <c r="AJ19" s="14">
        <f t="shared" si="14"/>
        <v>23273.510128800004</v>
      </c>
      <c r="AK19" s="14">
        <f t="shared" si="14"/>
        <v>26846.682810430015</v>
      </c>
      <c r="AL19" s="14">
        <f t="shared" si="14"/>
        <v>30789.463843660516</v>
      </c>
      <c r="AM19" s="14">
        <f t="shared" si="14"/>
        <v>35139.42861782344</v>
      </c>
      <c r="AN19" s="14">
        <f t="shared" si="14"/>
        <v>39937.940788892505</v>
      </c>
      <c r="AO19" s="14">
        <f t="shared" si="14"/>
        <v>45230.532642532824</v>
      </c>
      <c r="AP19" s="14">
        <f t="shared" si="14"/>
        <v>51067.323570274726</v>
      </c>
    </row>
    <row r="20" spans="1:145" x14ac:dyDescent="0.25">
      <c r="C20" s="2" t="s">
        <v>61</v>
      </c>
      <c r="D20" s="14">
        <v>-860</v>
      </c>
      <c r="E20" s="14">
        <v>-624</v>
      </c>
      <c r="F20" s="14">
        <v>-340</v>
      </c>
      <c r="G20" s="14">
        <f>-2613-D20-E20-F20</f>
        <v>-789</v>
      </c>
      <c r="H20" s="14">
        <v>67</v>
      </c>
      <c r="I20" s="14">
        <v>225</v>
      </c>
      <c r="J20" s="14">
        <v>-607</v>
      </c>
      <c r="K20" s="14">
        <f>-1156-H20-I20-J20</f>
        <v>-841</v>
      </c>
      <c r="L20" s="14">
        <v>-1825</v>
      </c>
      <c r="M20" s="14">
        <v>-1103</v>
      </c>
      <c r="N20" s="14">
        <v>-339</v>
      </c>
      <c r="O20" s="14">
        <f>-2590-L20-M20-N20</f>
        <v>677</v>
      </c>
      <c r="P20" s="14">
        <v>-232</v>
      </c>
      <c r="Q20" s="15">
        <v>-638</v>
      </c>
      <c r="R20" s="14"/>
      <c r="S20" s="14"/>
      <c r="V20" s="14">
        <v>184</v>
      </c>
      <c r="W20" s="14">
        <v>-1715</v>
      </c>
      <c r="X20" s="14">
        <v>-1778</v>
      </c>
      <c r="Y20" s="14">
        <v>-3700</v>
      </c>
      <c r="Z20" s="14">
        <v>-3101</v>
      </c>
      <c r="AA20" s="14">
        <v>-1776</v>
      </c>
      <c r="AB20" s="14">
        <v>-2390</v>
      </c>
      <c r="AC20" s="14">
        <v>-2613</v>
      </c>
      <c r="AD20" s="14">
        <v>-1156</v>
      </c>
      <c r="AE20" s="14">
        <v>-2590</v>
      </c>
      <c r="AF20" s="15">
        <f>AF19*-0.2</f>
        <v>-1456.7711199999985</v>
      </c>
      <c r="AG20" s="14">
        <f t="shared" ref="AG20:AP20" si="15">AG19*-0.2</f>
        <v>-2763.6469999999981</v>
      </c>
      <c r="AH20" s="14">
        <f t="shared" si="15"/>
        <v>-3420.5173559999998</v>
      </c>
      <c r="AI20" s="14">
        <f t="shared" si="15"/>
        <v>-4007.1625915999994</v>
      </c>
      <c r="AJ20" s="14">
        <f t="shared" si="15"/>
        <v>-4654.7020257600007</v>
      </c>
      <c r="AK20" s="14">
        <f t="shared" si="15"/>
        <v>-5369.3365620860031</v>
      </c>
      <c r="AL20" s="14">
        <f t="shared" si="15"/>
        <v>-6157.8927687321038</v>
      </c>
      <c r="AM20" s="14">
        <f t="shared" si="15"/>
        <v>-7027.8857235646883</v>
      </c>
      <c r="AN20" s="14">
        <f t="shared" si="15"/>
        <v>-7987.5881577785012</v>
      </c>
      <c r="AO20" s="14">
        <f t="shared" si="15"/>
        <v>-9046.1065285065652</v>
      </c>
      <c r="AP20" s="14">
        <f t="shared" si="15"/>
        <v>-10213.464714054946</v>
      </c>
    </row>
    <row r="21" spans="1:145" x14ac:dyDescent="0.25">
      <c r="C21" s="1" t="s">
        <v>62</v>
      </c>
      <c r="D21" s="12">
        <f>SUM(D19:D20)</f>
        <v>5701</v>
      </c>
      <c r="E21" s="12">
        <f>SUM(E19:E20)</f>
        <v>269</v>
      </c>
      <c r="F21" s="12">
        <f>SUM(F19:F20)</f>
        <v>9355</v>
      </c>
      <c r="G21" s="12">
        <v>-335</v>
      </c>
      <c r="H21" s="12">
        <f t="shared" ref="H21:Q21" si="16">SUM(H19:H20)</f>
        <v>3202</v>
      </c>
      <c r="I21" s="12">
        <f t="shared" si="16"/>
        <v>-538</v>
      </c>
      <c r="J21" s="12">
        <f t="shared" si="16"/>
        <v>-22562</v>
      </c>
      <c r="K21" s="12">
        <f t="shared" si="16"/>
        <v>-15847</v>
      </c>
      <c r="L21" s="12">
        <f t="shared" si="16"/>
        <v>2609</v>
      </c>
      <c r="M21" s="12">
        <f t="shared" si="16"/>
        <v>-1678</v>
      </c>
      <c r="N21" s="12">
        <f t="shared" si="16"/>
        <v>5169</v>
      </c>
      <c r="O21" s="12">
        <f t="shared" si="16"/>
        <v>-6084</v>
      </c>
      <c r="P21" s="12">
        <f t="shared" si="16"/>
        <v>4887</v>
      </c>
      <c r="Q21" s="13">
        <f t="shared" si="16"/>
        <v>3351</v>
      </c>
      <c r="R21" s="12"/>
      <c r="S21" s="12"/>
      <c r="V21" s="12">
        <f t="shared" ref="V21:AP21" si="17">SUM(V19:V20)</f>
        <v>1854</v>
      </c>
      <c r="W21" s="12">
        <f t="shared" si="17"/>
        <v>10467</v>
      </c>
      <c r="X21" s="12">
        <f t="shared" si="17"/>
        <v>13321</v>
      </c>
      <c r="Y21" s="12">
        <f t="shared" si="17"/>
        <v>18266</v>
      </c>
      <c r="Z21" s="12">
        <f t="shared" si="17"/>
        <v>7291</v>
      </c>
      <c r="AA21" s="12">
        <f t="shared" si="17"/>
        <v>15548</v>
      </c>
      <c r="AB21" s="12">
        <f t="shared" si="17"/>
        <v>10887</v>
      </c>
      <c r="AC21" s="12">
        <f t="shared" si="17"/>
        <v>14996</v>
      </c>
      <c r="AD21" s="12">
        <f t="shared" si="17"/>
        <v>-20182</v>
      </c>
      <c r="AE21" s="12">
        <f t="shared" si="17"/>
        <v>16</v>
      </c>
      <c r="AF21" s="13">
        <f t="shared" si="17"/>
        <v>5827.0844799999932</v>
      </c>
      <c r="AG21" s="12">
        <f t="shared" si="17"/>
        <v>11054.587999999992</v>
      </c>
      <c r="AH21" s="12">
        <f t="shared" si="17"/>
        <v>13682.069423999998</v>
      </c>
      <c r="AI21" s="12">
        <f t="shared" si="17"/>
        <v>16028.650366399996</v>
      </c>
      <c r="AJ21" s="12">
        <f t="shared" si="17"/>
        <v>18618.808103040003</v>
      </c>
      <c r="AK21" s="12">
        <f t="shared" si="17"/>
        <v>21477.346248344013</v>
      </c>
      <c r="AL21" s="12">
        <f t="shared" si="17"/>
        <v>24631.571074928412</v>
      </c>
      <c r="AM21" s="12">
        <f t="shared" si="17"/>
        <v>28111.542894258753</v>
      </c>
      <c r="AN21" s="12">
        <f t="shared" si="17"/>
        <v>31950.352631114005</v>
      </c>
      <c r="AO21" s="12">
        <f t="shared" si="17"/>
        <v>36184.426114026261</v>
      </c>
      <c r="AP21" s="12">
        <f t="shared" si="17"/>
        <v>40853.858856219784</v>
      </c>
      <c r="AQ21" s="12">
        <f>AP21*(1+$AS$25)</f>
        <v>40445.320267657582</v>
      </c>
      <c r="AR21" s="12">
        <f t="shared" ref="AR21:DC21" si="18">AQ21*(1+$AS$25)</f>
        <v>40040.867064981008</v>
      </c>
      <c r="AS21" s="12">
        <f t="shared" si="18"/>
        <v>39640.458394331195</v>
      </c>
      <c r="AT21" s="12">
        <f t="shared" si="18"/>
        <v>39244.053810387886</v>
      </c>
      <c r="AU21" s="12">
        <f t="shared" si="18"/>
        <v>38851.613272284005</v>
      </c>
      <c r="AV21" s="12">
        <f t="shared" si="18"/>
        <v>38463.097139561163</v>
      </c>
      <c r="AW21" s="12">
        <f t="shared" si="18"/>
        <v>38078.466168165549</v>
      </c>
      <c r="AX21" s="12">
        <f t="shared" si="18"/>
        <v>37697.681506483896</v>
      </c>
      <c r="AY21" s="12">
        <f t="shared" si="18"/>
        <v>37320.704691419058</v>
      </c>
      <c r="AZ21" s="12">
        <f t="shared" si="18"/>
        <v>36947.497644504867</v>
      </c>
      <c r="BA21" s="12">
        <f t="shared" si="18"/>
        <v>36578.022668059821</v>
      </c>
      <c r="BB21" s="12">
        <f t="shared" si="18"/>
        <v>36212.242441379225</v>
      </c>
      <c r="BC21" s="12">
        <f t="shared" si="18"/>
        <v>35850.120016965433</v>
      </c>
      <c r="BD21" s="12">
        <f t="shared" si="18"/>
        <v>35491.618816795781</v>
      </c>
      <c r="BE21" s="12">
        <f t="shared" si="18"/>
        <v>35136.70262862782</v>
      </c>
      <c r="BF21" s="12">
        <f t="shared" si="18"/>
        <v>34785.33560234154</v>
      </c>
      <c r="BG21" s="12">
        <f t="shared" si="18"/>
        <v>34437.482246318126</v>
      </c>
      <c r="BH21" s="12">
        <f t="shared" si="18"/>
        <v>34093.107423854948</v>
      </c>
      <c r="BI21" s="12">
        <f t="shared" si="18"/>
        <v>33752.176349616399</v>
      </c>
      <c r="BJ21" s="12">
        <f t="shared" si="18"/>
        <v>33414.654586120232</v>
      </c>
      <c r="BK21" s="12">
        <f t="shared" si="18"/>
        <v>33080.508040259032</v>
      </c>
      <c r="BL21" s="12">
        <f t="shared" si="18"/>
        <v>32749.70295985644</v>
      </c>
      <c r="BM21" s="12">
        <f t="shared" si="18"/>
        <v>32422.205930257875</v>
      </c>
      <c r="BN21" s="12">
        <f t="shared" si="18"/>
        <v>32097.983870955297</v>
      </c>
      <c r="BO21" s="12">
        <f t="shared" si="18"/>
        <v>31777.004032245743</v>
      </c>
      <c r="BP21" s="12">
        <f t="shared" si="18"/>
        <v>31459.233991923284</v>
      </c>
      <c r="BQ21" s="12">
        <f t="shared" si="18"/>
        <v>31144.641652004051</v>
      </c>
      <c r="BR21" s="12">
        <f t="shared" si="18"/>
        <v>30833.19523548401</v>
      </c>
      <c r="BS21" s="12">
        <f t="shared" si="18"/>
        <v>30524.863283129169</v>
      </c>
      <c r="BT21" s="12">
        <f t="shared" si="18"/>
        <v>30219.614650297877</v>
      </c>
      <c r="BU21" s="12">
        <f t="shared" si="18"/>
        <v>29917.418503794899</v>
      </c>
      <c r="BV21" s="12">
        <f t="shared" si="18"/>
        <v>29618.244318756952</v>
      </c>
      <c r="BW21" s="12">
        <f t="shared" si="18"/>
        <v>29322.061875569383</v>
      </c>
      <c r="BX21" s="12">
        <f t="shared" si="18"/>
        <v>29028.841256813688</v>
      </c>
      <c r="BY21" s="12">
        <f t="shared" si="18"/>
        <v>28738.552844245551</v>
      </c>
      <c r="BZ21" s="12">
        <f t="shared" si="18"/>
        <v>28451.167315803094</v>
      </c>
      <c r="CA21" s="12">
        <f t="shared" si="18"/>
        <v>28166.655642645062</v>
      </c>
      <c r="CB21" s="12">
        <f t="shared" si="18"/>
        <v>27884.989086218611</v>
      </c>
      <c r="CC21" s="12">
        <f t="shared" si="18"/>
        <v>27606.139195356423</v>
      </c>
      <c r="CD21" s="12">
        <f t="shared" si="18"/>
        <v>27330.077803402859</v>
      </c>
      <c r="CE21" s="12">
        <f t="shared" si="18"/>
        <v>27056.777025368829</v>
      </c>
      <c r="CF21" s="12">
        <f t="shared" si="18"/>
        <v>26786.20925511514</v>
      </c>
      <c r="CG21" s="12">
        <f t="shared" si="18"/>
        <v>26518.347162563987</v>
      </c>
      <c r="CH21" s="12">
        <f t="shared" si="18"/>
        <v>26253.163690938345</v>
      </c>
      <c r="CI21" s="12">
        <f t="shared" si="18"/>
        <v>25990.63205402896</v>
      </c>
      <c r="CJ21" s="12">
        <f t="shared" si="18"/>
        <v>25730.725733488671</v>
      </c>
      <c r="CK21" s="12">
        <f t="shared" si="18"/>
        <v>25473.418476153784</v>
      </c>
      <c r="CL21" s="12">
        <f t="shared" si="18"/>
        <v>25218.684291392245</v>
      </c>
      <c r="CM21" s="12">
        <f t="shared" si="18"/>
        <v>24966.497448478323</v>
      </c>
      <c r="CN21" s="12">
        <f t="shared" si="18"/>
        <v>24716.832473993541</v>
      </c>
      <c r="CO21" s="12">
        <f t="shared" si="18"/>
        <v>24469.664149253607</v>
      </c>
      <c r="CP21" s="12">
        <f t="shared" si="18"/>
        <v>24224.96750776107</v>
      </c>
      <c r="CQ21" s="12">
        <f t="shared" si="18"/>
        <v>23982.717832683458</v>
      </c>
      <c r="CR21" s="12">
        <f t="shared" si="18"/>
        <v>23742.890654356623</v>
      </c>
      <c r="CS21" s="12">
        <f t="shared" si="18"/>
        <v>23505.461747813057</v>
      </c>
      <c r="CT21" s="12">
        <f t="shared" si="18"/>
        <v>23270.407130334926</v>
      </c>
      <c r="CU21" s="12">
        <f t="shared" si="18"/>
        <v>23037.703059031577</v>
      </c>
      <c r="CV21" s="12">
        <f t="shared" si="18"/>
        <v>22807.326028441261</v>
      </c>
      <c r="CW21" s="12">
        <f t="shared" si="18"/>
        <v>22579.252768156846</v>
      </c>
      <c r="CX21" s="12">
        <f t="shared" si="18"/>
        <v>22353.460240475277</v>
      </c>
      <c r="CY21" s="12">
        <f t="shared" si="18"/>
        <v>22129.925638070523</v>
      </c>
      <c r="CZ21" s="12">
        <f t="shared" si="18"/>
        <v>21908.626381689817</v>
      </c>
      <c r="DA21" s="12">
        <f t="shared" si="18"/>
        <v>21689.540117872919</v>
      </c>
      <c r="DB21" s="12">
        <f t="shared" si="18"/>
        <v>21472.644716694191</v>
      </c>
      <c r="DC21" s="12">
        <f t="shared" si="18"/>
        <v>21257.91826952725</v>
      </c>
      <c r="DD21" s="12">
        <f t="shared" ref="DD21:EO21" si="19">DC21*(1+$AS$25)</f>
        <v>21045.339086831977</v>
      </c>
      <c r="DE21" s="12">
        <f t="shared" si="19"/>
        <v>20834.885695963658</v>
      </c>
      <c r="DF21" s="12">
        <f t="shared" si="19"/>
        <v>20626.53683900402</v>
      </c>
      <c r="DG21" s="12">
        <f t="shared" si="19"/>
        <v>20420.271470613981</v>
      </c>
      <c r="DH21" s="12">
        <f t="shared" si="19"/>
        <v>20216.06875590784</v>
      </c>
      <c r="DI21" s="12">
        <f t="shared" si="19"/>
        <v>20013.908068348763</v>
      </c>
      <c r="DJ21" s="12">
        <f t="shared" si="19"/>
        <v>19813.768987665277</v>
      </c>
      <c r="DK21" s="12">
        <f t="shared" si="19"/>
        <v>19615.631297788623</v>
      </c>
      <c r="DL21" s="12">
        <f t="shared" si="19"/>
        <v>19419.474984810735</v>
      </c>
      <c r="DM21" s="12">
        <f t="shared" si="19"/>
        <v>19225.280234962629</v>
      </c>
      <c r="DN21" s="12">
        <f t="shared" si="19"/>
        <v>19033.027432613002</v>
      </c>
      <c r="DO21" s="12">
        <f t="shared" si="19"/>
        <v>18842.697158286872</v>
      </c>
      <c r="DP21" s="12">
        <f t="shared" si="19"/>
        <v>18654.270186704001</v>
      </c>
      <c r="DQ21" s="12">
        <f t="shared" si="19"/>
        <v>18467.72748483696</v>
      </c>
      <c r="DR21" s="12">
        <f t="shared" si="19"/>
        <v>18283.050209988589</v>
      </c>
      <c r="DS21" s="12">
        <f t="shared" si="19"/>
        <v>18100.219707888704</v>
      </c>
      <c r="DT21" s="12">
        <f t="shared" si="19"/>
        <v>17919.217510809816</v>
      </c>
      <c r="DU21" s="12">
        <f t="shared" si="19"/>
        <v>17740.025335701717</v>
      </c>
      <c r="DV21" s="12">
        <f t="shared" si="19"/>
        <v>17562.625082344701</v>
      </c>
      <c r="DW21" s="12">
        <f t="shared" si="19"/>
        <v>17386.998831521254</v>
      </c>
      <c r="DX21" s="12">
        <f t="shared" si="19"/>
        <v>17213.128843206043</v>
      </c>
      <c r="DY21" s="12">
        <f t="shared" si="19"/>
        <v>17040.997554773981</v>
      </c>
      <c r="DZ21" s="12">
        <f t="shared" si="19"/>
        <v>16870.587579226241</v>
      </c>
      <c r="EA21" s="12">
        <f t="shared" si="19"/>
        <v>16701.881703433977</v>
      </c>
      <c r="EB21" s="12">
        <f t="shared" si="19"/>
        <v>16534.862886399638</v>
      </c>
      <c r="EC21" s="12">
        <f t="shared" si="19"/>
        <v>16369.514257535642</v>
      </c>
      <c r="ED21" s="12">
        <f t="shared" si="19"/>
        <v>16205.819114960286</v>
      </c>
      <c r="EE21" s="12">
        <f t="shared" si="19"/>
        <v>16043.760923810683</v>
      </c>
      <c r="EF21" s="12">
        <f t="shared" si="19"/>
        <v>15883.323314572577</v>
      </c>
      <c r="EG21" s="12">
        <f t="shared" si="19"/>
        <v>15724.490081426851</v>
      </c>
      <c r="EH21" s="12">
        <f t="shared" si="19"/>
        <v>15567.245180612583</v>
      </c>
      <c r="EI21" s="12">
        <f t="shared" si="19"/>
        <v>15411.572728806457</v>
      </c>
      <c r="EJ21" s="12">
        <f t="shared" si="19"/>
        <v>15257.457001518393</v>
      </c>
      <c r="EK21" s="12">
        <f t="shared" si="19"/>
        <v>15104.882431503209</v>
      </c>
      <c r="EL21" s="12">
        <f t="shared" si="19"/>
        <v>14953.833607188177</v>
      </c>
      <c r="EM21" s="12">
        <f t="shared" si="19"/>
        <v>14804.295271116294</v>
      </c>
      <c r="EN21" s="12">
        <f t="shared" si="19"/>
        <v>14656.252318405132</v>
      </c>
      <c r="EO21" s="12">
        <f t="shared" si="19"/>
        <v>14509.68979522108</v>
      </c>
    </row>
    <row r="22" spans="1:145" x14ac:dyDescent="0.25">
      <c r="C22" s="2" t="s">
        <v>63</v>
      </c>
      <c r="D22" s="9">
        <v>420.38099999999997</v>
      </c>
      <c r="E22" s="9">
        <v>420.38099999999997</v>
      </c>
      <c r="F22" s="9">
        <v>420.38099999999997</v>
      </c>
      <c r="G22" s="9">
        <v>420.38099999999997</v>
      </c>
      <c r="H22" s="9">
        <v>420.38099999999997</v>
      </c>
      <c r="I22" s="9">
        <v>420.38099999999997</v>
      </c>
      <c r="J22" s="9">
        <v>420.38099999999997</v>
      </c>
      <c r="K22" s="9">
        <v>420.38099999999997</v>
      </c>
      <c r="L22" s="9">
        <v>420.38099999999997</v>
      </c>
      <c r="M22" s="9">
        <v>420.38099999999997</v>
      </c>
      <c r="N22" s="9">
        <v>420.38099999999997</v>
      </c>
      <c r="O22" s="9">
        <v>420.38099999999997</v>
      </c>
      <c r="P22" s="9">
        <v>420.38099999999997</v>
      </c>
      <c r="Q22" s="8">
        <v>420.38099999999997</v>
      </c>
      <c r="R22" s="44">
        <v>1321.1976</v>
      </c>
      <c r="S22" s="44">
        <v>1321.1976</v>
      </c>
      <c r="V22" s="9">
        <v>420.38099999999997</v>
      </c>
      <c r="W22" s="9">
        <v>420.38099999999997</v>
      </c>
      <c r="X22" s="9">
        <v>420.38099999999997</v>
      </c>
      <c r="Y22" s="9">
        <v>420.38099999999997</v>
      </c>
      <c r="Z22" s="9">
        <v>420.38099999999997</v>
      </c>
      <c r="AA22" s="9">
        <v>420.38099999999997</v>
      </c>
      <c r="AB22" s="9">
        <v>420.38099999999997</v>
      </c>
      <c r="AC22" s="9">
        <v>420.38099999999997</v>
      </c>
      <c r="AD22" s="9">
        <v>420.38099999999997</v>
      </c>
      <c r="AE22" s="9">
        <v>420.38099999999997</v>
      </c>
      <c r="AF22" s="8">
        <v>420.38099999999997</v>
      </c>
      <c r="AG22" s="44">
        <v>1321.1976</v>
      </c>
      <c r="AH22" s="44">
        <v>1321.1976</v>
      </c>
      <c r="AI22" s="44">
        <v>1321.1976</v>
      </c>
      <c r="AJ22" s="44">
        <v>1321.1976</v>
      </c>
      <c r="AK22" s="44">
        <v>1321.1976</v>
      </c>
      <c r="AL22" s="44">
        <v>1321.1976</v>
      </c>
      <c r="AM22" s="44">
        <v>1321.1976</v>
      </c>
      <c r="AN22" s="44">
        <v>1321.1976</v>
      </c>
      <c r="AO22" s="44">
        <v>1321.1976</v>
      </c>
      <c r="AP22" s="44">
        <v>1321.1976</v>
      </c>
    </row>
    <row r="23" spans="1:145" x14ac:dyDescent="0.25">
      <c r="C23" s="2" t="s">
        <v>64</v>
      </c>
      <c r="D23" s="18">
        <f t="shared" ref="D23" si="20">D21/D22</f>
        <v>13.561507299330845</v>
      </c>
      <c r="E23" s="18">
        <f t="shared" ref="E23" si="21">E21/E22</f>
        <v>0.63989571365023634</v>
      </c>
      <c r="F23" s="18">
        <f t="shared" ref="F23" si="22">F21/F22</f>
        <v>22.253622309286101</v>
      </c>
      <c r="G23" s="18">
        <f t="shared" ref="G23:P23" si="23">G21/G22</f>
        <v>-0.79689614896962524</v>
      </c>
      <c r="H23" s="18">
        <f t="shared" si="23"/>
        <v>7.6168999074648953</v>
      </c>
      <c r="I23" s="18">
        <f t="shared" si="23"/>
        <v>-1.2797914273004727</v>
      </c>
      <c r="J23" s="18">
        <f t="shared" si="23"/>
        <v>-53.670360934485622</v>
      </c>
      <c r="K23" s="18">
        <f t="shared" si="23"/>
        <v>-37.696756037975078</v>
      </c>
      <c r="L23" s="18">
        <f t="shared" si="23"/>
        <v>6.2062747840649317</v>
      </c>
      <c r="M23" s="18">
        <f t="shared" si="23"/>
        <v>-3.9916171282717348</v>
      </c>
      <c r="N23" s="18">
        <f t="shared" si="23"/>
        <v>12.29598863887759</v>
      </c>
      <c r="O23" s="18">
        <f t="shared" ref="O23" si="24">O21/O22</f>
        <v>-14.472585583078208</v>
      </c>
      <c r="P23" s="18">
        <f t="shared" si="23"/>
        <v>11.625168597058384</v>
      </c>
      <c r="Q23" s="25">
        <f>Q21/Q22</f>
        <v>7.9713402841707888</v>
      </c>
      <c r="R23" s="18">
        <f t="shared" ref="R23:S23" si="25">R21/R22</f>
        <v>0</v>
      </c>
      <c r="S23" s="18">
        <f t="shared" si="25"/>
        <v>0</v>
      </c>
      <c r="V23" s="18">
        <f t="shared" ref="V23:AE23" si="26">V21/V22</f>
        <v>4.4102849557901047</v>
      </c>
      <c r="W23" s="18">
        <f t="shared" si="26"/>
        <v>24.898841764970349</v>
      </c>
      <c r="X23" s="18">
        <f t="shared" si="26"/>
        <v>31.687921195296649</v>
      </c>
      <c r="Y23" s="18">
        <f t="shared" si="26"/>
        <v>43.45105987187813</v>
      </c>
      <c r="Z23" s="18">
        <f t="shared" si="26"/>
        <v>17.343790513843395</v>
      </c>
      <c r="AA23" s="18">
        <f t="shared" si="26"/>
        <v>36.985496490088757</v>
      </c>
      <c r="AB23" s="18">
        <f t="shared" si="26"/>
        <v>25.89793544427555</v>
      </c>
      <c r="AC23" s="18">
        <f t="shared" si="26"/>
        <v>35.672401940144773</v>
      </c>
      <c r="AD23" s="18">
        <f t="shared" si="26"/>
        <v>-48.008830085089478</v>
      </c>
      <c r="AE23" s="18">
        <f t="shared" si="26"/>
        <v>3.8060711592579115E-2</v>
      </c>
      <c r="AF23" s="25">
        <f t="shared" ref="AF23:AP23" si="27">AF21/AF22</f>
        <v>13.8614363636796</v>
      </c>
      <c r="AG23" s="18">
        <f t="shared" si="27"/>
        <v>8.3670966401997653</v>
      </c>
      <c r="AH23" s="18">
        <f t="shared" si="27"/>
        <v>10.355808566409747</v>
      </c>
      <c r="AI23" s="18">
        <f t="shared" si="27"/>
        <v>12.131909993175885</v>
      </c>
      <c r="AJ23" s="18">
        <f t="shared" si="27"/>
        <v>14.09237202901368</v>
      </c>
      <c r="AK23" s="18">
        <f t="shared" si="27"/>
        <v>16.255968258150041</v>
      </c>
      <c r="AL23" s="18">
        <f t="shared" si="27"/>
        <v>18.643366499400553</v>
      </c>
      <c r="AM23" s="18">
        <f t="shared" si="27"/>
        <v>21.277319073436672</v>
      </c>
      <c r="AN23" s="18">
        <f t="shared" si="27"/>
        <v>24.18287213896998</v>
      </c>
      <c r="AO23" s="18">
        <f t="shared" si="27"/>
        <v>27.387596006854888</v>
      </c>
      <c r="AP23" s="18">
        <f t="shared" si="27"/>
        <v>30.921838532116457</v>
      </c>
    </row>
    <row r="24" spans="1:145" x14ac:dyDescent="0.25">
      <c r="AR24" s="2" t="s">
        <v>155</v>
      </c>
      <c r="AS24" s="36">
        <v>0.08</v>
      </c>
    </row>
    <row r="25" spans="1:145" x14ac:dyDescent="0.25">
      <c r="A25" s="18"/>
      <c r="C25" s="1" t="s">
        <v>38</v>
      </c>
      <c r="D25" s="22"/>
      <c r="E25" s="22"/>
      <c r="F25" s="22"/>
      <c r="G25" s="22"/>
      <c r="H25" s="22">
        <f t="shared" ref="H25:P25" si="28">(H4-D4)/D4</f>
        <v>-0.13011669924767491</v>
      </c>
      <c r="I25" s="22">
        <f t="shared" si="28"/>
        <v>-0.37337896938581477</v>
      </c>
      <c r="J25" s="22">
        <f>(J4-F4)/F4</f>
        <v>-0.52270052817383217</v>
      </c>
      <c r="K25" s="22">
        <f t="shared" si="28"/>
        <v>-0.55245382437848589</v>
      </c>
      <c r="L25" s="22">
        <f t="shared" si="28"/>
        <v>-0.34733903095100277</v>
      </c>
      <c r="M25" s="22">
        <f t="shared" si="28"/>
        <v>-8.824421921466287E-2</v>
      </c>
      <c r="N25" s="22">
        <f t="shared" si="28"/>
        <v>-9.6038071211513101E-2</v>
      </c>
      <c r="O25" s="22">
        <f t="shared" si="28"/>
        <v>0.31995240480961923</v>
      </c>
      <c r="P25" s="22">
        <f t="shared" si="28"/>
        <v>8.0185726210350583E-2</v>
      </c>
      <c r="Q25" s="26">
        <f>(Q4-M4)/M4</f>
        <v>0.14058443719629901</v>
      </c>
      <c r="R25" s="22">
        <f t="shared" ref="R25:S25" si="29">(R4-N4)/N4</f>
        <v>-1</v>
      </c>
      <c r="S25" s="22">
        <f t="shared" si="29"/>
        <v>-1</v>
      </c>
      <c r="T25" s="1"/>
      <c r="U25" s="46"/>
      <c r="V25" s="22"/>
      <c r="W25" s="22">
        <f t="shared" ref="W25:AD25" si="30">(W4-V4)/V4</f>
        <v>-0.13963842417701025</v>
      </c>
      <c r="X25" s="22">
        <f t="shared" si="30"/>
        <v>4.0353353196382835E-2</v>
      </c>
      <c r="Y25" s="22">
        <f t="shared" si="30"/>
        <v>0.26480095128037651</v>
      </c>
      <c r="Z25" s="22">
        <f t="shared" si="30"/>
        <v>-6.7823093220338984E-2</v>
      </c>
      <c r="AA25" s="22">
        <f t="shared" si="30"/>
        <v>-0.28760760248870709</v>
      </c>
      <c r="AB25" s="22">
        <f t="shared" si="30"/>
        <v>0.54878267631752109</v>
      </c>
      <c r="AC25" s="22">
        <f t="shared" si="30"/>
        <v>0.702998467936091</v>
      </c>
      <c r="AD25" s="22">
        <f t="shared" si="30"/>
        <v>-0.40084066012987896</v>
      </c>
      <c r="AE25" s="22">
        <f>(AE4-AD4)/AD4</f>
        <v>-0.10372847138981768</v>
      </c>
      <c r="AF25" s="26">
        <f t="shared" ref="AF25:AP25" si="31">(AF4-AE4)/AE4</f>
        <v>0.15999999999999984</v>
      </c>
      <c r="AG25" s="22">
        <f t="shared" si="31"/>
        <v>0.10000000000000005</v>
      </c>
      <c r="AH25" s="22">
        <f t="shared" si="31"/>
        <v>0.10000000000000016</v>
      </c>
      <c r="AI25" s="22">
        <f t="shared" si="31"/>
        <v>0.10000000000000003</v>
      </c>
      <c r="AJ25" s="22">
        <f t="shared" si="31"/>
        <v>0.10000000000000014</v>
      </c>
      <c r="AK25" s="22">
        <f t="shared" si="31"/>
        <v>0.10000000000000002</v>
      </c>
      <c r="AL25" s="22">
        <f t="shared" si="31"/>
        <v>0.10000000000000009</v>
      </c>
      <c r="AM25" s="22">
        <f t="shared" si="31"/>
        <v>0.10000000000000012</v>
      </c>
      <c r="AN25" s="22">
        <f t="shared" si="31"/>
        <v>0.10000000000000009</v>
      </c>
      <c r="AO25" s="22">
        <f t="shared" si="31"/>
        <v>0.10000000000000012</v>
      </c>
      <c r="AP25" s="22">
        <f t="shared" si="31"/>
        <v>0.10000000000000005</v>
      </c>
      <c r="AQ25" s="22"/>
      <c r="AR25" s="10" t="s">
        <v>156</v>
      </c>
      <c r="AS25" s="36">
        <v>-0.01</v>
      </c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</row>
    <row r="26" spans="1:145" x14ac:dyDescent="0.25">
      <c r="C26" s="2" t="s">
        <v>65</v>
      </c>
      <c r="D26" s="10">
        <f t="shared" ref="D26:S26" si="32">D6/D4</f>
        <v>0.27293999170665245</v>
      </c>
      <c r="E26" s="10">
        <f t="shared" si="32"/>
        <v>0.26643848640425938</v>
      </c>
      <c r="F26" s="10">
        <f t="shared" si="32"/>
        <v>0.21997208614980432</v>
      </c>
      <c r="G26" s="10">
        <f t="shared" si="32"/>
        <v>0.30424058970262619</v>
      </c>
      <c r="H26" s="10">
        <f t="shared" si="32"/>
        <v>0.30729680956110184</v>
      </c>
      <c r="I26" s="10">
        <f t="shared" si="32"/>
        <v>0.29246828913030287</v>
      </c>
      <c r="J26" s="10">
        <f t="shared" si="32"/>
        <v>0.40748810274640218</v>
      </c>
      <c r="K26" s="10">
        <f t="shared" si="32"/>
        <v>0.73146292585170336</v>
      </c>
      <c r="L26" s="10">
        <f t="shared" si="32"/>
        <v>0.50912979966611016</v>
      </c>
      <c r="M26" s="10">
        <f t="shared" si="32"/>
        <v>0.47294148971576916</v>
      </c>
      <c r="N26" s="10">
        <f t="shared" si="32"/>
        <v>0.48008372447037928</v>
      </c>
      <c r="O26" s="10">
        <f t="shared" si="32"/>
        <v>0.50472078569056322</v>
      </c>
      <c r="P26" s="10">
        <f t="shared" si="32"/>
        <v>0.51673508814296065</v>
      </c>
      <c r="Q26" s="27">
        <f t="shared" si="32"/>
        <v>0.34099795739714034</v>
      </c>
      <c r="R26" s="10" t="e">
        <f t="shared" si="32"/>
        <v>#DIV/0!</v>
      </c>
      <c r="S26" s="10" t="e">
        <f t="shared" si="32"/>
        <v>#DIV/0!</v>
      </c>
      <c r="V26" s="10">
        <f t="shared" ref="V26:AP26" si="33">V6/V4</f>
        <v>0.22736403429873478</v>
      </c>
      <c r="W26" s="10">
        <f t="shared" si="33"/>
        <v>0.3444845190179987</v>
      </c>
      <c r="X26" s="10">
        <f t="shared" si="33"/>
        <v>0.31846120350365942</v>
      </c>
      <c r="Y26" s="10">
        <f t="shared" si="33"/>
        <v>0.28471927966101696</v>
      </c>
      <c r="Z26" s="10">
        <f t="shared" si="33"/>
        <v>0.39151680445467202</v>
      </c>
      <c r="AA26" s="10">
        <f t="shared" si="33"/>
        <v>0.48587266455304978</v>
      </c>
      <c r="AB26" s="10">
        <f t="shared" si="33"/>
        <v>0.31623601508889831</v>
      </c>
      <c r="AC26" s="10">
        <f t="shared" si="33"/>
        <v>0.26545809173174473</v>
      </c>
      <c r="AD26" s="10">
        <f t="shared" si="33"/>
        <v>0.41172165793956217</v>
      </c>
      <c r="AE26" s="10">
        <f t="shared" si="33"/>
        <v>0.49372131655263679</v>
      </c>
      <c r="AF26" s="27">
        <f t="shared" si="33"/>
        <v>0.48999999999999994</v>
      </c>
      <c r="AG26" s="10">
        <f t="shared" si="33"/>
        <v>0.5</v>
      </c>
      <c r="AH26" s="10">
        <f t="shared" si="33"/>
        <v>0.5</v>
      </c>
      <c r="AI26" s="10">
        <f t="shared" si="33"/>
        <v>0.5</v>
      </c>
      <c r="AJ26" s="10">
        <f t="shared" si="33"/>
        <v>0.5</v>
      </c>
      <c r="AK26" s="10">
        <f t="shared" si="33"/>
        <v>0.5</v>
      </c>
      <c r="AL26" s="10">
        <f t="shared" si="33"/>
        <v>0.5</v>
      </c>
      <c r="AM26" s="10">
        <f t="shared" si="33"/>
        <v>0.5</v>
      </c>
      <c r="AN26" s="10">
        <f t="shared" si="33"/>
        <v>0.5</v>
      </c>
      <c r="AO26" s="10">
        <f t="shared" si="33"/>
        <v>0.5</v>
      </c>
      <c r="AP26" s="10">
        <f t="shared" si="33"/>
        <v>0.5</v>
      </c>
      <c r="AQ26" s="10"/>
      <c r="AR26" s="41" t="s">
        <v>157</v>
      </c>
      <c r="AS26" s="45">
        <f>NPV(AS24,AF21:EO21)</f>
        <v>336258.93312134081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</row>
    <row r="27" spans="1:145" x14ac:dyDescent="0.25">
      <c r="C27" s="2" t="s">
        <v>161</v>
      </c>
      <c r="D27" s="10">
        <f t="shared" ref="D27:P27" si="34">D12/D4</f>
        <v>0.27927847876310646</v>
      </c>
      <c r="E27" s="10">
        <f t="shared" si="34"/>
        <v>0.1374786081003993</v>
      </c>
      <c r="F27" s="10">
        <f t="shared" si="34"/>
        <v>0.33707342437262255</v>
      </c>
      <c r="G27" s="10">
        <f>G12/G4</f>
        <v>0.18128310771041789</v>
      </c>
      <c r="H27" s="10">
        <f t="shared" si="34"/>
        <v>0.2352821001736525</v>
      </c>
      <c r="I27" s="10">
        <f t="shared" si="34"/>
        <v>0.20149299022880379</v>
      </c>
      <c r="J27" s="10">
        <f t="shared" si="34"/>
        <v>0.5259446132675879</v>
      </c>
      <c r="K27" s="10">
        <f t="shared" si="34"/>
        <v>-4.2960921843687376E-2</v>
      </c>
      <c r="L27" s="10">
        <f t="shared" si="34"/>
        <v>0.39065108514190316</v>
      </c>
      <c r="M27" s="10">
        <f t="shared" si="34"/>
        <v>0.43732942821007786</v>
      </c>
      <c r="N27" s="10">
        <f t="shared" si="34"/>
        <v>0.60560700241024989</v>
      </c>
      <c r="O27" s="10">
        <f t="shared" si="34"/>
        <v>0.39630877259572045</v>
      </c>
      <c r="P27" s="10">
        <f t="shared" si="34"/>
        <v>0.42844723496739917</v>
      </c>
      <c r="Q27" s="27">
        <f>Q12/Q4</f>
        <v>0.38774438284213597</v>
      </c>
      <c r="R27" s="10" t="e">
        <f t="shared" ref="R27:S27" si="35">R12/R4</f>
        <v>#DIV/0!</v>
      </c>
      <c r="S27" s="10" t="e">
        <f t="shared" si="35"/>
        <v>#DIV/0!</v>
      </c>
      <c r="V27" s="10">
        <f t="shared" ref="V27:AP27" si="36">V12/V4</f>
        <v>0.14822809857888108</v>
      </c>
      <c r="W27" s="10">
        <f t="shared" si="36"/>
        <v>0.29514052236335442</v>
      </c>
      <c r="X27" s="10">
        <f t="shared" si="36"/>
        <v>0.37806695808002144</v>
      </c>
      <c r="Y27" s="10">
        <f t="shared" si="36"/>
        <v>0.3772643008474576</v>
      </c>
      <c r="Z27" s="10">
        <f t="shared" si="36"/>
        <v>0.27017813006051306</v>
      </c>
      <c r="AA27" s="10">
        <f t="shared" si="36"/>
        <v>0.33096049929213772</v>
      </c>
      <c r="AB27" s="10">
        <f t="shared" si="36"/>
        <v>0.31279852715872952</v>
      </c>
      <c r="AC27" s="10">
        <f t="shared" si="36"/>
        <v>0.24234749805332748</v>
      </c>
      <c r="AD27" s="10">
        <f t="shared" si="36"/>
        <v>0.23616175635606587</v>
      </c>
      <c r="AE27" s="10">
        <f t="shared" si="36"/>
        <v>0.44991131007686458</v>
      </c>
      <c r="AF27" s="27">
        <f t="shared" si="36"/>
        <v>0.29881095793854906</v>
      </c>
      <c r="AG27" s="10">
        <f t="shared" si="36"/>
        <v>0.30884846922613679</v>
      </c>
      <c r="AH27" s="10">
        <f t="shared" si="36"/>
        <v>0.31580659522736221</v>
      </c>
      <c r="AI27" s="10">
        <f t="shared" si="36"/>
        <v>0.31584077390055681</v>
      </c>
      <c r="AJ27" s="10">
        <f t="shared" si="36"/>
        <v>0.31587339899769717</v>
      </c>
      <c r="AK27" s="10">
        <f t="shared" si="36"/>
        <v>0.31590454113587663</v>
      </c>
      <c r="AL27" s="10">
        <f t="shared" si="36"/>
        <v>0.31593426772232058</v>
      </c>
      <c r="AM27" s="10">
        <f t="shared" si="36"/>
        <v>0.31596264310028976</v>
      </c>
      <c r="AN27" s="10">
        <f t="shared" si="36"/>
        <v>0.31598972868835135</v>
      </c>
      <c r="AO27" s="10">
        <f t="shared" si="36"/>
        <v>0.31601558311331918</v>
      </c>
      <c r="AP27" s="10">
        <f t="shared" si="36"/>
        <v>0.31604026233715221</v>
      </c>
      <c r="AQ27" s="10"/>
      <c r="AR27" s="10" t="s">
        <v>2</v>
      </c>
      <c r="AS27" s="44">
        <v>1321.1976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</row>
    <row r="28" spans="1:145" x14ac:dyDescent="0.25">
      <c r="C28" s="1" t="s">
        <v>39</v>
      </c>
      <c r="D28" s="22">
        <f t="shared" ref="D28:S28" si="37">D14/D4</f>
        <v>0.21624903737930218</v>
      </c>
      <c r="E28" s="22">
        <f t="shared" si="37"/>
        <v>4.9857387335995436E-2</v>
      </c>
      <c r="F28" s="22">
        <f t="shared" si="37"/>
        <v>0.26783612927943956</v>
      </c>
      <c r="G28" s="22">
        <f t="shared" si="37"/>
        <v>3.2147761988844982E-2</v>
      </c>
      <c r="H28" s="22">
        <f t="shared" si="37"/>
        <v>0.15226939970717424</v>
      </c>
      <c r="I28" s="22">
        <f t="shared" si="37"/>
        <v>5.2558111306669902E-2</v>
      </c>
      <c r="J28" s="22">
        <f t="shared" si="37"/>
        <v>-1.2491256235307608</v>
      </c>
      <c r="K28" s="22">
        <f t="shared" si="37"/>
        <v>-1.0626252505010021</v>
      </c>
      <c r="L28" s="22">
        <f t="shared" si="37"/>
        <v>0.30394407345575958</v>
      </c>
      <c r="M28" s="22">
        <f t="shared" si="37"/>
        <v>-1.7306796245756507E-3</v>
      </c>
      <c r="N28" s="22">
        <f t="shared" si="37"/>
        <v>0.42597995686921225</v>
      </c>
      <c r="O28" s="22">
        <f t="shared" si="37"/>
        <v>-0.30103904730274705</v>
      </c>
      <c r="P28" s="22">
        <f t="shared" si="37"/>
        <v>0.31818401352330355</v>
      </c>
      <c r="Q28" s="26">
        <f t="shared" si="37"/>
        <v>0.24447038225853515</v>
      </c>
      <c r="R28" s="22" t="e">
        <f t="shared" si="37"/>
        <v>#DIV/0!</v>
      </c>
      <c r="S28" s="22" t="e">
        <f t="shared" si="37"/>
        <v>#DIV/0!</v>
      </c>
      <c r="T28" s="39"/>
      <c r="U28" s="39"/>
      <c r="V28" s="22">
        <f t="shared" ref="V28:AP28" si="38">V14/V4</f>
        <v>4.5436829165917132E-2</v>
      </c>
      <c r="W28" s="22">
        <f t="shared" si="38"/>
        <v>0.20397957939121494</v>
      </c>
      <c r="X28" s="22">
        <f t="shared" si="38"/>
        <v>0.2728231924835452</v>
      </c>
      <c r="Y28" s="22">
        <f t="shared" si="38"/>
        <v>0.30609110169491527</v>
      </c>
      <c r="Z28" s="22">
        <f t="shared" si="38"/>
        <v>0.16460694906105286</v>
      </c>
      <c r="AA28" s="22">
        <f t="shared" si="38"/>
        <v>0.17965743454766606</v>
      </c>
      <c r="AB28" s="22">
        <f t="shared" si="38"/>
        <v>0.20850231097035005</v>
      </c>
      <c r="AC28" s="22">
        <f t="shared" si="38"/>
        <v>0.14948932921067154</v>
      </c>
      <c r="AD28" s="22">
        <f t="shared" si="38"/>
        <v>-0.22526023594725886</v>
      </c>
      <c r="AE28" s="22">
        <f t="shared" si="38"/>
        <v>8.6873891375960813E-2</v>
      </c>
      <c r="AF28" s="26">
        <f t="shared" si="38"/>
        <v>0.1289068906293537</v>
      </c>
      <c r="AG28" s="22">
        <f t="shared" si="38"/>
        <v>0.19852115279159435</v>
      </c>
      <c r="AH28" s="22">
        <f t="shared" si="38"/>
        <v>0.21550903483232367</v>
      </c>
      <c r="AI28" s="22">
        <f t="shared" si="38"/>
        <v>0.22466117354143086</v>
      </c>
      <c r="AJ28" s="22">
        <f t="shared" si="38"/>
        <v>0.23298285321667361</v>
      </c>
      <c r="AK28" s="22">
        <f t="shared" si="38"/>
        <v>0.24054949951676427</v>
      </c>
      <c r="AL28" s="22">
        <f t="shared" si="38"/>
        <v>0.24742968443221847</v>
      </c>
      <c r="AM28" s="22">
        <f t="shared" si="38"/>
        <v>0.25368574920019693</v>
      </c>
      <c r="AN28" s="22">
        <f t="shared" si="38"/>
        <v>0.25937437059735785</v>
      </c>
      <c r="AO28" s="22">
        <f t="shared" si="38"/>
        <v>0.26454707575787056</v>
      </c>
      <c r="AP28" s="22">
        <f t="shared" si="38"/>
        <v>0.2692507101958353</v>
      </c>
      <c r="AR28" s="2" t="s">
        <v>158</v>
      </c>
      <c r="AS28" s="18">
        <f>AS26/AS27</f>
        <v>254.51070537922627</v>
      </c>
    </row>
    <row r="29" spans="1:145" x14ac:dyDescent="0.25">
      <c r="C29" s="2" t="s">
        <v>149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19"/>
      <c r="S29" s="19"/>
      <c r="T29" s="19"/>
      <c r="U29" s="19"/>
      <c r="V29" s="19">
        <v>5.8999999999999997E-2</v>
      </c>
      <c r="W29" s="19">
        <v>0.24399999999999999</v>
      </c>
      <c r="X29" s="19">
        <v>0.252</v>
      </c>
      <c r="Y29" s="19">
        <v>0.32100000000000001</v>
      </c>
      <c r="Z29" s="19">
        <v>0.11</v>
      </c>
      <c r="AA29" s="19">
        <v>8.3000000000000004E-2</v>
      </c>
      <c r="AB29" s="19">
        <v>0.14799999999999999</v>
      </c>
      <c r="AC29" s="19">
        <v>0.16800000000000001</v>
      </c>
      <c r="AD29" s="19">
        <v>-0.14199999999999999</v>
      </c>
      <c r="AE29" s="19">
        <v>4.4999999999999998E-2</v>
      </c>
      <c r="AR29" s="1" t="s">
        <v>162</v>
      </c>
      <c r="AS29" s="39">
        <f>(AS28-B4)/B4</f>
        <v>1.1209225448268856</v>
      </c>
    </row>
    <row r="30" spans="1:145" x14ac:dyDescent="0.25"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3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pans="1:145" x14ac:dyDescent="0.25">
      <c r="C31" s="2" t="s">
        <v>352</v>
      </c>
      <c r="D31" s="52"/>
      <c r="E31" s="52"/>
      <c r="F31" s="52"/>
      <c r="G31" s="14"/>
      <c r="H31" s="52"/>
      <c r="I31" s="52"/>
      <c r="J31" s="52"/>
      <c r="K31" s="52"/>
      <c r="L31" s="52"/>
      <c r="M31" s="52"/>
      <c r="N31" s="52"/>
      <c r="O31" s="52"/>
      <c r="P31" s="52"/>
      <c r="Q31" s="53"/>
      <c r="R31" s="19"/>
      <c r="S31" s="19"/>
      <c r="T31" s="19"/>
      <c r="U31" s="19"/>
      <c r="Y31" s="2">
        <v>5.6</v>
      </c>
      <c r="Z31" s="2">
        <v>9.9</v>
      </c>
      <c r="AA31" s="2">
        <v>11.3</v>
      </c>
      <c r="AB31" s="2">
        <v>13</v>
      </c>
      <c r="AC31" s="2">
        <v>15.1</v>
      </c>
      <c r="AD31" s="2">
        <v>15.7</v>
      </c>
      <c r="AE31" s="2">
        <v>18.2</v>
      </c>
      <c r="AH31" s="2">
        <v>27</v>
      </c>
    </row>
    <row r="32" spans="1:145" x14ac:dyDescent="0.25">
      <c r="C32" s="2" t="s">
        <v>357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3"/>
      <c r="R32" s="19"/>
      <c r="S32" s="19"/>
      <c r="T32" s="19"/>
      <c r="U32" s="19"/>
      <c r="V32" s="19"/>
      <c r="W32" s="19"/>
      <c r="X32" s="19"/>
      <c r="Y32" s="19"/>
      <c r="Z32" s="19">
        <f t="shared" ref="Z32:AD32" si="39">(Z31-Y31)/Y31</f>
        <v>0.76785714285714302</v>
      </c>
      <c r="AA32" s="19">
        <f t="shared" si="39"/>
        <v>0.14141414141414144</v>
      </c>
      <c r="AB32" s="19">
        <f t="shared" si="39"/>
        <v>0.15044247787610612</v>
      </c>
      <c r="AC32" s="19">
        <f t="shared" si="39"/>
        <v>0.16153846153846152</v>
      </c>
      <c r="AD32" s="19">
        <f t="shared" si="39"/>
        <v>3.9735099337748318E-2</v>
      </c>
      <c r="AE32" s="19">
        <f>(AE31-AD31)/AD31</f>
        <v>0.15923566878980894</v>
      </c>
      <c r="AF32" s="20">
        <f t="shared" ref="AF32:AH32" si="40">(AF31-AE31)/AE31</f>
        <v>-1</v>
      </c>
      <c r="AG32" s="19" t="e">
        <f t="shared" si="40"/>
        <v>#DIV/0!</v>
      </c>
      <c r="AH32" s="19" t="e">
        <f t="shared" si="40"/>
        <v>#DIV/0!</v>
      </c>
    </row>
    <row r="33" spans="3:31" x14ac:dyDescent="0.25"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3"/>
    </row>
    <row r="34" spans="3:31" x14ac:dyDescent="0.25">
      <c r="C34" s="1" t="s">
        <v>71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3:31" x14ac:dyDescent="0.25">
      <c r="C35" s="2" t="s">
        <v>72</v>
      </c>
      <c r="D35" s="14">
        <v>7963</v>
      </c>
      <c r="E35" s="14">
        <v>8043</v>
      </c>
      <c r="F35" s="14">
        <v>8009</v>
      </c>
      <c r="G35" s="14">
        <v>7980</v>
      </c>
      <c r="H35" s="14">
        <v>8162</v>
      </c>
      <c r="I35" s="14">
        <v>8255</v>
      </c>
      <c r="J35" s="14">
        <v>8319</v>
      </c>
      <c r="K35" s="14">
        <v>7777</v>
      </c>
      <c r="L35" s="14">
        <v>7977</v>
      </c>
      <c r="M35" s="14">
        <v>7977</v>
      </c>
      <c r="N35" s="14">
        <v>7808</v>
      </c>
      <c r="O35" s="14">
        <v>7977</v>
      </c>
      <c r="P35" s="14">
        <v>7803</v>
      </c>
      <c r="Q35" s="15">
        <v>7269</v>
      </c>
      <c r="R35" s="14"/>
      <c r="S35" s="14"/>
    </row>
    <row r="36" spans="3:31" x14ac:dyDescent="0.25">
      <c r="C36" s="2" t="s">
        <v>73</v>
      </c>
      <c r="D36" s="14">
        <v>100998</v>
      </c>
      <c r="E36" s="14">
        <v>115694</v>
      </c>
      <c r="F36" s="14">
        <v>114468</v>
      </c>
      <c r="G36" s="14">
        <v>119211</v>
      </c>
      <c r="H36" s="14">
        <v>117626</v>
      </c>
      <c r="I36" s="14">
        <v>122495</v>
      </c>
      <c r="J36" s="14">
        <v>122922</v>
      </c>
      <c r="K36" s="14">
        <v>121643</v>
      </c>
      <c r="L36" s="14">
        <v>138477</v>
      </c>
      <c r="M36" s="14">
        <v>138477</v>
      </c>
      <c r="N36" s="14">
        <v>134488</v>
      </c>
      <c r="O36" s="14">
        <v>138477</v>
      </c>
      <c r="P36" s="14">
        <v>129989</v>
      </c>
      <c r="Q36" s="15">
        <v>123322</v>
      </c>
      <c r="R36" s="14"/>
      <c r="S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3:31" x14ac:dyDescent="0.25">
      <c r="C37" s="2" t="s">
        <v>74</v>
      </c>
      <c r="D37" s="14">
        <v>636</v>
      </c>
      <c r="E37" s="14">
        <v>1604</v>
      </c>
      <c r="F37" s="14">
        <v>1575</v>
      </c>
      <c r="G37" s="14">
        <v>1543</v>
      </c>
      <c r="H37" s="14">
        <v>1490</v>
      </c>
      <c r="I37" s="14">
        <v>1909</v>
      </c>
      <c r="J37" s="14">
        <v>2136</v>
      </c>
      <c r="K37" s="14">
        <v>2042</v>
      </c>
      <c r="L37" s="14">
        <v>2122</v>
      </c>
      <c r="M37" s="14">
        <v>2122</v>
      </c>
      <c r="N37" s="14">
        <v>2190</v>
      </c>
      <c r="O37" s="14">
        <v>2122</v>
      </c>
      <c r="P37" s="14">
        <v>1960</v>
      </c>
      <c r="Q37" s="15">
        <v>1930</v>
      </c>
      <c r="R37" s="14"/>
      <c r="S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3:31" x14ac:dyDescent="0.25">
      <c r="C38" s="2" t="s">
        <v>75</v>
      </c>
      <c r="D38" s="14">
        <v>55302</v>
      </c>
      <c r="E38" s="14">
        <v>48957</v>
      </c>
      <c r="F38" s="14">
        <v>52098</v>
      </c>
      <c r="G38" s="14">
        <v>48931</v>
      </c>
      <c r="H38" s="14">
        <v>55221</v>
      </c>
      <c r="I38" s="14">
        <v>54538</v>
      </c>
      <c r="J38" s="14">
        <v>44582</v>
      </c>
      <c r="K38" s="14">
        <v>48307</v>
      </c>
      <c r="L38" s="14">
        <v>53118</v>
      </c>
      <c r="M38" s="14">
        <v>53118</v>
      </c>
      <c r="N38" s="14">
        <v>51257</v>
      </c>
      <c r="O38" s="14">
        <v>53118</v>
      </c>
      <c r="P38" s="14">
        <v>63710</v>
      </c>
      <c r="Q38" s="15">
        <v>73205</v>
      </c>
      <c r="R38" s="14"/>
      <c r="S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3:31" x14ac:dyDescent="0.25">
      <c r="C39" s="2" t="s">
        <v>76</v>
      </c>
      <c r="D39" s="14">
        <v>662</v>
      </c>
      <c r="E39" s="14">
        <v>755</v>
      </c>
      <c r="F39" s="14">
        <v>1044</v>
      </c>
      <c r="G39" s="14">
        <v>772</v>
      </c>
      <c r="H39" s="14">
        <v>833</v>
      </c>
      <c r="I39" s="14">
        <v>964</v>
      </c>
      <c r="J39" s="14">
        <v>968</v>
      </c>
      <c r="K39" s="14">
        <v>960</v>
      </c>
      <c r="L39" s="14">
        <v>870</v>
      </c>
      <c r="M39" s="14">
        <v>870</v>
      </c>
      <c r="N39" s="14">
        <v>897</v>
      </c>
      <c r="O39" s="14">
        <v>870</v>
      </c>
      <c r="P39" s="14">
        <v>897</v>
      </c>
      <c r="Q39" s="15">
        <v>1067</v>
      </c>
      <c r="R39" s="14"/>
      <c r="S39" s="14"/>
    </row>
    <row r="40" spans="3:31" x14ac:dyDescent="0.25">
      <c r="C40" s="2" t="s">
        <v>77</v>
      </c>
      <c r="D40" s="14">
        <v>224</v>
      </c>
      <c r="E40" s="14">
        <v>0</v>
      </c>
      <c r="F40" s="14">
        <v>217</v>
      </c>
      <c r="G40" s="2">
        <v>0</v>
      </c>
      <c r="H40" s="14">
        <v>176</v>
      </c>
      <c r="I40" s="14">
        <v>44</v>
      </c>
      <c r="J40" s="14">
        <v>54</v>
      </c>
      <c r="K40" s="14">
        <v>77</v>
      </c>
      <c r="L40" s="14">
        <v>200</v>
      </c>
      <c r="M40" s="14">
        <v>200</v>
      </c>
      <c r="N40" s="14">
        <v>168</v>
      </c>
      <c r="O40" s="14">
        <v>200</v>
      </c>
      <c r="P40" s="14">
        <v>221</v>
      </c>
      <c r="Q40" s="15">
        <v>245</v>
      </c>
      <c r="R40" s="14"/>
      <c r="S40" s="14"/>
    </row>
    <row r="41" spans="3:31" x14ac:dyDescent="0.25">
      <c r="C41" s="2" t="s">
        <v>78</v>
      </c>
      <c r="D41" s="14">
        <v>5809</v>
      </c>
      <c r="E41" s="14">
        <v>233</v>
      </c>
      <c r="F41" s="14">
        <v>13069</v>
      </c>
      <c r="G41" s="14">
        <v>182</v>
      </c>
      <c r="H41" s="14">
        <v>1213</v>
      </c>
      <c r="I41" s="14">
        <v>172</v>
      </c>
      <c r="J41" s="14">
        <v>174</v>
      </c>
      <c r="K41" s="14">
        <v>167</v>
      </c>
      <c r="L41" s="14">
        <v>344</v>
      </c>
      <c r="M41" s="14">
        <v>344</v>
      </c>
      <c r="N41" s="14">
        <v>155</v>
      </c>
      <c r="O41" s="14">
        <v>344</v>
      </c>
      <c r="P41" s="14">
        <v>323</v>
      </c>
      <c r="Q41" s="15">
        <v>298</v>
      </c>
      <c r="R41" s="14"/>
      <c r="S41" s="14"/>
    </row>
    <row r="42" spans="3:31" x14ac:dyDescent="0.25">
      <c r="C42" s="2" t="s">
        <v>79</v>
      </c>
      <c r="D42" s="14">
        <v>14730</v>
      </c>
      <c r="E42" s="14">
        <v>10188</v>
      </c>
      <c r="F42" s="14">
        <v>21719</v>
      </c>
      <c r="G42" s="14">
        <v>1804</v>
      </c>
      <c r="H42" s="14">
        <v>10114</v>
      </c>
      <c r="I42" s="14">
        <v>1374</v>
      </c>
      <c r="J42" s="14">
        <v>789</v>
      </c>
      <c r="K42" s="14">
        <v>1356</v>
      </c>
      <c r="L42" s="14">
        <v>960</v>
      </c>
      <c r="M42" s="14">
        <v>960</v>
      </c>
      <c r="N42" s="14">
        <v>1164</v>
      </c>
      <c r="O42" s="14">
        <v>960</v>
      </c>
      <c r="P42" s="14">
        <v>1167</v>
      </c>
      <c r="Q42" s="15">
        <v>1530</v>
      </c>
      <c r="R42" s="14"/>
      <c r="S42" s="14"/>
    </row>
    <row r="43" spans="3:31" x14ac:dyDescent="0.25">
      <c r="C43" s="2" t="s">
        <v>80</v>
      </c>
      <c r="D43" s="14">
        <v>2670</v>
      </c>
      <c r="E43" s="14">
        <v>20874</v>
      </c>
      <c r="F43" s="14">
        <v>3290</v>
      </c>
      <c r="G43" s="14">
        <v>13719</v>
      </c>
      <c r="H43" s="14">
        <v>3408</v>
      </c>
      <c r="I43" s="14">
        <v>9881</v>
      </c>
      <c r="J43" s="14">
        <v>8798</v>
      </c>
      <c r="K43" s="14">
        <v>8192</v>
      </c>
      <c r="L43" s="14">
        <v>9250</v>
      </c>
      <c r="M43" s="14">
        <v>9250</v>
      </c>
      <c r="N43" s="14">
        <v>9178</v>
      </c>
      <c r="O43" s="14">
        <v>9250</v>
      </c>
      <c r="P43" s="14">
        <v>9985</v>
      </c>
      <c r="Q43" s="15">
        <v>9772</v>
      </c>
      <c r="R43" s="14"/>
      <c r="S43" s="14"/>
    </row>
    <row r="44" spans="3:31" x14ac:dyDescent="0.25">
      <c r="C44" s="2" t="s">
        <v>81</v>
      </c>
      <c r="D44" s="14">
        <v>16430</v>
      </c>
      <c r="E44" s="14">
        <v>2876</v>
      </c>
      <c r="F44" s="14">
        <v>17132</v>
      </c>
      <c r="G44" s="14">
        <v>3243</v>
      </c>
      <c r="H44" s="14">
        <v>13040</v>
      </c>
      <c r="I44" s="14">
        <v>3370</v>
      </c>
      <c r="J44" s="14">
        <v>3552</v>
      </c>
      <c r="K44" s="14">
        <v>3134</v>
      </c>
      <c r="L44" s="14">
        <v>3218</v>
      </c>
      <c r="M44" s="14">
        <v>3218</v>
      </c>
      <c r="N44" s="14">
        <v>3010</v>
      </c>
      <c r="O44" s="14">
        <v>3218</v>
      </c>
      <c r="P44" s="14">
        <v>3431</v>
      </c>
      <c r="Q44" s="15">
        <v>2959</v>
      </c>
      <c r="R44" s="14"/>
      <c r="S44" s="14"/>
    </row>
    <row r="45" spans="3:31" x14ac:dyDescent="0.25">
      <c r="C45" s="2" t="s">
        <v>82</v>
      </c>
      <c r="D45" s="14">
        <v>40509</v>
      </c>
      <c r="E45" s="14">
        <v>18724</v>
      </c>
      <c r="F45" s="14">
        <v>51441</v>
      </c>
      <c r="G45" s="14">
        <v>14103</v>
      </c>
      <c r="H45" s="14">
        <v>15663</v>
      </c>
      <c r="I45" s="14">
        <v>12499</v>
      </c>
      <c r="J45" s="14">
        <v>9919</v>
      </c>
      <c r="K45" s="14">
        <v>10539</v>
      </c>
      <c r="L45" s="14">
        <v>17448</v>
      </c>
      <c r="M45" s="14">
        <v>17448</v>
      </c>
      <c r="N45" s="14">
        <v>14750</v>
      </c>
      <c r="O45" s="14">
        <v>17448</v>
      </c>
      <c r="P45" s="14">
        <v>17548</v>
      </c>
      <c r="Q45" s="15">
        <v>14567</v>
      </c>
      <c r="R45" s="14"/>
      <c r="S45" s="14"/>
    </row>
    <row r="46" spans="3:31" x14ac:dyDescent="0.25">
      <c r="C46" s="2" t="s">
        <v>79</v>
      </c>
      <c r="D46" s="14">
        <v>2</v>
      </c>
      <c r="E46" s="14">
        <v>42011</v>
      </c>
      <c r="F46" s="14">
        <v>1344</v>
      </c>
      <c r="G46" s="14">
        <v>23433</v>
      </c>
      <c r="H46" s="14">
        <v>913</v>
      </c>
      <c r="I46" s="14">
        <v>13382</v>
      </c>
      <c r="J46" s="14">
        <v>12994</v>
      </c>
      <c r="K46" s="14">
        <v>10473</v>
      </c>
      <c r="L46" s="14">
        <v>4617</v>
      </c>
      <c r="M46" s="14">
        <v>4617</v>
      </c>
      <c r="N46" s="14">
        <v>6509</v>
      </c>
      <c r="O46" s="14">
        <v>4617</v>
      </c>
      <c r="P46" s="14">
        <v>3518</v>
      </c>
      <c r="Q46" s="15">
        <v>4285</v>
      </c>
      <c r="R46" s="14"/>
      <c r="S46" s="14"/>
    </row>
    <row r="47" spans="3:31" x14ac:dyDescent="0.25">
      <c r="C47" s="2" t="s">
        <v>83</v>
      </c>
      <c r="D47" s="16">
        <v>8724</v>
      </c>
      <c r="E47" s="14">
        <v>2051</v>
      </c>
      <c r="F47" s="14">
        <v>11091</v>
      </c>
      <c r="G47" s="14">
        <v>408</v>
      </c>
      <c r="H47" s="14">
        <v>8733</v>
      </c>
      <c r="I47" s="14">
        <v>452</v>
      </c>
      <c r="J47" s="14">
        <v>561</v>
      </c>
      <c r="K47" s="14">
        <v>802</v>
      </c>
      <c r="L47" s="14">
        <v>324</v>
      </c>
      <c r="M47" s="14">
        <v>324</v>
      </c>
      <c r="N47" s="14">
        <v>0</v>
      </c>
      <c r="O47" s="14">
        <v>324</v>
      </c>
      <c r="P47" s="14">
        <v>307</v>
      </c>
      <c r="Q47" s="15">
        <v>0</v>
      </c>
      <c r="R47" s="14"/>
      <c r="S47" s="14"/>
    </row>
    <row r="48" spans="3:31" x14ac:dyDescent="0.25">
      <c r="C48" s="2" t="s">
        <v>84</v>
      </c>
      <c r="D48" s="14">
        <v>17650</v>
      </c>
      <c r="E48" s="14">
        <v>8630</v>
      </c>
      <c r="F48" s="14">
        <v>29479</v>
      </c>
      <c r="G48" s="14">
        <v>12701</v>
      </c>
      <c r="H48" s="14">
        <v>15151</v>
      </c>
      <c r="I48" s="14">
        <v>6864</v>
      </c>
      <c r="J48" s="14">
        <v>7240</v>
      </c>
      <c r="K48" s="14">
        <v>11107</v>
      </c>
      <c r="L48" s="14">
        <v>9045</v>
      </c>
      <c r="M48" s="14">
        <v>9045</v>
      </c>
      <c r="N48" s="14">
        <v>6857</v>
      </c>
      <c r="O48" s="14">
        <v>9045</v>
      </c>
      <c r="P48" s="14">
        <v>9231</v>
      </c>
      <c r="Q48" s="15">
        <v>7055</v>
      </c>
      <c r="R48" s="14"/>
      <c r="S48" s="14"/>
    </row>
    <row r="49" spans="3:31" x14ac:dyDescent="0.25">
      <c r="C49" s="2" t="s">
        <v>81</v>
      </c>
      <c r="D49" s="14">
        <v>1336</v>
      </c>
      <c r="E49" s="14">
        <v>12223</v>
      </c>
      <c r="F49" s="14">
        <v>174</v>
      </c>
      <c r="G49" s="14">
        <v>20289</v>
      </c>
      <c r="H49" s="2">
        <v>0</v>
      </c>
      <c r="I49" s="14">
        <v>13543</v>
      </c>
      <c r="J49" s="14">
        <v>14346</v>
      </c>
      <c r="K49" s="14">
        <v>10530</v>
      </c>
      <c r="L49" s="14">
        <v>9936</v>
      </c>
      <c r="M49" s="14">
        <v>9936</v>
      </c>
      <c r="N49" s="14">
        <v>9459</v>
      </c>
      <c r="O49" s="14">
        <v>9936</v>
      </c>
      <c r="P49" s="14">
        <v>10841</v>
      </c>
      <c r="Q49" s="15">
        <v>9801</v>
      </c>
      <c r="R49" s="14"/>
      <c r="S49" s="14"/>
    </row>
    <row r="50" spans="3:31" x14ac:dyDescent="0.25">
      <c r="C50" s="2" t="s">
        <v>77</v>
      </c>
      <c r="D50" s="14">
        <v>0</v>
      </c>
      <c r="E50" s="2">
        <v>0</v>
      </c>
      <c r="F50" s="2">
        <v>0</v>
      </c>
      <c r="G50" s="14">
        <v>419</v>
      </c>
      <c r="H50" s="2">
        <v>0</v>
      </c>
      <c r="I50" s="2">
        <v>0</v>
      </c>
      <c r="J50" s="14">
        <v>80</v>
      </c>
      <c r="K50" s="14">
        <v>74</v>
      </c>
      <c r="L50" s="14">
        <v>41</v>
      </c>
      <c r="M50" s="14">
        <v>41</v>
      </c>
      <c r="N50" s="14">
        <v>39</v>
      </c>
      <c r="O50" s="14">
        <v>41</v>
      </c>
      <c r="P50" s="14">
        <v>63</v>
      </c>
      <c r="Q50" s="15">
        <v>62</v>
      </c>
      <c r="R50" s="14"/>
      <c r="S50" s="14"/>
    </row>
    <row r="51" spans="3:31" x14ac:dyDescent="0.25">
      <c r="C51" s="2" t="s">
        <v>85</v>
      </c>
      <c r="D51" s="14">
        <v>20416</v>
      </c>
      <c r="E51" s="14">
        <v>617</v>
      </c>
      <c r="F51" s="14">
        <v>620</v>
      </c>
      <c r="G51" s="14">
        <v>0</v>
      </c>
      <c r="H51" s="14">
        <v>63</v>
      </c>
      <c r="I51" s="14">
        <v>244</v>
      </c>
      <c r="J51" s="14">
        <v>333</v>
      </c>
      <c r="K51" s="14">
        <v>483</v>
      </c>
      <c r="L51" s="14">
        <v>570</v>
      </c>
      <c r="M51" s="14">
        <v>570</v>
      </c>
      <c r="N51" s="14">
        <v>499</v>
      </c>
      <c r="O51" s="14">
        <v>570</v>
      </c>
      <c r="P51" s="14">
        <v>814</v>
      </c>
      <c r="Q51" s="15">
        <v>718</v>
      </c>
      <c r="R51" s="14"/>
      <c r="S51" s="14"/>
    </row>
    <row r="52" spans="3:31" x14ac:dyDescent="0.25">
      <c r="C52" s="2" t="s">
        <v>86</v>
      </c>
      <c r="D52" s="14">
        <v>4550</v>
      </c>
      <c r="E52" s="14">
        <v>19508</v>
      </c>
      <c r="F52" s="14">
        <v>18803</v>
      </c>
      <c r="G52" s="14">
        <v>25197</v>
      </c>
      <c r="H52" s="14">
        <v>30964</v>
      </c>
      <c r="I52" s="14">
        <v>31458</v>
      </c>
      <c r="J52" s="14">
        <v>29988</v>
      </c>
      <c r="K52" s="14">
        <v>29902</v>
      </c>
      <c r="L52" s="14">
        <v>14532</v>
      </c>
      <c r="M52" s="14">
        <v>14532</v>
      </c>
      <c r="N52" s="14">
        <v>28718</v>
      </c>
      <c r="O52" s="14">
        <v>14532</v>
      </c>
      <c r="P52" s="14">
        <v>15042</v>
      </c>
      <c r="Q52" s="15">
        <v>12718</v>
      </c>
      <c r="R52" s="14"/>
      <c r="S52" s="14"/>
    </row>
    <row r="53" spans="3:31" x14ac:dyDescent="0.25">
      <c r="C53" s="2" t="s">
        <v>87</v>
      </c>
      <c r="D53" s="14">
        <v>0</v>
      </c>
      <c r="E53" s="14">
        <v>5093</v>
      </c>
      <c r="F53" s="14">
        <v>9418</v>
      </c>
      <c r="G53" s="14">
        <v>16178</v>
      </c>
      <c r="H53" s="14">
        <v>19574</v>
      </c>
      <c r="I53" s="14">
        <v>11866</v>
      </c>
      <c r="J53" s="14">
        <v>15685</v>
      </c>
      <c r="K53" s="14">
        <v>10145</v>
      </c>
      <c r="L53" s="14">
        <v>23126</v>
      </c>
      <c r="M53" s="14">
        <v>23126</v>
      </c>
      <c r="N53" s="14">
        <v>10677</v>
      </c>
      <c r="O53" s="14">
        <v>23126</v>
      </c>
      <c r="P53" s="14">
        <v>7831</v>
      </c>
      <c r="Q53" s="15">
        <v>12004</v>
      </c>
      <c r="R53" s="14"/>
      <c r="S53" s="14"/>
    </row>
    <row r="54" spans="3:31" x14ac:dyDescent="0.25">
      <c r="C54" s="1" t="s">
        <v>88</v>
      </c>
      <c r="D54" s="12">
        <f t="shared" ref="D54" si="41">SUM(D35:D53)</f>
        <v>298611</v>
      </c>
      <c r="E54" s="12">
        <f>SUM(E35:E53)</f>
        <v>318081</v>
      </c>
      <c r="F54" s="12">
        <f>SUM(F35:F53)</f>
        <v>354991</v>
      </c>
      <c r="G54" s="12">
        <f>SUM(G35:G53)</f>
        <v>310113</v>
      </c>
      <c r="H54" s="12">
        <f>SUM(H35:H53)</f>
        <v>302344</v>
      </c>
      <c r="I54" s="12">
        <f>SUM(I35:I53)</f>
        <v>293310</v>
      </c>
      <c r="J54" s="12">
        <f t="shared" ref="J54:S54" si="42">SUM(J35:J53)</f>
        <v>283440</v>
      </c>
      <c r="K54" s="12">
        <f t="shared" si="42"/>
        <v>277710</v>
      </c>
      <c r="L54" s="12">
        <f>SUM(L35:L53)</f>
        <v>296175</v>
      </c>
      <c r="M54" s="12">
        <f t="shared" si="42"/>
        <v>296175</v>
      </c>
      <c r="N54" s="12">
        <f t="shared" si="42"/>
        <v>287823</v>
      </c>
      <c r="O54" s="12">
        <f t="shared" si="42"/>
        <v>296175</v>
      </c>
      <c r="P54" s="12">
        <f t="shared" si="42"/>
        <v>284681</v>
      </c>
      <c r="Q54" s="13">
        <f t="shared" si="42"/>
        <v>282807</v>
      </c>
      <c r="R54" s="12">
        <f t="shared" si="42"/>
        <v>0</v>
      </c>
      <c r="S54" s="12">
        <f t="shared" si="42"/>
        <v>0</v>
      </c>
    </row>
    <row r="55" spans="3:31" x14ac:dyDescent="0.25">
      <c r="C55" s="2" t="s">
        <v>89</v>
      </c>
      <c r="D55" s="14">
        <v>4204</v>
      </c>
      <c r="E55" s="14">
        <v>4204</v>
      </c>
      <c r="F55" s="14">
        <v>4204</v>
      </c>
      <c r="G55" s="14">
        <v>4204</v>
      </c>
      <c r="H55" s="14">
        <v>4204</v>
      </c>
      <c r="I55" s="14">
        <v>4204</v>
      </c>
      <c r="J55" s="14">
        <v>4204</v>
      </c>
      <c r="K55" s="14">
        <v>4204</v>
      </c>
      <c r="L55" s="14">
        <v>4204</v>
      </c>
      <c r="M55" s="14">
        <v>4204</v>
      </c>
      <c r="N55" s="14">
        <v>4204</v>
      </c>
      <c r="O55" s="14">
        <v>4204</v>
      </c>
      <c r="P55" s="14">
        <v>4204</v>
      </c>
      <c r="Q55" s="15">
        <v>4204</v>
      </c>
      <c r="R55" s="14"/>
      <c r="S55" s="14"/>
    </row>
    <row r="56" spans="3:31" x14ac:dyDescent="0.25">
      <c r="C56" s="2" t="s">
        <v>90</v>
      </c>
      <c r="D56" s="14">
        <v>-38716</v>
      </c>
      <c r="E56" s="14">
        <v>-49246</v>
      </c>
      <c r="F56" s="14">
        <v>-66277</v>
      </c>
      <c r="G56" s="14">
        <v>-26467</v>
      </c>
      <c r="H56" s="14">
        <v>-16806</v>
      </c>
      <c r="I56" s="14">
        <v>-12266</v>
      </c>
      <c r="J56" s="14">
        <v>-10398</v>
      </c>
      <c r="K56" s="14">
        <v>-10251</v>
      </c>
      <c r="L56" s="14">
        <v>-5164</v>
      </c>
      <c r="M56" s="14">
        <v>-5164</v>
      </c>
      <c r="N56" s="14">
        <v>-6198</v>
      </c>
      <c r="O56" s="14">
        <v>-5164</v>
      </c>
      <c r="P56" s="14">
        <v>-6268</v>
      </c>
      <c r="Q56" s="15">
        <v>-8057</v>
      </c>
      <c r="R56" s="14"/>
      <c r="S56" s="14"/>
      <c r="Z56" s="1"/>
      <c r="AA56" s="1"/>
      <c r="AB56" s="1"/>
      <c r="AC56" s="1"/>
      <c r="AD56" s="1"/>
      <c r="AE56" s="1"/>
    </row>
    <row r="57" spans="3:31" x14ac:dyDescent="0.25">
      <c r="C57" s="2" t="s">
        <v>91</v>
      </c>
      <c r="D57" s="14">
        <f>84961+5255</f>
        <v>90216</v>
      </c>
      <c r="E57" s="14">
        <v>85133</v>
      </c>
      <c r="F57" s="14">
        <v>94486</v>
      </c>
      <c r="G57" s="14">
        <v>88331</v>
      </c>
      <c r="H57" s="14">
        <v>91153</v>
      </c>
      <c r="I57" s="14">
        <v>90441</v>
      </c>
      <c r="J57" s="14">
        <v>63498</v>
      </c>
      <c r="K57" s="14">
        <v>62829</v>
      </c>
      <c r="L57" s="14">
        <v>63098</v>
      </c>
      <c r="M57" s="14">
        <v>63098</v>
      </c>
      <c r="N57" s="14">
        <v>67981</v>
      </c>
      <c r="O57" s="14">
        <v>63098</v>
      </c>
      <c r="P57" s="14">
        <v>67729</v>
      </c>
      <c r="Q57" s="15">
        <v>70941</v>
      </c>
      <c r="R57" s="14"/>
      <c r="S57" s="14"/>
    </row>
    <row r="58" spans="3:31" x14ac:dyDescent="0.25">
      <c r="C58" s="2" t="s">
        <v>92</v>
      </c>
      <c r="D58" s="14">
        <v>17984</v>
      </c>
      <c r="E58" s="14">
        <v>17984</v>
      </c>
      <c r="F58" s="14">
        <v>17984</v>
      </c>
      <c r="G58" s="14">
        <v>19793</v>
      </c>
      <c r="H58" s="14">
        <v>19793</v>
      </c>
      <c r="I58" s="14">
        <v>19103</v>
      </c>
      <c r="J58" s="14">
        <v>19103</v>
      </c>
      <c r="K58" s="14">
        <v>19103</v>
      </c>
      <c r="L58" s="14">
        <v>20955</v>
      </c>
      <c r="M58" s="14">
        <v>20955</v>
      </c>
      <c r="N58" s="14">
        <v>20955</v>
      </c>
      <c r="O58" s="14">
        <v>20955</v>
      </c>
      <c r="P58" s="14">
        <v>20955</v>
      </c>
      <c r="Q58" s="15">
        <v>20955</v>
      </c>
      <c r="R58" s="14"/>
      <c r="S58" s="14"/>
    </row>
    <row r="59" spans="3:31" x14ac:dyDescent="0.25">
      <c r="C59" s="2" t="s">
        <v>93</v>
      </c>
      <c r="D59" s="14">
        <v>3031</v>
      </c>
      <c r="E59" s="2">
        <v>3201</v>
      </c>
      <c r="F59" s="14">
        <v>3380</v>
      </c>
      <c r="G59" s="14">
        <f>3994+5675</f>
        <v>9669</v>
      </c>
      <c r="H59" s="14">
        <v>4482</v>
      </c>
      <c r="I59" s="14">
        <v>2066</v>
      </c>
      <c r="J59" s="14">
        <v>1954</v>
      </c>
      <c r="K59" s="14">
        <v>1906</v>
      </c>
      <c r="L59" s="14">
        <v>10391</v>
      </c>
      <c r="M59" s="14">
        <v>10391</v>
      </c>
      <c r="N59" s="14">
        <v>4185</v>
      </c>
      <c r="O59" s="14">
        <v>10391</v>
      </c>
      <c r="P59" s="14">
        <v>10057</v>
      </c>
      <c r="Q59" s="15">
        <v>9376</v>
      </c>
      <c r="R59" s="14"/>
      <c r="S59" s="14"/>
    </row>
    <row r="60" spans="3:31" x14ac:dyDescent="0.25">
      <c r="C60" s="11" t="s">
        <v>94</v>
      </c>
      <c r="D60" s="16">
        <f t="shared" ref="D60:P60" si="43">SUM(D55:D59)</f>
        <v>76719</v>
      </c>
      <c r="E60" s="16">
        <f>SUM(E55:E59)</f>
        <v>61276</v>
      </c>
      <c r="F60" s="16">
        <f t="shared" si="43"/>
        <v>53777</v>
      </c>
      <c r="G60" s="16">
        <f t="shared" si="43"/>
        <v>95530</v>
      </c>
      <c r="H60" s="16">
        <f t="shared" si="43"/>
        <v>102826</v>
      </c>
      <c r="I60" s="16">
        <f t="shared" si="43"/>
        <v>103548</v>
      </c>
      <c r="J60" s="16">
        <f t="shared" si="43"/>
        <v>78361</v>
      </c>
      <c r="K60" s="16">
        <f t="shared" si="43"/>
        <v>77791</v>
      </c>
      <c r="L60" s="16">
        <f t="shared" si="43"/>
        <v>93484</v>
      </c>
      <c r="M60" s="16">
        <f t="shared" si="43"/>
        <v>93484</v>
      </c>
      <c r="N60" s="16">
        <f t="shared" si="43"/>
        <v>91127</v>
      </c>
      <c r="O60" s="16">
        <f t="shared" si="43"/>
        <v>93484</v>
      </c>
      <c r="P60" s="16">
        <f t="shared" si="43"/>
        <v>96677</v>
      </c>
      <c r="Q60" s="31">
        <f>SUM(Q55:Q59)</f>
        <v>97419</v>
      </c>
      <c r="R60" s="16">
        <f t="shared" ref="R60:S60" si="44">SUM(R55:R59)</f>
        <v>0</v>
      </c>
      <c r="S60" s="16">
        <f t="shared" si="44"/>
        <v>0</v>
      </c>
      <c r="Z60" s="1"/>
      <c r="AA60" s="1"/>
      <c r="AB60" s="1"/>
      <c r="AC60" s="1"/>
      <c r="AD60" s="1"/>
      <c r="AE60" s="1"/>
    </row>
    <row r="61" spans="3:31" x14ac:dyDescent="0.25">
      <c r="C61" s="2" t="s">
        <v>80</v>
      </c>
      <c r="D61" s="14">
        <v>3661</v>
      </c>
      <c r="E61" s="14">
        <v>7149</v>
      </c>
      <c r="F61" s="14">
        <v>8432</v>
      </c>
      <c r="G61" s="14">
        <v>7414</v>
      </c>
      <c r="H61" s="14">
        <v>5041</v>
      </c>
      <c r="I61" s="14">
        <v>4943</v>
      </c>
      <c r="J61" s="14">
        <v>4665</v>
      </c>
      <c r="K61" s="14">
        <v>3439</v>
      </c>
      <c r="L61" s="14">
        <v>2433</v>
      </c>
      <c r="M61" s="14">
        <v>243</v>
      </c>
      <c r="N61" s="14">
        <v>4590</v>
      </c>
      <c r="O61" s="14">
        <v>2433</v>
      </c>
      <c r="P61" s="14">
        <v>2045</v>
      </c>
      <c r="Q61" s="15">
        <v>1858</v>
      </c>
      <c r="R61" s="14"/>
      <c r="S61" s="14"/>
    </row>
    <row r="62" spans="3:31" x14ac:dyDescent="0.25">
      <c r="C62" s="2" t="s">
        <v>95</v>
      </c>
      <c r="D62" s="14">
        <v>14835</v>
      </c>
      <c r="E62" s="14">
        <v>14500</v>
      </c>
      <c r="F62" s="14">
        <v>13938</v>
      </c>
      <c r="G62" s="14">
        <v>19121</v>
      </c>
      <c r="H62" s="14">
        <v>19436</v>
      </c>
      <c r="I62" s="14">
        <v>18320</v>
      </c>
      <c r="J62" s="14">
        <v>18776</v>
      </c>
      <c r="K62" s="14">
        <v>16908</v>
      </c>
      <c r="L62" s="14">
        <v>17735</v>
      </c>
      <c r="M62" s="14">
        <v>17735</v>
      </c>
      <c r="N62" s="14">
        <v>17371</v>
      </c>
      <c r="O62" s="14">
        <v>17735</v>
      </c>
      <c r="P62" s="14">
        <v>17675</v>
      </c>
      <c r="Q62" s="15">
        <v>16940</v>
      </c>
      <c r="R62" s="14"/>
      <c r="S62" s="14"/>
    </row>
    <row r="63" spans="3:31" x14ac:dyDescent="0.25">
      <c r="C63" s="2" t="s">
        <v>96</v>
      </c>
      <c r="D63" s="14">
        <v>6706</v>
      </c>
      <c r="E63" s="14">
        <v>7787</v>
      </c>
      <c r="F63" s="14">
        <v>7903</v>
      </c>
      <c r="G63" s="14">
        <v>7697</v>
      </c>
      <c r="H63" s="14">
        <v>7541</v>
      </c>
      <c r="I63" s="14">
        <v>7818</v>
      </c>
      <c r="J63" s="14">
        <v>8058</v>
      </c>
      <c r="K63" s="14">
        <v>7618</v>
      </c>
      <c r="L63" s="14">
        <v>8076</v>
      </c>
      <c r="M63" s="14">
        <v>8076</v>
      </c>
      <c r="N63" s="14">
        <v>8058</v>
      </c>
      <c r="O63" s="14">
        <v>8076</v>
      </c>
      <c r="P63" s="14">
        <v>7799</v>
      </c>
      <c r="Q63" s="15">
        <v>7358</v>
      </c>
      <c r="R63" s="14"/>
      <c r="S63" s="14"/>
    </row>
    <row r="64" spans="3:31" x14ac:dyDescent="0.25">
      <c r="C64" s="2" t="s">
        <v>97</v>
      </c>
      <c r="D64" s="14">
        <v>36305</v>
      </c>
      <c r="E64" s="14">
        <v>46467</v>
      </c>
      <c r="F64" s="14">
        <v>62198</v>
      </c>
      <c r="G64" s="14">
        <v>60451</v>
      </c>
      <c r="H64" s="14">
        <v>75402</v>
      </c>
      <c r="I64" s="14">
        <v>76636</v>
      </c>
      <c r="J64" s="14">
        <v>76585</v>
      </c>
      <c r="K64" s="14">
        <v>79236</v>
      </c>
      <c r="L64" s="14">
        <v>83607</v>
      </c>
      <c r="M64" s="14">
        <v>83607</v>
      </c>
      <c r="N64" s="14">
        <v>79162</v>
      </c>
      <c r="O64" s="14">
        <v>83607</v>
      </c>
      <c r="P64" s="14">
        <v>75636</v>
      </c>
      <c r="Q64" s="15">
        <v>77257</v>
      </c>
      <c r="R64" s="14"/>
      <c r="S64" s="14"/>
      <c r="T64" s="1"/>
      <c r="U64" s="1"/>
      <c r="V64" s="1"/>
      <c r="W64" s="1"/>
      <c r="X64" s="1"/>
      <c r="Y64" s="1"/>
    </row>
    <row r="65" spans="3:31" x14ac:dyDescent="0.25">
      <c r="C65" s="2" t="s">
        <v>79</v>
      </c>
      <c r="D65" s="14">
        <v>23298</v>
      </c>
      <c r="E65" s="14">
        <v>33414</v>
      </c>
      <c r="F65" s="14">
        <v>40138</v>
      </c>
      <c r="G65" s="14">
        <v>24121</v>
      </c>
      <c r="H65" s="14">
        <v>18080</v>
      </c>
      <c r="I65" s="14">
        <v>16673</v>
      </c>
      <c r="J65" s="14">
        <v>16098</v>
      </c>
      <c r="K65" s="14">
        <v>13763</v>
      </c>
      <c r="L65" s="14">
        <v>8882</v>
      </c>
      <c r="M65" s="14">
        <v>8882</v>
      </c>
      <c r="N65" s="14">
        <v>8212</v>
      </c>
      <c r="O65" s="14">
        <v>8882</v>
      </c>
      <c r="P65" s="14">
        <v>7268</v>
      </c>
      <c r="Q65" s="15">
        <v>6826</v>
      </c>
      <c r="R65" s="14"/>
      <c r="S65" s="14"/>
      <c r="T65" s="1"/>
      <c r="U65" s="1"/>
      <c r="V65" s="1"/>
      <c r="W65" s="1"/>
      <c r="X65" s="1"/>
      <c r="Y65" s="1"/>
    </row>
    <row r="66" spans="3:31" x14ac:dyDescent="0.25">
      <c r="C66" s="2" t="s">
        <v>98</v>
      </c>
      <c r="D66" s="14">
        <v>3190</v>
      </c>
      <c r="E66" s="14">
        <v>3159</v>
      </c>
      <c r="F66" s="14">
        <v>3117</v>
      </c>
      <c r="G66" s="14">
        <v>3085</v>
      </c>
      <c r="H66" s="14">
        <v>3043</v>
      </c>
      <c r="I66" s="14">
        <v>3030</v>
      </c>
      <c r="J66" s="14">
        <v>3101</v>
      </c>
      <c r="K66" s="14">
        <v>3297</v>
      </c>
      <c r="L66" s="14">
        <v>8834</v>
      </c>
      <c r="M66" s="14">
        <v>8834</v>
      </c>
      <c r="N66" s="14">
        <v>3326</v>
      </c>
      <c r="O66" s="14">
        <v>8834</v>
      </c>
      <c r="P66" s="14">
        <v>8497</v>
      </c>
      <c r="Q66" s="15">
        <v>8505</v>
      </c>
      <c r="R66" s="14"/>
      <c r="S66" s="14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3:31" x14ac:dyDescent="0.25">
      <c r="C67" s="2" t="s">
        <v>99</v>
      </c>
      <c r="D67" s="14">
        <v>13376</v>
      </c>
      <c r="E67" s="14">
        <v>14533</v>
      </c>
      <c r="F67" s="14">
        <v>15719</v>
      </c>
      <c r="G67" s="14">
        <v>14490</v>
      </c>
      <c r="H67" s="14">
        <v>12773</v>
      </c>
      <c r="I67" s="14">
        <v>12445</v>
      </c>
      <c r="J67" s="14">
        <v>14794</v>
      </c>
      <c r="K67" s="14">
        <v>13610</v>
      </c>
      <c r="L67" s="14">
        <v>16158</v>
      </c>
      <c r="M67" s="14">
        <v>16158</v>
      </c>
      <c r="N67" s="14">
        <v>15276</v>
      </c>
      <c r="O67" s="14">
        <v>16158</v>
      </c>
      <c r="P67" s="14">
        <v>13374</v>
      </c>
      <c r="Q67" s="15">
        <v>11833</v>
      </c>
      <c r="R67" s="14"/>
      <c r="S67" s="14"/>
      <c r="T67" s="1"/>
      <c r="U67" s="1"/>
      <c r="V67" s="1"/>
      <c r="W67" s="1"/>
      <c r="X67" s="1"/>
      <c r="Y67" s="1"/>
      <c r="Z67" s="1"/>
      <c r="AA67" s="1"/>
    </row>
    <row r="68" spans="3:31" x14ac:dyDescent="0.25">
      <c r="C68" s="2" t="s">
        <v>100</v>
      </c>
      <c r="D68" s="14">
        <v>4463</v>
      </c>
      <c r="E68" s="14">
        <v>4625</v>
      </c>
      <c r="F68" s="14">
        <v>5412</v>
      </c>
      <c r="G68" s="14">
        <v>7363</v>
      </c>
      <c r="H68" s="14">
        <v>7265</v>
      </c>
      <c r="I68" s="14">
        <v>6589</v>
      </c>
      <c r="J68" s="14">
        <v>6662</v>
      </c>
      <c r="K68" s="14">
        <v>6273</v>
      </c>
      <c r="L68" s="14">
        <v>5825</v>
      </c>
      <c r="M68" s="14">
        <v>5825</v>
      </c>
      <c r="N68" s="14">
        <v>5418</v>
      </c>
      <c r="O68" s="14">
        <v>5825</v>
      </c>
      <c r="P68" s="14">
        <v>5675</v>
      </c>
      <c r="Q68" s="15">
        <v>5400</v>
      </c>
      <c r="R68" s="12"/>
      <c r="S68" s="12"/>
      <c r="T68" s="1"/>
      <c r="U68" s="1"/>
      <c r="V68" s="1"/>
      <c r="W68" s="1"/>
      <c r="X68" s="1"/>
      <c r="Y68" s="1"/>
      <c r="Z68" s="1"/>
    </row>
    <row r="69" spans="3:31" x14ac:dyDescent="0.25">
      <c r="C69" s="2" t="s">
        <v>95</v>
      </c>
      <c r="D69" s="14">
        <v>731</v>
      </c>
      <c r="E69" s="14">
        <v>722</v>
      </c>
      <c r="F69" s="14">
        <v>828</v>
      </c>
      <c r="G69" s="14">
        <v>585</v>
      </c>
      <c r="H69" s="14">
        <v>603</v>
      </c>
      <c r="I69" s="14">
        <v>530</v>
      </c>
      <c r="J69" s="14">
        <v>11937</v>
      </c>
      <c r="K69" s="14">
        <v>15955</v>
      </c>
      <c r="L69" s="14">
        <v>2800</v>
      </c>
      <c r="M69" s="14">
        <v>2800</v>
      </c>
      <c r="N69" s="14">
        <v>4625</v>
      </c>
      <c r="O69" s="14">
        <v>2800</v>
      </c>
      <c r="P69" s="14">
        <v>2764</v>
      </c>
      <c r="Q69" s="15">
        <v>2075</v>
      </c>
      <c r="R69" s="12"/>
      <c r="S69" s="12"/>
      <c r="T69" s="1"/>
      <c r="U69" s="1"/>
      <c r="V69" s="1"/>
      <c r="W69" s="1"/>
      <c r="X69" s="1"/>
      <c r="Y69" s="1"/>
      <c r="Z69" s="1"/>
      <c r="AA69" s="1"/>
    </row>
    <row r="70" spans="3:31" x14ac:dyDescent="0.25">
      <c r="C70" s="2" t="s">
        <v>96</v>
      </c>
      <c r="D70" s="14">
        <v>740</v>
      </c>
      <c r="E70" s="14">
        <v>768</v>
      </c>
      <c r="F70" s="14">
        <v>589</v>
      </c>
      <c r="G70" s="14">
        <v>569</v>
      </c>
      <c r="H70" s="14">
        <v>533</v>
      </c>
      <c r="I70" s="14">
        <v>646</v>
      </c>
      <c r="J70" s="14">
        <v>802</v>
      </c>
      <c r="K70" s="14">
        <v>808</v>
      </c>
      <c r="L70" s="14">
        <v>834</v>
      </c>
      <c r="M70" s="14">
        <v>834</v>
      </c>
      <c r="N70" s="14">
        <v>881</v>
      </c>
      <c r="O70" s="14">
        <v>834</v>
      </c>
      <c r="P70" s="14">
        <v>800</v>
      </c>
      <c r="Q70" s="15">
        <v>749</v>
      </c>
      <c r="R70" s="12"/>
      <c r="S70" s="12"/>
      <c r="T70" s="1"/>
      <c r="U70" s="1"/>
      <c r="V70" s="1"/>
      <c r="W70" s="1"/>
      <c r="X70" s="1"/>
      <c r="Y70" s="1"/>
    </row>
    <row r="71" spans="3:31" x14ac:dyDescent="0.25">
      <c r="C71" s="2" t="s">
        <v>101</v>
      </c>
      <c r="D71" s="14">
        <v>14077</v>
      </c>
      <c r="E71" s="14">
        <v>11992</v>
      </c>
      <c r="F71" s="14">
        <v>2117</v>
      </c>
      <c r="G71" s="14">
        <v>2830</v>
      </c>
      <c r="H71" s="14">
        <v>2387</v>
      </c>
      <c r="I71" s="14">
        <v>2669</v>
      </c>
      <c r="J71" s="14">
        <v>4118</v>
      </c>
      <c r="K71" s="14">
        <v>384</v>
      </c>
      <c r="L71" s="14">
        <v>4101</v>
      </c>
      <c r="M71" s="14">
        <v>4101</v>
      </c>
      <c r="N71" s="14">
        <v>14673</v>
      </c>
      <c r="O71" s="14">
        <v>4101</v>
      </c>
      <c r="P71" s="14">
        <v>7540</v>
      </c>
      <c r="Q71" s="15">
        <v>5491</v>
      </c>
      <c r="R71" s="14"/>
      <c r="S71" s="14"/>
    </row>
    <row r="72" spans="3:31" x14ac:dyDescent="0.25">
      <c r="C72" s="2" t="s">
        <v>79</v>
      </c>
      <c r="D72" s="14">
        <v>69222</v>
      </c>
      <c r="E72" s="14">
        <v>77302</v>
      </c>
      <c r="F72" s="14">
        <v>107695</v>
      </c>
      <c r="G72" s="14">
        <v>33438</v>
      </c>
      <c r="H72" s="14">
        <v>20090</v>
      </c>
      <c r="I72" s="14">
        <v>13950</v>
      </c>
      <c r="J72" s="14">
        <v>11186</v>
      </c>
      <c r="K72" s="14">
        <v>8449</v>
      </c>
      <c r="L72" s="14">
        <v>7009</v>
      </c>
      <c r="M72" s="14">
        <v>7009</v>
      </c>
      <c r="N72" s="14">
        <v>5675</v>
      </c>
      <c r="O72" s="14">
        <v>7009</v>
      </c>
      <c r="P72" s="14">
        <v>4838</v>
      </c>
      <c r="Q72" s="15">
        <v>4269</v>
      </c>
      <c r="R72" s="14"/>
      <c r="S72" s="14"/>
    </row>
    <row r="73" spans="3:31" x14ac:dyDescent="0.25">
      <c r="C73" s="2" t="s">
        <v>102</v>
      </c>
      <c r="D73" s="14">
        <v>1460</v>
      </c>
      <c r="E73" s="14">
        <v>1258</v>
      </c>
      <c r="F73" s="14">
        <v>1371</v>
      </c>
      <c r="G73" s="14">
        <v>2269</v>
      </c>
      <c r="H73" s="14">
        <v>2305</v>
      </c>
      <c r="I73" s="14">
        <v>2307</v>
      </c>
      <c r="J73" s="14">
        <v>2739</v>
      </c>
      <c r="K73" s="14">
        <v>2784</v>
      </c>
      <c r="L73" s="14">
        <v>2578</v>
      </c>
      <c r="M73" s="14">
        <v>2578</v>
      </c>
      <c r="N73" s="14">
        <v>1014</v>
      </c>
      <c r="O73" s="14">
        <v>2578</v>
      </c>
      <c r="P73" s="14">
        <v>1527</v>
      </c>
      <c r="Q73" s="15">
        <v>4357</v>
      </c>
      <c r="R73" s="14"/>
      <c r="S73" s="14"/>
    </row>
    <row r="74" spans="3:31" x14ac:dyDescent="0.25">
      <c r="C74" s="2" t="s">
        <v>103</v>
      </c>
      <c r="D74" s="14">
        <v>19517</v>
      </c>
      <c r="E74" s="14">
        <v>20412</v>
      </c>
      <c r="F74" s="14">
        <v>20222</v>
      </c>
      <c r="G74" s="14">
        <v>20641</v>
      </c>
      <c r="H74" s="14">
        <v>14450</v>
      </c>
      <c r="I74" s="14">
        <v>12006</v>
      </c>
      <c r="J74" s="14">
        <v>13810</v>
      </c>
      <c r="K74" s="14">
        <v>14915</v>
      </c>
      <c r="L74" s="14">
        <v>20827</v>
      </c>
      <c r="M74" s="14">
        <v>20827</v>
      </c>
      <c r="N74" s="14">
        <v>15285</v>
      </c>
      <c r="O74" s="14">
        <v>20827</v>
      </c>
      <c r="P74" s="14">
        <v>18716</v>
      </c>
      <c r="Q74" s="15">
        <v>18057</v>
      </c>
      <c r="R74" s="14"/>
      <c r="S74" s="14"/>
    </row>
    <row r="75" spans="3:31" x14ac:dyDescent="0.25">
      <c r="C75" s="2" t="s">
        <v>104</v>
      </c>
      <c r="D75" s="14">
        <v>1197</v>
      </c>
      <c r="E75" s="14">
        <v>1691</v>
      </c>
      <c r="F75" s="14">
        <v>1847</v>
      </c>
      <c r="G75" s="14">
        <v>1903</v>
      </c>
      <c r="H75" s="14">
        <v>2874</v>
      </c>
      <c r="I75" s="14">
        <v>2865</v>
      </c>
      <c r="J75" s="14">
        <v>3358</v>
      </c>
      <c r="K75" s="14">
        <v>3397</v>
      </c>
      <c r="L75" s="14">
        <v>4320</v>
      </c>
      <c r="M75" s="14">
        <v>4320</v>
      </c>
      <c r="N75" s="14">
        <v>3951</v>
      </c>
      <c r="O75" s="14">
        <v>4320</v>
      </c>
      <c r="P75" s="14">
        <v>3899</v>
      </c>
      <c r="Q75" s="15">
        <v>3611</v>
      </c>
      <c r="R75" s="14"/>
      <c r="S75" s="14"/>
    </row>
    <row r="76" spans="3:31" x14ac:dyDescent="0.25">
      <c r="C76" s="2" t="s">
        <v>100</v>
      </c>
      <c r="D76" s="14">
        <v>5660</v>
      </c>
      <c r="E76" s="14">
        <v>7653</v>
      </c>
      <c r="F76" s="14">
        <v>8858</v>
      </c>
      <c r="G76" s="14">
        <v>7518</v>
      </c>
      <c r="H76" s="14">
        <v>6604</v>
      </c>
      <c r="I76" s="14">
        <v>5998</v>
      </c>
      <c r="J76" s="14">
        <v>6478</v>
      </c>
      <c r="K76" s="14">
        <v>6225</v>
      </c>
      <c r="L76" s="14">
        <v>7106</v>
      </c>
      <c r="M76" s="14">
        <v>7106</v>
      </c>
      <c r="N76" s="14">
        <v>5508</v>
      </c>
      <c r="O76" s="14">
        <v>7106</v>
      </c>
      <c r="P76" s="14">
        <v>7143</v>
      </c>
      <c r="Q76" s="15">
        <v>7164</v>
      </c>
      <c r="R76" s="14"/>
      <c r="S76" s="14"/>
    </row>
    <row r="77" spans="3:31" x14ac:dyDescent="0.25">
      <c r="C77" s="2" t="s">
        <v>85</v>
      </c>
      <c r="D77" s="14">
        <v>5951</v>
      </c>
      <c r="E77" s="14">
        <v>5504</v>
      </c>
      <c r="F77" s="14">
        <v>5076</v>
      </c>
      <c r="G77" s="14">
        <v>5115</v>
      </c>
      <c r="H77" s="14">
        <v>5391</v>
      </c>
      <c r="I77" s="14">
        <v>5493</v>
      </c>
      <c r="J77" s="14">
        <v>5254</v>
      </c>
      <c r="K77" s="14">
        <v>6283</v>
      </c>
      <c r="L77" s="14">
        <v>4177</v>
      </c>
      <c r="M77" s="14">
        <v>4177</v>
      </c>
      <c r="N77" s="14">
        <v>6189</v>
      </c>
      <c r="O77" s="14">
        <v>4177</v>
      </c>
      <c r="P77" s="14">
        <v>5414</v>
      </c>
      <c r="Q77" s="15">
        <v>5943</v>
      </c>
      <c r="R77" s="14"/>
      <c r="S77" s="14"/>
    </row>
    <row r="78" spans="3:31" x14ac:dyDescent="0.25">
      <c r="C78" s="11" t="s">
        <v>105</v>
      </c>
      <c r="D78" s="16">
        <f t="shared" ref="D78:P78" si="45">SUM(D61:D77)</f>
        <v>224389</v>
      </c>
      <c r="E78" s="16">
        <f t="shared" si="45"/>
        <v>258936</v>
      </c>
      <c r="F78" s="16">
        <f t="shared" si="45"/>
        <v>305460</v>
      </c>
      <c r="G78" s="16">
        <f t="shared" si="45"/>
        <v>218610</v>
      </c>
      <c r="H78" s="16">
        <f t="shared" si="45"/>
        <v>203818</v>
      </c>
      <c r="I78" s="16">
        <f t="shared" si="45"/>
        <v>192918</v>
      </c>
      <c r="J78" s="16">
        <f t="shared" si="45"/>
        <v>208421</v>
      </c>
      <c r="K78" s="16">
        <f t="shared" si="45"/>
        <v>203344</v>
      </c>
      <c r="L78" s="16">
        <f t="shared" si="45"/>
        <v>205302</v>
      </c>
      <c r="M78" s="16">
        <f t="shared" si="45"/>
        <v>203112</v>
      </c>
      <c r="N78" s="16">
        <f t="shared" si="45"/>
        <v>199214</v>
      </c>
      <c r="O78" s="16">
        <f t="shared" si="45"/>
        <v>205302</v>
      </c>
      <c r="P78" s="16">
        <f t="shared" si="45"/>
        <v>190610</v>
      </c>
      <c r="Q78" s="31">
        <f>SUM(Q61:Q77)</f>
        <v>187693</v>
      </c>
      <c r="R78" s="16">
        <f t="shared" ref="R78:S78" si="46">SUM(R61:R77)</f>
        <v>0</v>
      </c>
      <c r="S78" s="16">
        <f t="shared" si="46"/>
        <v>0</v>
      </c>
    </row>
    <row r="79" spans="3:31" x14ac:dyDescent="0.25">
      <c r="C79" s="1" t="s">
        <v>106</v>
      </c>
      <c r="D79" s="12">
        <f t="shared" ref="D79:P79" si="47">D60+D78</f>
        <v>301108</v>
      </c>
      <c r="E79" s="12">
        <f t="shared" si="47"/>
        <v>320212</v>
      </c>
      <c r="F79" s="12">
        <f t="shared" si="47"/>
        <v>359237</v>
      </c>
      <c r="G79" s="12">
        <f t="shared" si="47"/>
        <v>314140</v>
      </c>
      <c r="H79" s="12">
        <f t="shared" si="47"/>
        <v>306644</v>
      </c>
      <c r="I79" s="12">
        <f t="shared" si="47"/>
        <v>296466</v>
      </c>
      <c r="J79" s="12">
        <f>J60+J78</f>
        <v>286782</v>
      </c>
      <c r="K79" s="12">
        <f t="shared" si="47"/>
        <v>281135</v>
      </c>
      <c r="L79" s="12">
        <f t="shared" si="47"/>
        <v>298786</v>
      </c>
      <c r="M79" s="12">
        <f t="shared" si="47"/>
        <v>296596</v>
      </c>
      <c r="N79" s="12">
        <f t="shared" si="47"/>
        <v>290341</v>
      </c>
      <c r="O79" s="12">
        <f t="shared" si="47"/>
        <v>298786</v>
      </c>
      <c r="P79" s="12">
        <f t="shared" si="47"/>
        <v>287287</v>
      </c>
      <c r="Q79" s="13">
        <f>Q60+Q78</f>
        <v>285112</v>
      </c>
      <c r="R79" s="12">
        <f t="shared" ref="R79:S79" si="48">R60+R78</f>
        <v>0</v>
      </c>
      <c r="S79" s="12">
        <f t="shared" si="48"/>
        <v>0</v>
      </c>
    </row>
    <row r="81" spans="3:31" x14ac:dyDescent="0.25">
      <c r="C81" s="1" t="s">
        <v>107</v>
      </c>
    </row>
    <row r="82" spans="3:31" x14ac:dyDescent="0.25">
      <c r="C82" s="2" t="s">
        <v>108</v>
      </c>
      <c r="D82" s="14">
        <f t="shared" ref="D82:S82" si="49">D12</f>
        <v>9429</v>
      </c>
      <c r="E82" s="14">
        <f t="shared" si="49"/>
        <v>3615</v>
      </c>
      <c r="F82" s="14">
        <f t="shared" si="49"/>
        <v>12317</v>
      </c>
      <c r="G82" s="14">
        <f t="shared" si="49"/>
        <v>6468</v>
      </c>
      <c r="H82" s="14">
        <f t="shared" si="49"/>
        <v>6910</v>
      </c>
      <c r="I82" s="14">
        <f t="shared" si="49"/>
        <v>3320</v>
      </c>
      <c r="J82" s="14">
        <f t="shared" si="49"/>
        <v>9173</v>
      </c>
      <c r="K82" s="14">
        <f t="shared" si="49"/>
        <v>-686</v>
      </c>
      <c r="L82" s="14">
        <f t="shared" si="49"/>
        <v>7488</v>
      </c>
      <c r="M82" s="14">
        <f t="shared" si="49"/>
        <v>6570</v>
      </c>
      <c r="N82" s="14">
        <f t="shared" si="49"/>
        <v>9548</v>
      </c>
      <c r="O82" s="14">
        <f t="shared" si="49"/>
        <v>8353</v>
      </c>
      <c r="P82" s="14">
        <f t="shared" si="49"/>
        <v>8871</v>
      </c>
      <c r="Q82" s="15">
        <f t="shared" si="49"/>
        <v>6644</v>
      </c>
      <c r="R82" s="14">
        <f t="shared" si="49"/>
        <v>0</v>
      </c>
      <c r="S82" s="14">
        <f t="shared" si="49"/>
        <v>0</v>
      </c>
      <c r="V82" s="14">
        <f t="shared" ref="V82:AE82" si="50">V12</f>
        <v>9888</v>
      </c>
      <c r="W82" s="14">
        <f t="shared" si="50"/>
        <v>16939</v>
      </c>
      <c r="X82" s="14">
        <f t="shared" si="50"/>
        <v>22574</v>
      </c>
      <c r="Y82" s="14">
        <f t="shared" si="50"/>
        <v>28491</v>
      </c>
      <c r="Z82" s="14">
        <f t="shared" si="50"/>
        <v>19020</v>
      </c>
      <c r="AA82" s="14">
        <f t="shared" si="50"/>
        <v>16598</v>
      </c>
      <c r="AB82" s="14">
        <f t="shared" si="50"/>
        <v>24296</v>
      </c>
      <c r="AC82" s="14">
        <f t="shared" si="50"/>
        <v>32057</v>
      </c>
      <c r="AD82" s="14">
        <f t="shared" si="50"/>
        <v>18717</v>
      </c>
      <c r="AE82" s="14">
        <f t="shared" si="50"/>
        <v>31959</v>
      </c>
    </row>
    <row r="83" spans="3:31" x14ac:dyDescent="0.25">
      <c r="C83" s="2" t="s">
        <v>109</v>
      </c>
      <c r="D83" s="14">
        <v>9429</v>
      </c>
      <c r="E83" s="14">
        <v>3615</v>
      </c>
      <c r="F83" s="14">
        <v>12317</v>
      </c>
      <c r="G83" s="14"/>
      <c r="H83" s="14">
        <v>6190</v>
      </c>
      <c r="I83" s="14">
        <v>3320</v>
      </c>
      <c r="J83" s="14">
        <v>9173</v>
      </c>
      <c r="K83" s="14"/>
      <c r="L83" s="14">
        <v>7488</v>
      </c>
      <c r="M83" s="14">
        <v>6570</v>
      </c>
      <c r="N83" s="14">
        <v>9548</v>
      </c>
      <c r="O83" s="14"/>
      <c r="P83" s="14">
        <v>8871</v>
      </c>
      <c r="Q83" s="15">
        <v>6644</v>
      </c>
      <c r="R83" s="14"/>
      <c r="S83" s="14"/>
      <c r="V83" s="14">
        <v>9888</v>
      </c>
      <c r="W83" s="14">
        <v>16939</v>
      </c>
      <c r="X83" s="14">
        <v>22574</v>
      </c>
      <c r="Y83" s="14">
        <v>28491</v>
      </c>
      <c r="Z83" s="14">
        <v>19020</v>
      </c>
      <c r="AA83" s="14">
        <v>16598</v>
      </c>
      <c r="AB83" s="14">
        <v>24296</v>
      </c>
      <c r="AC83" s="14">
        <v>32057</v>
      </c>
      <c r="AD83" s="14">
        <v>18717</v>
      </c>
      <c r="AE83" s="14">
        <v>31959</v>
      </c>
    </row>
    <row r="84" spans="3:31" x14ac:dyDescent="0.25">
      <c r="C84" s="2" t="s">
        <v>110</v>
      </c>
      <c r="D84" s="14">
        <v>-1863</v>
      </c>
      <c r="E84" s="14">
        <v>-21</v>
      </c>
      <c r="F84" s="14">
        <v>-9058</v>
      </c>
      <c r="G84" s="14"/>
      <c r="H84" s="14">
        <v>-124</v>
      </c>
      <c r="I84" s="14">
        <v>-1179</v>
      </c>
      <c r="J84" s="14">
        <v>-3750</v>
      </c>
      <c r="K84" s="14"/>
      <c r="L84" s="14">
        <v>-111</v>
      </c>
      <c r="M84" s="14">
        <v>-49</v>
      </c>
      <c r="N84" s="14">
        <v>-106</v>
      </c>
      <c r="O84" s="14"/>
      <c r="P84" s="14">
        <v>-224</v>
      </c>
      <c r="Q84" s="15">
        <v>-3078</v>
      </c>
      <c r="R84" s="14"/>
      <c r="S84" s="14"/>
      <c r="V84" s="14">
        <v>-1158</v>
      </c>
      <c r="W84" s="14">
        <v>2170</v>
      </c>
      <c r="X84" s="14">
        <v>-55</v>
      </c>
      <c r="Y84" s="14">
        <v>1538</v>
      </c>
      <c r="Z84" s="14">
        <v>-1536</v>
      </c>
      <c r="AA84" s="14">
        <v>1526</v>
      </c>
      <c r="AB84" s="14">
        <v>-7920</v>
      </c>
      <c r="AC84" s="14">
        <v>-10885</v>
      </c>
      <c r="AD84" s="14">
        <v>-5745</v>
      </c>
      <c r="AE84" s="14">
        <v>-349</v>
      </c>
    </row>
    <row r="85" spans="3:31" x14ac:dyDescent="0.25">
      <c r="C85" s="2" t="s">
        <v>111</v>
      </c>
      <c r="D85" s="14">
        <v>-3964</v>
      </c>
      <c r="E85" s="14">
        <v>-1251</v>
      </c>
      <c r="F85" s="14">
        <v>-5587</v>
      </c>
      <c r="G85" s="14"/>
      <c r="H85" s="14">
        <v>5158</v>
      </c>
      <c r="I85" s="14">
        <v>100</v>
      </c>
      <c r="J85" s="14">
        <v>528</v>
      </c>
      <c r="K85" s="14"/>
      <c r="L85" s="14">
        <v>763</v>
      </c>
      <c r="M85" s="14">
        <v>348</v>
      </c>
      <c r="N85" s="14">
        <v>-740</v>
      </c>
      <c r="O85" s="14"/>
      <c r="P85" s="14">
        <v>-679</v>
      </c>
      <c r="Q85" s="15">
        <v>-198</v>
      </c>
      <c r="R85" s="14"/>
      <c r="S85" s="14"/>
      <c r="V85" s="14">
        <v>-155</v>
      </c>
      <c r="W85" s="14">
        <v>806</v>
      </c>
      <c r="X85" s="14">
        <v>-528</v>
      </c>
      <c r="Y85" s="14">
        <v>369</v>
      </c>
      <c r="Z85" s="14">
        <v>-1040</v>
      </c>
      <c r="AA85" s="14">
        <v>411</v>
      </c>
      <c r="AB85" s="14">
        <v>-2051</v>
      </c>
      <c r="AC85" s="14">
        <v>-8687</v>
      </c>
      <c r="AD85" s="14">
        <v>4274</v>
      </c>
      <c r="AE85" s="14">
        <v>648</v>
      </c>
    </row>
    <row r="86" spans="3:31" x14ac:dyDescent="0.25">
      <c r="C86" s="2" t="s">
        <v>152</v>
      </c>
      <c r="D86" s="14">
        <v>-765</v>
      </c>
      <c r="E86" s="14">
        <v>-190</v>
      </c>
      <c r="F86" s="14">
        <v>-312</v>
      </c>
      <c r="G86" s="14"/>
      <c r="H86" s="14">
        <v>12</v>
      </c>
      <c r="I86" s="14">
        <v>-37</v>
      </c>
      <c r="J86" s="14">
        <v>149</v>
      </c>
      <c r="K86" s="14"/>
      <c r="L86" s="14">
        <v>-2204</v>
      </c>
      <c r="M86" s="14">
        <v>0</v>
      </c>
      <c r="N86" s="14">
        <v>-7018</v>
      </c>
      <c r="O86" s="14"/>
      <c r="P86" s="14">
        <v>29</v>
      </c>
      <c r="Q86" s="15">
        <v>0</v>
      </c>
      <c r="R86" s="14"/>
      <c r="S86" s="14"/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</row>
    <row r="87" spans="3:31" x14ac:dyDescent="0.25">
      <c r="C87" s="2" t="s">
        <v>112</v>
      </c>
      <c r="D87" s="14">
        <v>-65</v>
      </c>
      <c r="E87" s="14">
        <v>-89</v>
      </c>
      <c r="F87" s="14">
        <v>-26</v>
      </c>
      <c r="G87" s="14"/>
      <c r="H87" s="14">
        <v>-168</v>
      </c>
      <c r="I87" s="14">
        <v>123</v>
      </c>
      <c r="J87" s="14">
        <v>-22</v>
      </c>
      <c r="K87" s="14"/>
      <c r="L87" s="14">
        <v>108</v>
      </c>
      <c r="M87" s="14">
        <v>-2611</v>
      </c>
      <c r="N87" s="14">
        <v>61</v>
      </c>
      <c r="O87" s="14"/>
      <c r="P87" s="14">
        <v>335</v>
      </c>
      <c r="Q87" s="15">
        <v>1184</v>
      </c>
      <c r="R87" s="14"/>
      <c r="S87" s="14"/>
      <c r="V87" s="14">
        <v>-299</v>
      </c>
      <c r="W87" s="14">
        <v>-366</v>
      </c>
      <c r="X87" s="14">
        <v>98</v>
      </c>
      <c r="Y87" s="14">
        <v>-278</v>
      </c>
      <c r="Z87" s="14">
        <v>727</v>
      </c>
      <c r="AA87" s="14">
        <v>-772</v>
      </c>
      <c r="AB87" s="14">
        <v>-158</v>
      </c>
      <c r="AC87" s="14">
        <v>-1935</v>
      </c>
      <c r="AD87" s="14">
        <v>8454</v>
      </c>
      <c r="AE87" s="14">
        <v>-13057</v>
      </c>
    </row>
    <row r="88" spans="3:31" x14ac:dyDescent="0.25">
      <c r="C88" s="2" t="s">
        <v>113</v>
      </c>
      <c r="D88" s="14">
        <v>-498</v>
      </c>
      <c r="E88" s="14">
        <v>-2481</v>
      </c>
      <c r="F88" s="14">
        <v>1406</v>
      </c>
      <c r="G88" s="14"/>
      <c r="H88" s="14">
        <v>1141</v>
      </c>
      <c r="I88" s="14">
        <v>716</v>
      </c>
      <c r="J88" s="14">
        <v>2417</v>
      </c>
      <c r="K88" s="14"/>
      <c r="L88" s="14">
        <v>-2270</v>
      </c>
      <c r="M88" s="14">
        <v>-233</v>
      </c>
      <c r="N88" s="14">
        <v>-1480</v>
      </c>
      <c r="O88" s="14"/>
      <c r="P88" s="14">
        <v>-238</v>
      </c>
      <c r="Q88" s="15">
        <v>736</v>
      </c>
      <c r="R88" s="14"/>
      <c r="S88" s="14"/>
      <c r="V88" s="14">
        <v>30</v>
      </c>
      <c r="W88" s="14">
        <v>-2939</v>
      </c>
      <c r="X88" s="14">
        <v>-10835</v>
      </c>
      <c r="Y88" s="14">
        <v>-14995</v>
      </c>
      <c r="Z88" s="14">
        <v>101</v>
      </c>
      <c r="AA88" s="14">
        <v>-805</v>
      </c>
      <c r="AB88" s="14">
        <v>-555</v>
      </c>
      <c r="AC88" s="14">
        <v>1419</v>
      </c>
      <c r="AD88" s="14">
        <v>3656</v>
      </c>
      <c r="AE88" s="14">
        <v>-6534</v>
      </c>
    </row>
    <row r="89" spans="3:31" x14ac:dyDescent="0.25">
      <c r="C89" s="2" t="s">
        <v>114</v>
      </c>
      <c r="D89" s="14">
        <v>-976</v>
      </c>
      <c r="E89" s="14">
        <v>-2316</v>
      </c>
      <c r="F89" s="14">
        <v>330</v>
      </c>
      <c r="G89" s="14"/>
      <c r="H89" s="14">
        <v>-615</v>
      </c>
      <c r="I89" s="14">
        <v>728</v>
      </c>
      <c r="J89" s="14">
        <v>365</v>
      </c>
      <c r="K89" s="14"/>
      <c r="L89" s="14">
        <v>70</v>
      </c>
      <c r="M89" s="14">
        <v>1025</v>
      </c>
      <c r="N89" s="14">
        <v>-2067</v>
      </c>
      <c r="O89" s="14"/>
      <c r="P89" s="14">
        <v>-1385</v>
      </c>
      <c r="Q89" s="15">
        <v>3021</v>
      </c>
      <c r="R89" s="14"/>
      <c r="S89" s="14"/>
      <c r="V89" s="14">
        <v>-8</v>
      </c>
      <c r="W89" s="14">
        <v>217</v>
      </c>
      <c r="X89" s="14">
        <v>297</v>
      </c>
      <c r="Y89" s="14">
        <v>203</v>
      </c>
      <c r="Z89" s="14">
        <v>86</v>
      </c>
      <c r="AA89" s="14">
        <v>-1613</v>
      </c>
      <c r="AB89" s="14">
        <v>1490</v>
      </c>
      <c r="AC89" s="14">
        <v>-1303</v>
      </c>
      <c r="AD89" s="14">
        <v>461</v>
      </c>
      <c r="AE89" s="14">
        <v>6154</v>
      </c>
    </row>
    <row r="90" spans="3:31" x14ac:dyDescent="0.25">
      <c r="C90" s="2" t="s">
        <v>115</v>
      </c>
      <c r="D90" s="14">
        <v>725</v>
      </c>
      <c r="E90" s="14">
        <v>208</v>
      </c>
      <c r="F90" s="14">
        <v>-2304</v>
      </c>
      <c r="G90" s="14"/>
      <c r="H90" s="14">
        <v>3933</v>
      </c>
      <c r="I90" s="14">
        <v>1867</v>
      </c>
      <c r="J90" s="14">
        <v>-415</v>
      </c>
      <c r="K90" s="14"/>
      <c r="L90" s="14">
        <v>1877</v>
      </c>
      <c r="M90" s="14">
        <v>1315</v>
      </c>
      <c r="N90" s="14">
        <v>1069</v>
      </c>
      <c r="O90" s="14"/>
      <c r="P90" s="14">
        <v>-262</v>
      </c>
      <c r="Q90" s="15">
        <v>2090</v>
      </c>
      <c r="R90" s="14"/>
      <c r="S90" s="14"/>
      <c r="V90" s="14">
        <v>587</v>
      </c>
      <c r="W90" s="14">
        <v>-1512</v>
      </c>
      <c r="X90" s="14">
        <v>-3674</v>
      </c>
      <c r="Y90" s="14">
        <v>-2326</v>
      </c>
      <c r="Z90" s="14">
        <v>1417</v>
      </c>
      <c r="AA90" s="14">
        <v>2958</v>
      </c>
      <c r="AB90" s="14">
        <v>-2299</v>
      </c>
      <c r="AC90" s="14">
        <v>-2875</v>
      </c>
      <c r="AD90" s="14">
        <v>1522</v>
      </c>
      <c r="AE90" s="14">
        <v>2142</v>
      </c>
    </row>
    <row r="91" spans="3:31" x14ac:dyDescent="0.25">
      <c r="C91" s="2" t="s">
        <v>116</v>
      </c>
      <c r="D91" s="14">
        <v>-2361</v>
      </c>
      <c r="E91" s="14">
        <v>5645</v>
      </c>
      <c r="F91" s="14">
        <v>-9420</v>
      </c>
      <c r="G91" s="14"/>
      <c r="H91" s="14">
        <v>631</v>
      </c>
      <c r="I91" s="14">
        <v>1700</v>
      </c>
      <c r="J91" s="14">
        <v>-618</v>
      </c>
      <c r="K91" s="14"/>
      <c r="L91" s="14">
        <v>8</v>
      </c>
      <c r="M91" s="14">
        <v>681</v>
      </c>
      <c r="N91" s="14">
        <v>123</v>
      </c>
      <c r="O91" s="14"/>
      <c r="P91" s="14">
        <v>-1477</v>
      </c>
      <c r="Q91" s="15">
        <v>454</v>
      </c>
      <c r="R91" s="14"/>
      <c r="S91" s="14"/>
      <c r="V91" s="14">
        <v>7686</v>
      </c>
      <c r="W91" s="14">
        <v>5177</v>
      </c>
      <c r="X91" s="14">
        <v>0</v>
      </c>
      <c r="Y91" s="14">
        <v>1825</v>
      </c>
      <c r="Z91" s="14">
        <v>630</v>
      </c>
      <c r="AA91" s="14">
        <v>1153</v>
      </c>
      <c r="AB91" s="14">
        <v>-8486</v>
      </c>
      <c r="AC91" s="14">
        <v>2742</v>
      </c>
      <c r="AD91" s="14">
        <v>3834</v>
      </c>
      <c r="AE91" s="14">
        <v>1008</v>
      </c>
    </row>
    <row r="92" spans="3:31" x14ac:dyDescent="0.25">
      <c r="C92" s="2" t="s">
        <v>117</v>
      </c>
      <c r="D92" s="14">
        <v>1093</v>
      </c>
      <c r="E92" s="14">
        <v>-554</v>
      </c>
      <c r="F92" s="14">
        <v>2037</v>
      </c>
      <c r="G92" s="14"/>
      <c r="H92" s="14">
        <v>-5599</v>
      </c>
      <c r="I92" s="14">
        <v>-1750</v>
      </c>
      <c r="J92" s="14">
        <v>73</v>
      </c>
      <c r="K92" s="14"/>
      <c r="L92" s="14">
        <v>-328</v>
      </c>
      <c r="M92" s="14">
        <v>-527</v>
      </c>
      <c r="N92" s="14">
        <v>326</v>
      </c>
      <c r="O92" s="14"/>
      <c r="P92" s="14">
        <v>-2035</v>
      </c>
      <c r="Q92" s="15">
        <v>-1205</v>
      </c>
      <c r="R92" s="14"/>
      <c r="S92" s="14"/>
      <c r="V92" s="14">
        <v>-7935</v>
      </c>
      <c r="W92" s="14">
        <v>-6038</v>
      </c>
      <c r="X92" s="14">
        <v>-4230</v>
      </c>
      <c r="Y92" s="14">
        <v>-427</v>
      </c>
      <c r="Z92" s="14">
        <v>-477</v>
      </c>
      <c r="AA92" s="14">
        <v>3032</v>
      </c>
      <c r="AB92" s="14">
        <v>5140</v>
      </c>
      <c r="AC92" s="14">
        <v>3886</v>
      </c>
      <c r="AD92" s="14">
        <v>-5309</v>
      </c>
      <c r="AE92" s="14">
        <v>2821</v>
      </c>
    </row>
    <row r="93" spans="3:31" x14ac:dyDescent="0.25">
      <c r="C93" s="2" t="s">
        <v>118</v>
      </c>
      <c r="D93" s="14">
        <v>-496</v>
      </c>
      <c r="E93" s="14">
        <v>475</v>
      </c>
      <c r="F93" s="14">
        <v>-583</v>
      </c>
      <c r="G93" s="14"/>
      <c r="H93" s="14">
        <v>-640</v>
      </c>
      <c r="I93" s="14">
        <v>-512</v>
      </c>
      <c r="J93" s="14">
        <v>2053</v>
      </c>
      <c r="K93" s="14"/>
      <c r="L93" s="14">
        <v>-163</v>
      </c>
      <c r="M93" s="14">
        <v>2147</v>
      </c>
      <c r="N93" s="14">
        <v>-681</v>
      </c>
      <c r="O93" s="14"/>
      <c r="P93" s="14">
        <v>-875</v>
      </c>
      <c r="Q93" s="15">
        <v>-709</v>
      </c>
      <c r="R93" s="14"/>
      <c r="S93" s="14"/>
      <c r="V93" s="14">
        <v>-1115</v>
      </c>
      <c r="W93" s="14">
        <v>-3182</v>
      </c>
      <c r="X93" s="14">
        <v>3508</v>
      </c>
      <c r="Y93" s="14">
        <v>6648</v>
      </c>
      <c r="Z93" s="14">
        <v>4094</v>
      </c>
      <c r="AA93" s="14">
        <v>-4862</v>
      </c>
      <c r="AB93" s="14">
        <v>3678</v>
      </c>
      <c r="AC93" s="14">
        <v>-353</v>
      </c>
      <c r="AD93" s="14">
        <v>374</v>
      </c>
      <c r="AE93" s="14">
        <v>1458</v>
      </c>
    </row>
    <row r="94" spans="3:31" x14ac:dyDescent="0.25">
      <c r="C94" s="2" t="s">
        <v>119</v>
      </c>
      <c r="D94" s="14">
        <v>152</v>
      </c>
      <c r="E94" s="14">
        <v>-361</v>
      </c>
      <c r="F94" s="14">
        <v>862</v>
      </c>
      <c r="G94" s="14"/>
      <c r="H94" s="14">
        <v>575</v>
      </c>
      <c r="I94" s="14">
        <v>-1565</v>
      </c>
      <c r="J94" s="14">
        <v>689</v>
      </c>
      <c r="K94" s="14"/>
      <c r="L94" s="14">
        <v>15</v>
      </c>
      <c r="M94" s="14">
        <v>-1284</v>
      </c>
      <c r="N94" s="14">
        <v>192</v>
      </c>
      <c r="O94" s="14"/>
      <c r="P94" s="14">
        <v>88</v>
      </c>
      <c r="Q94" s="15">
        <v>-716</v>
      </c>
      <c r="R94" s="14"/>
      <c r="S94" s="14"/>
      <c r="V94" s="14"/>
      <c r="W94" s="14"/>
      <c r="X94" s="14">
        <v>-3472</v>
      </c>
      <c r="Y94" s="14">
        <v>-7348</v>
      </c>
      <c r="Z94" s="14">
        <v>-5143</v>
      </c>
      <c r="AA94" s="14">
        <v>-1118</v>
      </c>
      <c r="AB94" s="14">
        <v>1122</v>
      </c>
      <c r="AC94" s="14">
        <v>-38</v>
      </c>
      <c r="AD94" s="14">
        <v>-660</v>
      </c>
      <c r="AE94" s="14">
        <v>-964</v>
      </c>
    </row>
    <row r="95" spans="3:31" x14ac:dyDescent="0.25">
      <c r="C95" s="2" t="s">
        <v>120</v>
      </c>
      <c r="D95" s="14">
        <v>1250</v>
      </c>
      <c r="E95" s="14">
        <v>1693</v>
      </c>
      <c r="F95" s="14">
        <v>3228</v>
      </c>
      <c r="G95" s="14"/>
      <c r="H95" s="14">
        <v>3041</v>
      </c>
      <c r="I95" s="14">
        <v>1235</v>
      </c>
      <c r="J95" s="14">
        <v>2966</v>
      </c>
      <c r="K95" s="14"/>
      <c r="L95" s="14">
        <v>1559</v>
      </c>
      <c r="M95" s="14">
        <v>1402</v>
      </c>
      <c r="N95" s="14">
        <v>1758</v>
      </c>
      <c r="O95" s="14"/>
      <c r="P95" s="14">
        <v>1514</v>
      </c>
      <c r="Q95" s="15">
        <v>2194</v>
      </c>
      <c r="R95" s="14"/>
      <c r="S95" s="14"/>
      <c r="V95" s="14"/>
      <c r="W95" s="14"/>
      <c r="X95" s="14">
        <v>-2660</v>
      </c>
      <c r="Y95" s="14">
        <v>-3367</v>
      </c>
      <c r="Z95" s="14">
        <v>-4800</v>
      </c>
      <c r="AA95" s="14"/>
      <c r="AB95" s="14">
        <v>3518</v>
      </c>
      <c r="AC95" s="14">
        <v>7985</v>
      </c>
      <c r="AD95" s="14">
        <v>8278</v>
      </c>
      <c r="AE95" s="14">
        <v>6820</v>
      </c>
    </row>
    <row r="96" spans="3:31" x14ac:dyDescent="0.25">
      <c r="C96" s="2" t="s">
        <v>121</v>
      </c>
      <c r="D96" s="14">
        <v>-1467</v>
      </c>
      <c r="E96" s="14">
        <v>-1730</v>
      </c>
      <c r="F96" s="14">
        <v>-3483</v>
      </c>
      <c r="G96" s="14"/>
      <c r="H96" s="14">
        <v>-3341</v>
      </c>
      <c r="I96" s="14">
        <v>-1598</v>
      </c>
      <c r="J96" s="14">
        <v>-3178</v>
      </c>
      <c r="K96" s="14"/>
      <c r="L96" s="14">
        <v>-1528</v>
      </c>
      <c r="M96" s="14">
        <v>-1858</v>
      </c>
      <c r="N96" s="14">
        <v>-1965</v>
      </c>
      <c r="O96" s="14"/>
      <c r="P96" s="14">
        <v>-2238</v>
      </c>
      <c r="Q96" s="15">
        <v>-2577</v>
      </c>
      <c r="R96" s="14"/>
      <c r="S96" s="14"/>
      <c r="V96" s="14"/>
      <c r="W96" s="14"/>
      <c r="X96" s="14"/>
      <c r="Y96" s="14"/>
      <c r="Z96" s="14"/>
      <c r="AA96" s="14"/>
      <c r="AB96" s="14">
        <v>-3985</v>
      </c>
      <c r="AC96" s="14">
        <v>-8548</v>
      </c>
      <c r="AD96" s="14">
        <v>-6894</v>
      </c>
      <c r="AE96" s="14">
        <v>-7294</v>
      </c>
    </row>
    <row r="97" spans="3:32" x14ac:dyDescent="0.25">
      <c r="C97" s="2" t="s">
        <v>122</v>
      </c>
      <c r="D97" s="14">
        <v>-231</v>
      </c>
      <c r="E97" s="14">
        <v>-288</v>
      </c>
      <c r="F97" s="14">
        <v>-716</v>
      </c>
      <c r="G97" s="14"/>
      <c r="H97" s="14">
        <v>-795</v>
      </c>
      <c r="I97" s="14">
        <v>-701</v>
      </c>
      <c r="J97" s="14">
        <v>-634</v>
      </c>
      <c r="K97" s="14"/>
      <c r="L97" s="14">
        <v>-1676</v>
      </c>
      <c r="M97" s="14">
        <v>-845</v>
      </c>
      <c r="N97" s="14">
        <v>-659</v>
      </c>
      <c r="O97" s="14"/>
      <c r="P97" s="14">
        <v>-790</v>
      </c>
      <c r="Q97" s="15">
        <v>-654</v>
      </c>
      <c r="R97" s="14"/>
      <c r="S97" s="14"/>
      <c r="V97" s="14"/>
      <c r="W97" s="14"/>
      <c r="X97" s="14"/>
      <c r="Y97" s="14"/>
      <c r="Z97" s="14"/>
      <c r="AA97" s="14"/>
      <c r="AB97" s="14">
        <v>-1380</v>
      </c>
      <c r="AC97" s="14">
        <v>-1263</v>
      </c>
      <c r="AD97" s="14">
        <v>-2717</v>
      </c>
      <c r="AE97" s="14">
        <v>-6327</v>
      </c>
    </row>
    <row r="98" spans="3:32" x14ac:dyDescent="0.25">
      <c r="C98" s="1" t="s">
        <v>123</v>
      </c>
      <c r="D98" s="12">
        <f t="shared" ref="D98:S98" si="51">SUM(D83:D97)</f>
        <v>-37</v>
      </c>
      <c r="E98" s="12">
        <f t="shared" si="51"/>
        <v>2355</v>
      </c>
      <c r="F98" s="12">
        <f t="shared" si="51"/>
        <v>-11309</v>
      </c>
      <c r="G98" s="12">
        <f t="shared" si="51"/>
        <v>0</v>
      </c>
      <c r="H98" s="12">
        <f t="shared" si="51"/>
        <v>9399</v>
      </c>
      <c r="I98" s="12">
        <f t="shared" si="51"/>
        <v>2447</v>
      </c>
      <c r="J98" s="12">
        <f t="shared" si="51"/>
        <v>9796</v>
      </c>
      <c r="K98" s="12">
        <f t="shared" si="51"/>
        <v>0</v>
      </c>
      <c r="L98" s="12">
        <f t="shared" si="51"/>
        <v>3608</v>
      </c>
      <c r="M98" s="12">
        <f t="shared" si="51"/>
        <v>6081</v>
      </c>
      <c r="N98" s="12">
        <f t="shared" si="51"/>
        <v>-1639</v>
      </c>
      <c r="O98" s="12">
        <f t="shared" si="51"/>
        <v>0</v>
      </c>
      <c r="P98" s="12">
        <f t="shared" si="51"/>
        <v>634</v>
      </c>
      <c r="Q98" s="13">
        <f t="shared" si="51"/>
        <v>7186</v>
      </c>
      <c r="R98" s="12">
        <f t="shared" si="51"/>
        <v>0</v>
      </c>
      <c r="S98" s="12">
        <f t="shared" si="51"/>
        <v>0</v>
      </c>
      <c r="V98" s="12">
        <f t="shared" ref="V98:AE98" si="52">SUM(V83:V97)</f>
        <v>7521</v>
      </c>
      <c r="W98" s="12">
        <f t="shared" si="52"/>
        <v>11272</v>
      </c>
      <c r="X98" s="12">
        <f t="shared" si="52"/>
        <v>1023</v>
      </c>
      <c r="Y98" s="12">
        <f t="shared" si="52"/>
        <v>10333</v>
      </c>
      <c r="Z98" s="12">
        <f t="shared" si="52"/>
        <v>13079</v>
      </c>
      <c r="AA98" s="12">
        <f t="shared" si="52"/>
        <v>16508</v>
      </c>
      <c r="AB98" s="12">
        <f t="shared" si="52"/>
        <v>12410</v>
      </c>
      <c r="AC98" s="12">
        <f t="shared" si="52"/>
        <v>12202</v>
      </c>
      <c r="AD98" s="12">
        <f t="shared" si="52"/>
        <v>28245</v>
      </c>
      <c r="AE98" s="12">
        <f t="shared" si="52"/>
        <v>18485</v>
      </c>
    </row>
    <row r="99" spans="3:32" x14ac:dyDescent="0.25">
      <c r="C99" s="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3"/>
      <c r="R99" s="12"/>
      <c r="S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3:32" x14ac:dyDescent="0.25">
      <c r="C100" s="11" t="s">
        <v>151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32"/>
      <c r="R100" s="11"/>
      <c r="S100" s="11"/>
      <c r="T100" s="11"/>
      <c r="U100" s="11"/>
      <c r="V100" s="11"/>
      <c r="W100" s="23">
        <f t="shared" ref="W100:AE100" si="53">(W102-V102)/V102</f>
        <v>0.17499411718566163</v>
      </c>
      <c r="X100" s="23">
        <f t="shared" si="53"/>
        <v>0.17436582109479307</v>
      </c>
      <c r="Y100" s="23">
        <f t="shared" si="53"/>
        <v>-0.16695088676671213</v>
      </c>
      <c r="Z100" s="23">
        <f t="shared" si="53"/>
        <v>0.53155919481405667</v>
      </c>
      <c r="AA100" s="23">
        <f t="shared" si="53"/>
        <v>0.20102472711071509</v>
      </c>
      <c r="AB100" s="23">
        <f t="shared" si="53"/>
        <v>0.28237563527098714</v>
      </c>
      <c r="AC100" s="23">
        <f t="shared" si="53"/>
        <v>-4.5271775289999712E-2</v>
      </c>
      <c r="AD100" s="23">
        <f t="shared" si="53"/>
        <v>0.15752636044115864</v>
      </c>
      <c r="AE100" s="23">
        <f t="shared" si="53"/>
        <v>0.11650917467214617</v>
      </c>
      <c r="AF100" s="24">
        <f>(AF102-AE102)/AE102</f>
        <v>0.21911192385239367</v>
      </c>
    </row>
    <row r="101" spans="3:32" x14ac:dyDescent="0.25"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5"/>
      <c r="R101" s="14"/>
      <c r="S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3:32" x14ac:dyDescent="0.25">
      <c r="C102" s="2" t="s">
        <v>124</v>
      </c>
      <c r="D102" s="14">
        <v>-6801</v>
      </c>
      <c r="E102" s="14">
        <v>-6309</v>
      </c>
      <c r="F102" s="14">
        <v>-10052</v>
      </c>
      <c r="G102" s="14"/>
      <c r="H102" s="14">
        <v>-8772</v>
      </c>
      <c r="I102" s="14">
        <v>-7305</v>
      </c>
      <c r="J102" s="14">
        <v>-9193</v>
      </c>
      <c r="K102" s="14"/>
      <c r="L102" s="14">
        <v>-7714</v>
      </c>
      <c r="M102" s="14">
        <v>-8203</v>
      </c>
      <c r="N102" s="14">
        <v>-9820</v>
      </c>
      <c r="O102" s="14"/>
      <c r="P102" s="14">
        <v>-13783</v>
      </c>
      <c r="Q102" s="15">
        <v>-10951</v>
      </c>
      <c r="R102" s="14"/>
      <c r="S102" s="14"/>
      <c r="V102" s="14">
        <v>-12749</v>
      </c>
      <c r="W102" s="14">
        <v>-14980</v>
      </c>
      <c r="X102" s="14">
        <v>-17592</v>
      </c>
      <c r="Y102" s="14">
        <v>-14655</v>
      </c>
      <c r="Z102" s="14">
        <v>-22445</v>
      </c>
      <c r="AA102" s="14">
        <v>-26957</v>
      </c>
      <c r="AB102" s="14">
        <v>-34569</v>
      </c>
      <c r="AC102" s="14">
        <v>-33004</v>
      </c>
      <c r="AD102" s="14">
        <v>-38203</v>
      </c>
      <c r="AE102" s="14">
        <v>-42654</v>
      </c>
      <c r="AF102" s="15">
        <v>-52000</v>
      </c>
    </row>
    <row r="103" spans="3:32" x14ac:dyDescent="0.25">
      <c r="C103" s="2" t="s">
        <v>125</v>
      </c>
      <c r="D103" s="14">
        <v>1862</v>
      </c>
      <c r="E103" s="14">
        <v>25</v>
      </c>
      <c r="F103" s="14">
        <v>22033</v>
      </c>
      <c r="G103" s="14"/>
      <c r="H103" s="14">
        <v>-20</v>
      </c>
      <c r="I103" s="14">
        <v>138</v>
      </c>
      <c r="J103" s="14">
        <v>6103</v>
      </c>
      <c r="K103" s="14"/>
      <c r="L103" s="14">
        <v>-743</v>
      </c>
      <c r="M103" s="14">
        <v>-6</v>
      </c>
      <c r="N103" s="14">
        <v>167</v>
      </c>
      <c r="O103" s="14"/>
      <c r="P103" s="14">
        <v>2685</v>
      </c>
      <c r="Q103" s="15">
        <v>4323</v>
      </c>
      <c r="R103" s="14"/>
      <c r="S103" s="14"/>
      <c r="V103" s="14">
        <v>1753</v>
      </c>
      <c r="W103" s="14">
        <v>7105</v>
      </c>
      <c r="X103" s="14">
        <v>16333</v>
      </c>
      <c r="Y103" s="14">
        <v>19639</v>
      </c>
      <c r="Z103" s="14">
        <v>3424</v>
      </c>
      <c r="AA103" s="14">
        <v>123</v>
      </c>
      <c r="AB103" s="14">
        <v>20946</v>
      </c>
      <c r="AC103" s="14">
        <v>24052</v>
      </c>
      <c r="AD103" s="14">
        <v>8189</v>
      </c>
      <c r="AE103" s="14">
        <v>4471</v>
      </c>
    </row>
    <row r="104" spans="3:32" x14ac:dyDescent="0.25">
      <c r="C104" s="2" t="s">
        <v>153</v>
      </c>
      <c r="D104" s="14">
        <v>-19</v>
      </c>
      <c r="E104" s="14">
        <v>-26</v>
      </c>
      <c r="F104" s="14">
        <v>-3373</v>
      </c>
      <c r="G104" s="14"/>
      <c r="H104" s="14">
        <v>2</v>
      </c>
      <c r="I104" s="14">
        <v>-32</v>
      </c>
      <c r="J104" s="14">
        <v>-3</v>
      </c>
      <c r="K104" s="14"/>
      <c r="L104" s="14">
        <v>-1908</v>
      </c>
      <c r="M104" s="14">
        <v>941</v>
      </c>
      <c r="N104" s="14">
        <v>1</v>
      </c>
      <c r="O104" s="14"/>
      <c r="P104" s="14">
        <v>0</v>
      </c>
      <c r="Q104" s="15">
        <v>2</v>
      </c>
      <c r="R104" s="14"/>
      <c r="S104" s="14"/>
      <c r="V104" s="14">
        <v>0</v>
      </c>
      <c r="W104" s="14">
        <v>-16</v>
      </c>
      <c r="X104" s="14">
        <v>-83</v>
      </c>
      <c r="Y104" s="14">
        <v>-5602</v>
      </c>
      <c r="Z104" s="14">
        <v>-764</v>
      </c>
      <c r="AA104" s="14">
        <v>0</v>
      </c>
      <c r="AB104" s="14">
        <v>-2431</v>
      </c>
      <c r="AC104" s="14">
        <f>-3406+99</f>
        <v>-3307</v>
      </c>
      <c r="AD104" s="14">
        <v>-3</v>
      </c>
      <c r="AE104" s="14">
        <v>942</v>
      </c>
    </row>
    <row r="105" spans="3:32" x14ac:dyDescent="0.25">
      <c r="C105" s="2" t="s">
        <v>126</v>
      </c>
      <c r="D105" s="14">
        <v>1</v>
      </c>
      <c r="E105" s="14">
        <v>44</v>
      </c>
      <c r="F105" s="14">
        <v>138</v>
      </c>
      <c r="G105" s="14"/>
      <c r="H105" s="14">
        <v>3</v>
      </c>
      <c r="I105" s="14">
        <v>-124</v>
      </c>
      <c r="J105" s="14">
        <v>0</v>
      </c>
      <c r="K105" s="14"/>
      <c r="L105" s="14">
        <v>2258</v>
      </c>
      <c r="M105" s="14">
        <v>-162</v>
      </c>
      <c r="N105" s="14">
        <v>-1</v>
      </c>
      <c r="O105" s="14"/>
      <c r="P105" s="14">
        <v>-6936</v>
      </c>
      <c r="Q105" s="15">
        <v>-227</v>
      </c>
      <c r="R105" s="14"/>
      <c r="S105" s="14"/>
      <c r="V105" s="14">
        <v>261</v>
      </c>
      <c r="W105" s="14">
        <v>1999</v>
      </c>
      <c r="X105" s="14">
        <v>588</v>
      </c>
      <c r="Y105" s="14">
        <v>363</v>
      </c>
      <c r="Z105" s="14">
        <v>-89</v>
      </c>
      <c r="AA105" s="14">
        <v>18914</v>
      </c>
      <c r="AB105" s="14">
        <v>-147</v>
      </c>
      <c r="AC105" s="14">
        <v>16</v>
      </c>
      <c r="AD105" s="14">
        <v>-124</v>
      </c>
      <c r="AE105" s="14">
        <v>-163</v>
      </c>
    </row>
    <row r="106" spans="3:32" x14ac:dyDescent="0.25">
      <c r="C106" s="2" t="s">
        <v>127</v>
      </c>
      <c r="D106" s="14">
        <v>-813</v>
      </c>
      <c r="E106" s="14">
        <v>3</v>
      </c>
      <c r="F106" s="14">
        <v>5</v>
      </c>
      <c r="G106" s="14"/>
      <c r="H106" s="14">
        <v>-7911</v>
      </c>
      <c r="I106" s="14">
        <v>4</v>
      </c>
      <c r="J106" s="14">
        <v>-5612</v>
      </c>
      <c r="K106" s="14"/>
      <c r="L106" s="2">
        <v>0</v>
      </c>
      <c r="M106" s="14">
        <v>-4097</v>
      </c>
      <c r="N106" s="14">
        <v>-5018</v>
      </c>
      <c r="O106" s="14"/>
      <c r="P106" s="14">
        <v>6384</v>
      </c>
      <c r="Q106" s="15">
        <v>-1777</v>
      </c>
      <c r="R106" s="14"/>
      <c r="S106" s="14"/>
      <c r="V106" s="14">
        <v>48</v>
      </c>
      <c r="W106" s="14">
        <v>32</v>
      </c>
      <c r="X106" s="14">
        <v>0</v>
      </c>
      <c r="Y106" s="14">
        <v>-78</v>
      </c>
      <c r="Z106" s="14">
        <v>-5</v>
      </c>
      <c r="AA106" s="14">
        <v>-6</v>
      </c>
      <c r="AB106" s="14">
        <v>-9</v>
      </c>
      <c r="AC106" s="14">
        <v>-9414</v>
      </c>
      <c r="AD106" s="14">
        <v>-18285</v>
      </c>
      <c r="AE106" s="14">
        <v>-11588</v>
      </c>
    </row>
    <row r="107" spans="3:32" x14ac:dyDescent="0.25">
      <c r="C107" s="2" t="s">
        <v>128</v>
      </c>
      <c r="D107" s="14">
        <v>992</v>
      </c>
      <c r="E107" s="14">
        <v>-206</v>
      </c>
      <c r="F107" s="14">
        <v>-820</v>
      </c>
      <c r="G107" s="14"/>
      <c r="H107" s="14">
        <v>2013</v>
      </c>
      <c r="I107" s="14">
        <v>-4355</v>
      </c>
      <c r="J107" s="14">
        <v>6967</v>
      </c>
      <c r="K107" s="14"/>
      <c r="L107" s="2">
        <v>0</v>
      </c>
      <c r="M107" s="14">
        <v>2719</v>
      </c>
      <c r="N107" s="14">
        <v>7607</v>
      </c>
      <c r="O107" s="14"/>
      <c r="P107" s="14">
        <v>0</v>
      </c>
      <c r="Q107" s="15">
        <v>4188</v>
      </c>
      <c r="R107" s="14"/>
      <c r="S107" s="14"/>
      <c r="V107" s="14">
        <v>-8119</v>
      </c>
      <c r="W107" s="14">
        <v>-8278</v>
      </c>
      <c r="X107" s="14">
        <v>28</v>
      </c>
      <c r="Y107" s="14">
        <v>0</v>
      </c>
      <c r="Z107" s="14">
        <v>-20503</v>
      </c>
      <c r="AA107" s="14">
        <v>-19862</v>
      </c>
      <c r="AB107" s="14">
        <v>-8098</v>
      </c>
      <c r="AC107" s="14">
        <v>3780</v>
      </c>
      <c r="AD107" s="14">
        <v>13935</v>
      </c>
      <c r="AE107" s="14">
        <v>27318</v>
      </c>
    </row>
    <row r="108" spans="3:32" x14ac:dyDescent="0.25">
      <c r="C108" s="2" t="s">
        <v>164</v>
      </c>
      <c r="D108" s="14">
        <v>-2</v>
      </c>
      <c r="E108" s="14">
        <v>475</v>
      </c>
      <c r="F108" s="14">
        <v>927</v>
      </c>
      <c r="G108" s="14"/>
      <c r="H108" s="14">
        <v>-13</v>
      </c>
      <c r="I108" s="14">
        <v>3779</v>
      </c>
      <c r="J108" s="14">
        <v>-10</v>
      </c>
      <c r="K108" s="14"/>
      <c r="L108" s="14">
        <v>-58</v>
      </c>
      <c r="M108" s="14">
        <v>82</v>
      </c>
      <c r="N108" s="14">
        <v>33</v>
      </c>
      <c r="O108" s="14"/>
      <c r="P108" s="14">
        <v>-2</v>
      </c>
      <c r="Q108" s="15">
        <v>0</v>
      </c>
      <c r="R108" s="14"/>
      <c r="S108" s="14"/>
      <c r="V108" s="14">
        <v>11356</v>
      </c>
      <c r="W108" s="14">
        <v>12842</v>
      </c>
      <c r="X108" s="14">
        <v>-21162</v>
      </c>
      <c r="Y108" s="14">
        <v>-40444</v>
      </c>
      <c r="Z108" s="14">
        <v>29452</v>
      </c>
      <c r="AA108" s="14">
        <v>11212</v>
      </c>
      <c r="AB108" s="14">
        <v>11656</v>
      </c>
      <c r="AC108" s="14">
        <v>-4</v>
      </c>
      <c r="AD108" s="14">
        <v>-13</v>
      </c>
      <c r="AE108" s="14">
        <v>-134</v>
      </c>
    </row>
    <row r="109" spans="3:32" x14ac:dyDescent="0.25">
      <c r="C109" s="2" t="s">
        <v>129</v>
      </c>
      <c r="D109" s="14">
        <v>-30</v>
      </c>
      <c r="E109" s="14">
        <v>-16</v>
      </c>
      <c r="F109" s="14">
        <v>20</v>
      </c>
      <c r="G109" s="14"/>
      <c r="H109" s="14">
        <v>14</v>
      </c>
      <c r="I109" s="14">
        <v>3</v>
      </c>
      <c r="J109" s="14">
        <v>-9</v>
      </c>
      <c r="K109" s="14"/>
      <c r="L109" s="14">
        <v>104</v>
      </c>
      <c r="M109" s="14">
        <v>-39</v>
      </c>
      <c r="N109" s="14">
        <v>-2</v>
      </c>
      <c r="O109" s="14"/>
      <c r="P109" s="14">
        <v>0</v>
      </c>
      <c r="Q109" s="15">
        <v>-4</v>
      </c>
      <c r="R109" s="14"/>
      <c r="S109" s="14"/>
      <c r="V109" s="14">
        <v>-8</v>
      </c>
      <c r="W109" s="14">
        <v>3</v>
      </c>
      <c r="X109" s="14">
        <v>11965</v>
      </c>
      <c r="Y109" s="14">
        <v>39849</v>
      </c>
      <c r="Z109" s="14">
        <v>-88</v>
      </c>
      <c r="AA109" s="14">
        <v>15</v>
      </c>
      <c r="AB109" s="14">
        <v>53</v>
      </c>
      <c r="AC109" s="14">
        <v>-54</v>
      </c>
      <c r="AD109" s="14">
        <v>-247</v>
      </c>
      <c r="AE109" s="14">
        <v>22</v>
      </c>
    </row>
    <row r="110" spans="3:32" x14ac:dyDescent="0.25">
      <c r="C110" s="2" t="s">
        <v>130</v>
      </c>
      <c r="D110" s="14">
        <v>0</v>
      </c>
      <c r="E110" s="2">
        <f>-2</f>
        <v>-2</v>
      </c>
      <c r="F110" s="14">
        <f>-22-6</f>
        <v>-28</v>
      </c>
      <c r="G110" s="14"/>
      <c r="H110" s="14">
        <v>0</v>
      </c>
      <c r="I110" s="14">
        <v>-121</v>
      </c>
      <c r="J110" s="14">
        <v>12</v>
      </c>
      <c r="K110" s="14"/>
      <c r="L110" s="14">
        <v>0</v>
      </c>
      <c r="M110" s="14">
        <v>0</v>
      </c>
      <c r="N110" s="14">
        <v>20</v>
      </c>
      <c r="O110" s="14"/>
      <c r="P110" s="14">
        <v>-37</v>
      </c>
      <c r="Q110" s="15">
        <v>34</v>
      </c>
      <c r="R110" s="14"/>
      <c r="S110" s="14"/>
      <c r="V110" s="14">
        <v>13</v>
      </c>
      <c r="W110" s="14">
        <v>190</v>
      </c>
      <c r="X110" s="14">
        <v>-145</v>
      </c>
      <c r="Y110" s="14">
        <v>-100</v>
      </c>
      <c r="Z110" s="14">
        <v>21</v>
      </c>
      <c r="AA110" s="14">
        <v>-1</v>
      </c>
      <c r="AB110" s="14">
        <v>-21</v>
      </c>
      <c r="AC110" s="14">
        <v>23</v>
      </c>
      <c r="AD110" s="14">
        <v>19</v>
      </c>
      <c r="AE110" s="14">
        <v>27</v>
      </c>
    </row>
    <row r="111" spans="3:32" x14ac:dyDescent="0.25">
      <c r="C111" s="1" t="s">
        <v>131</v>
      </c>
      <c r="D111" s="12">
        <f t="shared" ref="D111:P111" si="54">SUM(D102:D110)</f>
        <v>-4810</v>
      </c>
      <c r="E111" s="12">
        <f>SUM(E102:E110)</f>
        <v>-6012</v>
      </c>
      <c r="F111" s="12">
        <f>SUM(F102:F110)</f>
        <v>8850</v>
      </c>
      <c r="G111" s="12">
        <f t="shared" si="54"/>
        <v>0</v>
      </c>
      <c r="H111" s="12">
        <f t="shared" si="54"/>
        <v>-14684</v>
      </c>
      <c r="I111" s="12">
        <f t="shared" si="54"/>
        <v>-8013</v>
      </c>
      <c r="J111" s="12">
        <f t="shared" si="54"/>
        <v>-1745</v>
      </c>
      <c r="K111" s="12">
        <f t="shared" si="54"/>
        <v>0</v>
      </c>
      <c r="L111" s="12">
        <f t="shared" si="54"/>
        <v>-8061</v>
      </c>
      <c r="M111" s="12">
        <f t="shared" si="54"/>
        <v>-8765</v>
      </c>
      <c r="N111" s="12">
        <f t="shared" si="54"/>
        <v>-7013</v>
      </c>
      <c r="O111" s="12">
        <f t="shared" si="54"/>
        <v>0</v>
      </c>
      <c r="P111" s="12">
        <f t="shared" si="54"/>
        <v>-11689</v>
      </c>
      <c r="Q111" s="13">
        <f>SUM(Q102:Q110)</f>
        <v>-4412</v>
      </c>
      <c r="R111" s="12">
        <f t="shared" ref="R111:S111" si="55">SUM(R102:R110)</f>
        <v>0</v>
      </c>
      <c r="S111" s="12">
        <f t="shared" si="55"/>
        <v>0</v>
      </c>
      <c r="V111" s="12">
        <f t="shared" ref="V111" si="56">SUM(V102:V110)</f>
        <v>-7445</v>
      </c>
      <c r="W111" s="12">
        <f t="shared" ref="W111" si="57">SUM(W102:W110)</f>
        <v>-1103</v>
      </c>
      <c r="X111" s="12">
        <f t="shared" ref="X111" si="58">SUM(X102:X110)</f>
        <v>-10068</v>
      </c>
      <c r="Y111" s="12">
        <f t="shared" ref="Y111" si="59">SUM(Y102:Y110)</f>
        <v>-1028</v>
      </c>
      <c r="Z111" s="12">
        <f t="shared" ref="Z111" si="60">SUM(Z102:Z110)</f>
        <v>-10997</v>
      </c>
      <c r="AA111" s="12">
        <f t="shared" ref="AA111" si="61">SUM(AA102:AA110)</f>
        <v>-16562</v>
      </c>
      <c r="AB111" s="12">
        <f t="shared" ref="AB111" si="62">SUM(AB102:AB110)</f>
        <v>-12620</v>
      </c>
      <c r="AC111" s="12">
        <f t="shared" ref="AC111" si="63">SUM(AC102:AC110)</f>
        <v>-17912</v>
      </c>
      <c r="AD111" s="12">
        <f t="shared" ref="AD111" si="64">SUM(AD102:AD110)</f>
        <v>-34732</v>
      </c>
      <c r="AE111" s="12">
        <f t="shared" ref="AE111" si="65">SUM(AE102:AE110)</f>
        <v>-21759</v>
      </c>
    </row>
    <row r="112" spans="3:32" x14ac:dyDescent="0.25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5"/>
      <c r="R112" s="14"/>
      <c r="S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3:31" x14ac:dyDescent="0.25">
      <c r="C113" s="2" t="s">
        <v>132</v>
      </c>
      <c r="D113" s="14">
        <v>6559</v>
      </c>
      <c r="E113" s="14">
        <v>13804</v>
      </c>
      <c r="F113" s="14">
        <v>14075</v>
      </c>
      <c r="G113" s="14"/>
      <c r="H113" s="14">
        <v>14854</v>
      </c>
      <c r="I113" s="14">
        <v>1241</v>
      </c>
      <c r="J113" s="14">
        <v>1459</v>
      </c>
      <c r="K113" s="14"/>
      <c r="L113" s="14">
        <v>8744</v>
      </c>
      <c r="M113" s="14">
        <v>-4399</v>
      </c>
      <c r="N113" s="14">
        <v>12477</v>
      </c>
      <c r="O113" s="14"/>
      <c r="P113" s="14">
        <v>52</v>
      </c>
      <c r="Q113" s="15">
        <v>2387</v>
      </c>
      <c r="R113" s="14"/>
      <c r="S113" s="14"/>
      <c r="V113" s="14">
        <v>406</v>
      </c>
      <c r="W113" s="14">
        <v>0</v>
      </c>
      <c r="X113" s="14">
        <v>5468</v>
      </c>
      <c r="Y113" s="14">
        <v>0</v>
      </c>
      <c r="Z113" s="14">
        <v>3406</v>
      </c>
      <c r="AA113" s="14">
        <v>3406</v>
      </c>
      <c r="AB113" s="14">
        <v>14582</v>
      </c>
      <c r="AC113" s="14">
        <v>37090</v>
      </c>
      <c r="AD113" s="14">
        <v>17584</v>
      </c>
      <c r="AE113" s="14">
        <v>9990</v>
      </c>
    </row>
    <row r="114" spans="3:31" x14ac:dyDescent="0.25">
      <c r="C114" s="2" t="s">
        <v>133</v>
      </c>
      <c r="D114" s="14">
        <v>-6923</v>
      </c>
      <c r="E114" s="14">
        <v>-6052</v>
      </c>
      <c r="F114" s="14">
        <v>-8897</v>
      </c>
      <c r="G114" s="14"/>
      <c r="H114" s="14">
        <v>-549</v>
      </c>
      <c r="I114" s="14">
        <v>-57</v>
      </c>
      <c r="J114" s="14">
        <v>-52</v>
      </c>
      <c r="K114" s="14"/>
      <c r="L114" s="14">
        <v>-2197</v>
      </c>
      <c r="M114" s="14">
        <v>-658</v>
      </c>
      <c r="N114" s="14">
        <v>-478</v>
      </c>
      <c r="O114" s="14"/>
      <c r="P114" s="14">
        <v>-3628</v>
      </c>
      <c r="Q114" s="15">
        <v>-2058</v>
      </c>
      <c r="R114" s="14"/>
      <c r="S114" s="14"/>
      <c r="V114" s="14">
        <v>-848</v>
      </c>
      <c r="W114" s="14">
        <v>-11097</v>
      </c>
      <c r="X114" s="14">
        <v>-4069</v>
      </c>
      <c r="Y114" s="14">
        <v>-6429</v>
      </c>
      <c r="Z114" s="14">
        <v>-2398</v>
      </c>
      <c r="AA114" s="14">
        <v>-2398</v>
      </c>
      <c r="AB114" s="14">
        <v>-4435</v>
      </c>
      <c r="AC114" s="14">
        <v>-22595</v>
      </c>
      <c r="AD114" s="14">
        <v>-1580</v>
      </c>
      <c r="AE114" s="14">
        <v>-3407</v>
      </c>
    </row>
    <row r="115" spans="3:31" x14ac:dyDescent="0.25">
      <c r="C115" s="2" t="s">
        <v>134</v>
      </c>
      <c r="D115" s="14">
        <v>-173</v>
      </c>
      <c r="E115" s="14">
        <v>-123</v>
      </c>
      <c r="F115" s="14">
        <v>-106</v>
      </c>
      <c r="G115" s="14"/>
      <c r="H115" s="14">
        <v>-188</v>
      </c>
      <c r="I115" s="14">
        <v>-159</v>
      </c>
      <c r="J115" s="14">
        <v>-99</v>
      </c>
      <c r="K115" s="14"/>
      <c r="L115" s="14">
        <v>-248</v>
      </c>
      <c r="M115" s="14">
        <v>-97</v>
      </c>
      <c r="N115" s="14">
        <v>-166</v>
      </c>
      <c r="O115" s="14"/>
      <c r="P115" s="14">
        <v>-274</v>
      </c>
      <c r="Q115" s="15">
        <v>-153</v>
      </c>
      <c r="R115" s="14"/>
      <c r="S115" s="14"/>
      <c r="V115" s="14" t="s">
        <v>150</v>
      </c>
      <c r="W115" s="14">
        <v>-640</v>
      </c>
      <c r="X115" s="14">
        <v>-640</v>
      </c>
      <c r="Y115" s="14">
        <v>-545</v>
      </c>
      <c r="Z115" s="14">
        <v>-541</v>
      </c>
      <c r="AA115" s="14">
        <v>-541</v>
      </c>
      <c r="AB115" s="14">
        <v>-520</v>
      </c>
      <c r="AC115" s="14">
        <v>-582</v>
      </c>
      <c r="AD115" s="14">
        <v>-712</v>
      </c>
      <c r="AE115" s="14">
        <v>-736</v>
      </c>
    </row>
    <row r="116" spans="3:31" x14ac:dyDescent="0.25">
      <c r="C116" s="2" t="s">
        <v>135</v>
      </c>
      <c r="D116" s="14">
        <v>-150</v>
      </c>
      <c r="E116" s="14">
        <v>-164</v>
      </c>
      <c r="F116" s="14">
        <v>0</v>
      </c>
      <c r="G116" s="14"/>
      <c r="H116" s="14">
        <v>-145</v>
      </c>
      <c r="I116" s="14">
        <v>-43</v>
      </c>
      <c r="J116" s="14">
        <v>0</v>
      </c>
      <c r="K116" s="14"/>
      <c r="L116" s="14">
        <v>-161</v>
      </c>
      <c r="M116" s="14">
        <v>0</v>
      </c>
      <c r="N116" s="14">
        <v>-36</v>
      </c>
      <c r="O116" s="14"/>
      <c r="P116" s="14">
        <v>-151</v>
      </c>
      <c r="Q116" s="15">
        <v>0</v>
      </c>
      <c r="R116" s="14"/>
      <c r="S116" s="14"/>
      <c r="V116" s="14">
        <v>-4476</v>
      </c>
      <c r="W116" s="14">
        <v>0</v>
      </c>
      <c r="X116" s="14">
        <v>3668</v>
      </c>
      <c r="Y116" s="14">
        <v>0</v>
      </c>
      <c r="Z116" s="14">
        <v>-488</v>
      </c>
      <c r="AA116" s="14">
        <v>-488</v>
      </c>
      <c r="AB116" s="14">
        <v>-430</v>
      </c>
      <c r="AC116" s="14">
        <v>-529</v>
      </c>
      <c r="AD116" s="14">
        <v>-546</v>
      </c>
      <c r="AE116" s="14">
        <v>-687</v>
      </c>
    </row>
    <row r="117" spans="3:31" x14ac:dyDescent="0.25">
      <c r="C117" s="2" t="s">
        <v>165</v>
      </c>
      <c r="D117" s="14">
        <v>0</v>
      </c>
      <c r="E117" s="14">
        <v>-5252</v>
      </c>
      <c r="F117" s="14">
        <v>0</v>
      </c>
      <c r="G117" s="14"/>
      <c r="H117" s="14">
        <v>-5673</v>
      </c>
      <c r="I117" s="14">
        <v>-699</v>
      </c>
      <c r="J117" s="14">
        <v>0</v>
      </c>
      <c r="K117" s="14"/>
      <c r="L117" s="14">
        <v>-1840</v>
      </c>
      <c r="M117" s="14">
        <v>0</v>
      </c>
      <c r="N117" s="14">
        <v>-1867</v>
      </c>
      <c r="O117" s="14"/>
      <c r="P117" s="14">
        <v>0</v>
      </c>
      <c r="Q117" s="15">
        <v>0</v>
      </c>
      <c r="R117" s="14"/>
      <c r="S117" s="14"/>
      <c r="V117" s="14">
        <v>4424</v>
      </c>
      <c r="W117" s="14">
        <v>0</v>
      </c>
      <c r="X117" s="14">
        <v>-2521</v>
      </c>
      <c r="Y117" s="14">
        <v>-3781</v>
      </c>
      <c r="Z117" s="14">
        <v>0</v>
      </c>
      <c r="AA117" s="14">
        <v>0</v>
      </c>
      <c r="AB117" s="14">
        <v>-2971</v>
      </c>
      <c r="AC117" s="14">
        <v>-1945</v>
      </c>
      <c r="AD117" s="14">
        <v>-699</v>
      </c>
      <c r="AE117" s="14">
        <v>-3707</v>
      </c>
    </row>
    <row r="118" spans="3:31" x14ac:dyDescent="0.25">
      <c r="C118" s="2" t="s">
        <v>136</v>
      </c>
      <c r="D118" s="14">
        <v>-43</v>
      </c>
      <c r="E118" s="14">
        <v>158</v>
      </c>
      <c r="F118" s="14">
        <v>0</v>
      </c>
      <c r="G118" s="14"/>
      <c r="H118" s="14">
        <v>-142</v>
      </c>
      <c r="I118" s="14">
        <v>0</v>
      </c>
      <c r="J118" s="14">
        <v>0</v>
      </c>
      <c r="K118" s="14"/>
      <c r="L118" s="14">
        <v>5520</v>
      </c>
      <c r="M118" s="14">
        <v>0</v>
      </c>
      <c r="N118" s="14">
        <v>0</v>
      </c>
      <c r="O118" s="14"/>
      <c r="P118" s="14">
        <v>0</v>
      </c>
      <c r="Q118" s="15">
        <v>0</v>
      </c>
      <c r="R118" s="14"/>
      <c r="S118" s="14"/>
      <c r="V118" s="14">
        <v>0</v>
      </c>
      <c r="W118" s="14">
        <v>-53</v>
      </c>
      <c r="X118" s="14">
        <v>0</v>
      </c>
      <c r="Y118" s="14">
        <v>-48</v>
      </c>
      <c r="Z118" s="14">
        <v>0</v>
      </c>
      <c r="AA118" s="14">
        <v>0</v>
      </c>
      <c r="AB118" s="14">
        <v>7327</v>
      </c>
      <c r="AC118" s="14">
        <v>3693</v>
      </c>
      <c r="AD118" s="14">
        <v>0</v>
      </c>
      <c r="AE118" s="14">
        <v>5520</v>
      </c>
    </row>
    <row r="119" spans="3:31" x14ac:dyDescent="0.25">
      <c r="C119" s="2" t="s">
        <v>137</v>
      </c>
      <c r="D119" s="14">
        <v>-51</v>
      </c>
      <c r="E119" s="14">
        <v>-86</v>
      </c>
      <c r="F119" s="14">
        <v>0</v>
      </c>
      <c r="G119" s="14"/>
      <c r="H119" s="14">
        <v>-104</v>
      </c>
      <c r="I119" s="14">
        <v>-2216</v>
      </c>
      <c r="J119" s="14">
        <v>0</v>
      </c>
      <c r="K119" s="14"/>
      <c r="L119" s="14">
        <v>-170</v>
      </c>
      <c r="M119" s="14">
        <v>1979</v>
      </c>
      <c r="N119" s="14">
        <v>0</v>
      </c>
      <c r="O119" s="14"/>
      <c r="P119" s="14">
        <v>-556</v>
      </c>
      <c r="Q119" s="15">
        <v>-468</v>
      </c>
      <c r="R119" s="14"/>
      <c r="S119" s="14"/>
      <c r="V119" s="14">
        <v>-621</v>
      </c>
      <c r="W119" s="14">
        <v>-527</v>
      </c>
      <c r="X119" s="14">
        <v>-431</v>
      </c>
      <c r="Y119" s="14">
        <v>-391</v>
      </c>
      <c r="Z119" s="14">
        <v>-4410</v>
      </c>
      <c r="AA119" s="14">
        <v>-4410</v>
      </c>
      <c r="AB119" s="14">
        <v>-4830</v>
      </c>
      <c r="AC119" s="14">
        <v>-5252</v>
      </c>
      <c r="AD119" s="14">
        <v>-7061</v>
      </c>
      <c r="AE119" s="14">
        <v>9863</v>
      </c>
    </row>
    <row r="120" spans="3:31" x14ac:dyDescent="0.25">
      <c r="C120" s="2" t="s">
        <v>138</v>
      </c>
      <c r="D120" s="14">
        <v>-11140</v>
      </c>
      <c r="E120" s="14">
        <v>-10087</v>
      </c>
      <c r="F120" s="14">
        <v>112</v>
      </c>
      <c r="G120" s="14"/>
      <c r="H120" s="14">
        <v>-7878</v>
      </c>
      <c r="I120" s="14">
        <v>-4</v>
      </c>
      <c r="J120" s="14">
        <v>-4494</v>
      </c>
      <c r="K120" s="14"/>
      <c r="L120" s="14">
        <v>26</v>
      </c>
      <c r="M120" s="14">
        <v>121</v>
      </c>
      <c r="N120" s="14">
        <v>-157</v>
      </c>
      <c r="O120" s="14"/>
      <c r="P120" s="14">
        <v>-37</v>
      </c>
      <c r="Q120" s="15">
        <v>-30</v>
      </c>
      <c r="R120" s="14"/>
      <c r="S120" s="14"/>
      <c r="V120" s="14">
        <v>-23</v>
      </c>
      <c r="W120" s="14">
        <v>28</v>
      </c>
      <c r="X120" s="14">
        <v>0</v>
      </c>
      <c r="Y120" s="14">
        <v>78</v>
      </c>
      <c r="Z120" s="14">
        <v>-58</v>
      </c>
      <c r="AA120" s="14">
        <v>-58</v>
      </c>
      <c r="AB120" s="14">
        <v>332</v>
      </c>
      <c r="AC120" s="14">
        <v>1170</v>
      </c>
      <c r="AD120" s="14">
        <v>-182</v>
      </c>
      <c r="AE120" s="14">
        <v>78</v>
      </c>
    </row>
    <row r="121" spans="3:31" x14ac:dyDescent="0.25">
      <c r="C121" s="2" t="s">
        <v>139</v>
      </c>
      <c r="D121" s="14">
        <v>11659</v>
      </c>
      <c r="E121" s="14">
        <v>13765</v>
      </c>
      <c r="F121" s="14">
        <v>-70</v>
      </c>
      <c r="G121" s="14"/>
      <c r="H121" s="14">
        <v>5883</v>
      </c>
      <c r="I121" s="14">
        <v>-4642</v>
      </c>
      <c r="J121" s="14">
        <v>-9</v>
      </c>
      <c r="K121" s="14"/>
      <c r="L121" s="14">
        <v>-2944</v>
      </c>
      <c r="M121" s="14">
        <v>-2897</v>
      </c>
      <c r="N121" s="14">
        <v>124</v>
      </c>
      <c r="O121" s="14"/>
      <c r="P121" s="14">
        <v>-4576</v>
      </c>
      <c r="Q121" s="15">
        <v>-4865</v>
      </c>
      <c r="R121" s="14"/>
      <c r="S121" s="14"/>
      <c r="V121" s="14"/>
      <c r="X121" s="14">
        <v>-11</v>
      </c>
      <c r="Y121" s="14">
        <v>422</v>
      </c>
      <c r="Z121" s="14">
        <v>-428</v>
      </c>
      <c r="AA121" s="14">
        <v>-428</v>
      </c>
      <c r="AB121" s="14">
        <v>289</v>
      </c>
      <c r="AC121" s="14">
        <v>-523</v>
      </c>
      <c r="AD121" s="14">
        <v>-21829</v>
      </c>
      <c r="AE121" s="14">
        <v>-13400</v>
      </c>
    </row>
    <row r="122" spans="3:31" x14ac:dyDescent="0.25">
      <c r="C122" s="2" t="s">
        <v>140</v>
      </c>
      <c r="D122" s="14">
        <v>1028</v>
      </c>
      <c r="E122" s="14">
        <v>-1949</v>
      </c>
      <c r="F122" s="14">
        <v>-19873</v>
      </c>
      <c r="G122" s="14"/>
      <c r="H122" s="14">
        <v>1801</v>
      </c>
      <c r="I122" s="14">
        <v>4606</v>
      </c>
      <c r="J122" s="14">
        <v>-4907</v>
      </c>
      <c r="K122" s="14"/>
      <c r="L122" s="14">
        <v>2613</v>
      </c>
      <c r="M122" s="14">
        <v>2505</v>
      </c>
      <c r="N122" s="14">
        <v>-2674</v>
      </c>
      <c r="O122" s="14"/>
      <c r="P122" s="14">
        <v>5313</v>
      </c>
      <c r="Q122" s="15">
        <v>6781</v>
      </c>
      <c r="R122" s="14"/>
      <c r="S122" s="14"/>
      <c r="V122" s="14"/>
      <c r="W122" s="14"/>
      <c r="X122" s="14"/>
      <c r="Y122" s="14"/>
      <c r="Z122" s="14">
        <v>101</v>
      </c>
      <c r="AA122" s="14">
        <v>101</v>
      </c>
      <c r="AB122" s="14">
        <v>-23034</v>
      </c>
      <c r="AC122" s="14">
        <v>-48885</v>
      </c>
      <c r="AD122" s="14">
        <v>19515</v>
      </c>
      <c r="AE122" s="14">
        <v>12166</v>
      </c>
    </row>
    <row r="123" spans="3:31" x14ac:dyDescent="0.25">
      <c r="C123" s="2" t="s">
        <v>141</v>
      </c>
      <c r="D123" s="14">
        <v>0</v>
      </c>
      <c r="E123" s="14">
        <v>0</v>
      </c>
      <c r="F123" s="14">
        <v>19615</v>
      </c>
      <c r="G123" s="14"/>
      <c r="H123" s="14">
        <v>0</v>
      </c>
      <c r="I123" s="14">
        <v>-243</v>
      </c>
      <c r="J123" s="14">
        <f>4182-407</f>
        <v>3775</v>
      </c>
      <c r="K123" s="14"/>
      <c r="L123" s="14">
        <v>-230</v>
      </c>
      <c r="M123" s="14">
        <v>505</v>
      </c>
      <c r="N123" s="14">
        <f>2791-48</f>
        <v>2743</v>
      </c>
      <c r="O123" s="14"/>
      <c r="P123" s="14">
        <v>-16</v>
      </c>
      <c r="Q123" s="15">
        <v>-107</v>
      </c>
      <c r="R123" s="14"/>
      <c r="S123" s="14"/>
      <c r="V123" s="14"/>
      <c r="W123" s="14"/>
      <c r="X123" s="14"/>
      <c r="Y123" s="14"/>
      <c r="Z123" s="14">
        <v>2691</v>
      </c>
      <c r="AA123" s="14">
        <v>2691</v>
      </c>
      <c r="AB123" s="14">
        <v>17082</v>
      </c>
      <c r="AC123" s="14">
        <v>52143</v>
      </c>
      <c r="AD123" s="14">
        <f>1448-5673</f>
        <v>-4225</v>
      </c>
      <c r="AE123" s="14">
        <v>163</v>
      </c>
    </row>
    <row r="124" spans="3:31" x14ac:dyDescent="0.25">
      <c r="C124" s="1" t="s">
        <v>142</v>
      </c>
      <c r="D124" s="12">
        <f t="shared" ref="D124:P124" si="66">SUM(D113:D123)</f>
        <v>766</v>
      </c>
      <c r="E124" s="12">
        <f t="shared" si="66"/>
        <v>4014</v>
      </c>
      <c r="F124" s="12">
        <f t="shared" si="66"/>
        <v>4856</v>
      </c>
      <c r="G124" s="12">
        <f t="shared" si="66"/>
        <v>0</v>
      </c>
      <c r="H124" s="12">
        <f t="shared" si="66"/>
        <v>7859</v>
      </c>
      <c r="I124" s="12">
        <f t="shared" si="66"/>
        <v>-2216</v>
      </c>
      <c r="J124" s="12">
        <f t="shared" si="66"/>
        <v>-4327</v>
      </c>
      <c r="K124" s="12">
        <f t="shared" si="66"/>
        <v>0</v>
      </c>
      <c r="L124" s="12">
        <f t="shared" si="66"/>
        <v>9113</v>
      </c>
      <c r="M124" s="12">
        <f t="shared" si="66"/>
        <v>-2941</v>
      </c>
      <c r="N124" s="12">
        <f t="shared" si="66"/>
        <v>9966</v>
      </c>
      <c r="O124" s="12">
        <f t="shared" si="66"/>
        <v>0</v>
      </c>
      <c r="P124" s="12">
        <f t="shared" si="66"/>
        <v>-3873</v>
      </c>
      <c r="Q124" s="13">
        <f>SUM(Q113:Q123)</f>
        <v>1487</v>
      </c>
      <c r="R124" s="12">
        <f t="shared" ref="R124:S124" si="67">SUM(R113:R123)</f>
        <v>0</v>
      </c>
      <c r="S124" s="12">
        <f t="shared" si="67"/>
        <v>0</v>
      </c>
      <c r="V124" s="12">
        <f t="shared" ref="V124" si="68">SUM(V113:V123)</f>
        <v>-1138</v>
      </c>
      <c r="W124" s="12">
        <f t="shared" ref="W124" si="69">SUM(W113:W123)</f>
        <v>-12289</v>
      </c>
      <c r="X124" s="12">
        <f t="shared" ref="X124" si="70">SUM(X113:X123)</f>
        <v>1464</v>
      </c>
      <c r="Y124" s="12">
        <f t="shared" ref="Y124" si="71">SUM(Y113:Y123)</f>
        <v>-10694</v>
      </c>
      <c r="Z124" s="12">
        <f t="shared" ref="Z124" si="72">SUM(Z113:Z123)</f>
        <v>-2125</v>
      </c>
      <c r="AA124" s="12">
        <f t="shared" ref="AA124" si="73">SUM(AA113:AA123)</f>
        <v>-2125</v>
      </c>
      <c r="AB124" s="12">
        <f t="shared" ref="AB124" si="74">SUM(AB113:AB123)</f>
        <v>3392</v>
      </c>
      <c r="AC124" s="12">
        <f t="shared" ref="AC124" si="75">SUM(AC113:AC123)</f>
        <v>13785</v>
      </c>
      <c r="AD124" s="12">
        <f t="shared" ref="AD124" si="76">SUM(AD113:AD123)</f>
        <v>265</v>
      </c>
      <c r="AE124" s="12">
        <f t="shared" ref="AE124" si="77">SUM(AE113:AE123)</f>
        <v>15843</v>
      </c>
    </row>
    <row r="125" spans="3:31" x14ac:dyDescent="0.25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3"/>
      <c r="R125" s="14"/>
      <c r="S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spans="3:31" x14ac:dyDescent="0.25">
      <c r="C126" s="2" t="s">
        <v>143</v>
      </c>
      <c r="D126" s="14">
        <v>15</v>
      </c>
      <c r="E126" s="14">
        <v>71</v>
      </c>
      <c r="F126" s="14">
        <v>-97</v>
      </c>
      <c r="G126" s="14"/>
      <c r="H126" s="14">
        <v>102</v>
      </c>
      <c r="I126" s="14">
        <v>74</v>
      </c>
      <c r="J126" s="14">
        <v>93</v>
      </c>
      <c r="K126" s="14"/>
      <c r="L126" s="14">
        <v>84</v>
      </c>
      <c r="M126" s="14">
        <v>209</v>
      </c>
      <c r="N126" s="14">
        <v>-110</v>
      </c>
      <c r="O126" s="14"/>
      <c r="P126" s="14">
        <v>-365</v>
      </c>
      <c r="Q126" s="15">
        <v>-209</v>
      </c>
      <c r="R126" s="14"/>
      <c r="S126" s="14"/>
      <c r="V126" s="14">
        <v>145</v>
      </c>
      <c r="W126" s="14">
        <v>-5</v>
      </c>
      <c r="X126" s="14">
        <v>-55</v>
      </c>
      <c r="Y126" s="14">
        <v>-33</v>
      </c>
      <c r="Z126" s="14">
        <v>6</v>
      </c>
      <c r="AA126" s="14">
        <v>6</v>
      </c>
      <c r="AB126" s="14">
        <v>455</v>
      </c>
      <c r="AC126" s="14">
        <v>-236</v>
      </c>
      <c r="AD126" s="14">
        <v>-96</v>
      </c>
      <c r="AE126" s="14">
        <v>540</v>
      </c>
    </row>
    <row r="127" spans="3:31" x14ac:dyDescent="0.25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5"/>
      <c r="R127" s="14"/>
      <c r="S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spans="3:31" x14ac:dyDescent="0.25">
      <c r="C128" s="2" t="s">
        <v>144</v>
      </c>
      <c r="D128" s="14">
        <f t="shared" ref="D128:S128" si="78">D98+D111+D124+D126</f>
        <v>-4066</v>
      </c>
      <c r="E128" s="14">
        <f t="shared" si="78"/>
        <v>428</v>
      </c>
      <c r="F128" s="14">
        <f t="shared" si="78"/>
        <v>2300</v>
      </c>
      <c r="G128" s="14">
        <f t="shared" si="78"/>
        <v>0</v>
      </c>
      <c r="H128" s="14">
        <f t="shared" si="78"/>
        <v>2676</v>
      </c>
      <c r="I128" s="14">
        <f t="shared" si="78"/>
        <v>-7708</v>
      </c>
      <c r="J128" s="14">
        <f t="shared" si="78"/>
        <v>3817</v>
      </c>
      <c r="K128" s="14">
        <f t="shared" si="78"/>
        <v>0</v>
      </c>
      <c r="L128" s="14">
        <f t="shared" si="78"/>
        <v>4744</v>
      </c>
      <c r="M128" s="14">
        <f t="shared" si="78"/>
        <v>-5416</v>
      </c>
      <c r="N128" s="14">
        <f t="shared" si="78"/>
        <v>1204</v>
      </c>
      <c r="O128" s="14">
        <f t="shared" si="78"/>
        <v>0</v>
      </c>
      <c r="P128" s="14">
        <f>P98+P111+P124+P126</f>
        <v>-15293</v>
      </c>
      <c r="Q128" s="15">
        <f t="shared" si="78"/>
        <v>4052</v>
      </c>
      <c r="R128" s="14">
        <f t="shared" si="78"/>
        <v>0</v>
      </c>
      <c r="S128" s="14">
        <f t="shared" si="78"/>
        <v>0</v>
      </c>
      <c r="V128" s="14">
        <f t="shared" ref="V128:AE128" si="79">V98+V111+V124+V126</f>
        <v>-917</v>
      </c>
      <c r="W128" s="14">
        <f t="shared" si="79"/>
        <v>-2125</v>
      </c>
      <c r="X128" s="14">
        <f t="shared" si="79"/>
        <v>-7636</v>
      </c>
      <c r="Y128" s="14">
        <f t="shared" si="79"/>
        <v>-1422</v>
      </c>
      <c r="Z128" s="14">
        <f t="shared" si="79"/>
        <v>-37</v>
      </c>
      <c r="AA128" s="14">
        <f t="shared" si="79"/>
        <v>-2173</v>
      </c>
      <c r="AB128" s="14">
        <f t="shared" si="79"/>
        <v>3637</v>
      </c>
      <c r="AC128" s="14">
        <f t="shared" si="79"/>
        <v>7839</v>
      </c>
      <c r="AD128" s="14">
        <f t="shared" si="79"/>
        <v>-6318</v>
      </c>
      <c r="AE128" s="14">
        <f t="shared" si="79"/>
        <v>13109</v>
      </c>
    </row>
    <row r="129" spans="3:31" x14ac:dyDescent="0.25"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5"/>
      <c r="R129" s="14"/>
      <c r="S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spans="3:31" x14ac:dyDescent="0.25">
      <c r="C130" s="2" t="s">
        <v>145</v>
      </c>
      <c r="D130" s="14">
        <f t="shared" ref="D130:S130" si="80">D98+D102</f>
        <v>-6838</v>
      </c>
      <c r="E130" s="14">
        <f t="shared" si="80"/>
        <v>-3954</v>
      </c>
      <c r="F130" s="14">
        <f t="shared" si="80"/>
        <v>-21361</v>
      </c>
      <c r="G130" s="14">
        <f t="shared" si="80"/>
        <v>0</v>
      </c>
      <c r="H130" s="14">
        <f t="shared" si="80"/>
        <v>627</v>
      </c>
      <c r="I130" s="14">
        <f t="shared" si="80"/>
        <v>-4858</v>
      </c>
      <c r="J130" s="14">
        <f t="shared" si="80"/>
        <v>603</v>
      </c>
      <c r="K130" s="14">
        <f t="shared" si="80"/>
        <v>0</v>
      </c>
      <c r="L130" s="14">
        <f t="shared" si="80"/>
        <v>-4106</v>
      </c>
      <c r="M130" s="14">
        <f t="shared" si="80"/>
        <v>-2122</v>
      </c>
      <c r="N130" s="14">
        <f t="shared" si="80"/>
        <v>-11459</v>
      </c>
      <c r="O130" s="14">
        <f t="shared" si="80"/>
        <v>0</v>
      </c>
      <c r="P130" s="14">
        <f t="shared" si="80"/>
        <v>-13149</v>
      </c>
      <c r="Q130" s="15">
        <f t="shared" si="80"/>
        <v>-3765</v>
      </c>
      <c r="R130" s="14">
        <f t="shared" si="80"/>
        <v>0</v>
      </c>
      <c r="S130" s="14">
        <f t="shared" si="80"/>
        <v>0</v>
      </c>
      <c r="V130" s="14">
        <f t="shared" ref="V130:AE130" si="81">V98+V102</f>
        <v>-5228</v>
      </c>
      <c r="W130" s="14">
        <f t="shared" si="81"/>
        <v>-3708</v>
      </c>
      <c r="X130" s="14">
        <f t="shared" si="81"/>
        <v>-16569</v>
      </c>
      <c r="Y130" s="14">
        <f t="shared" si="81"/>
        <v>-4322</v>
      </c>
      <c r="Z130" s="14">
        <f t="shared" si="81"/>
        <v>-9366</v>
      </c>
      <c r="AA130" s="14">
        <f t="shared" si="81"/>
        <v>-10449</v>
      </c>
      <c r="AB130" s="14">
        <f t="shared" si="81"/>
        <v>-22159</v>
      </c>
      <c r="AC130" s="14">
        <f t="shared" si="81"/>
        <v>-20802</v>
      </c>
      <c r="AD130" s="14">
        <f t="shared" si="81"/>
        <v>-9958</v>
      </c>
      <c r="AE130" s="14">
        <f t="shared" si="81"/>
        <v>-24169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D142-F823-A844-9684-F0711E068F51}">
  <dimension ref="B3:T42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7" sqref="P7"/>
    </sheetView>
  </sheetViews>
  <sheetFormatPr baseColWidth="10" defaultRowHeight="19" x14ac:dyDescent="0.25"/>
  <cols>
    <col min="1" max="1" width="10.83203125" style="2"/>
    <col min="2" max="2" width="33" style="2" customWidth="1"/>
    <col min="3" max="16384" width="10.83203125" style="2"/>
  </cols>
  <sheetData>
    <row r="3" spans="2:19" x14ac:dyDescent="0.25">
      <c r="B3" s="2" t="s">
        <v>66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37</v>
      </c>
      <c r="P3" s="54" t="s">
        <v>31</v>
      </c>
      <c r="Q3" s="7" t="s">
        <v>35</v>
      </c>
      <c r="R3" s="7" t="s">
        <v>36</v>
      </c>
    </row>
    <row r="4" spans="2:19" x14ac:dyDescent="0.25">
      <c r="B4" s="1" t="s">
        <v>424</v>
      </c>
    </row>
    <row r="5" spans="2:19" x14ac:dyDescent="0.25">
      <c r="B5" s="2" t="s">
        <v>425</v>
      </c>
      <c r="C5" s="2">
        <v>11.1</v>
      </c>
      <c r="D5" s="2">
        <v>11.1</v>
      </c>
      <c r="E5" s="2">
        <v>11.1</v>
      </c>
      <c r="F5" s="2">
        <v>11.1</v>
      </c>
      <c r="G5" s="2">
        <v>12</v>
      </c>
      <c r="H5" s="2">
        <v>12</v>
      </c>
      <c r="I5" s="2">
        <v>12</v>
      </c>
      <c r="J5" s="2">
        <v>15.5</v>
      </c>
      <c r="K5" s="2">
        <v>16.5</v>
      </c>
      <c r="L5" s="2">
        <v>16.8</v>
      </c>
      <c r="M5" s="2">
        <v>16.8</v>
      </c>
      <c r="N5" s="2">
        <v>16.8</v>
      </c>
      <c r="O5" s="2">
        <v>18.3</v>
      </c>
      <c r="P5" s="2">
        <v>18.3</v>
      </c>
    </row>
    <row r="6" spans="2:19" x14ac:dyDescent="0.25">
      <c r="B6" s="11" t="s">
        <v>357</v>
      </c>
      <c r="C6" s="11"/>
      <c r="D6" s="23"/>
      <c r="E6" s="23"/>
      <c r="F6" s="23"/>
      <c r="G6" s="23">
        <f t="shared" ref="G6:O6" si="0">(G5-C5)/C5</f>
        <v>8.1081081081081113E-2</v>
      </c>
      <c r="H6" s="23">
        <f t="shared" si="0"/>
        <v>8.1081081081081113E-2</v>
      </c>
      <c r="I6" s="23">
        <f t="shared" si="0"/>
        <v>8.1081081081081113E-2</v>
      </c>
      <c r="J6" s="23">
        <f t="shared" si="0"/>
        <v>0.39639639639639646</v>
      </c>
      <c r="K6" s="23">
        <f t="shared" si="0"/>
        <v>0.375</v>
      </c>
      <c r="L6" s="23">
        <f t="shared" si="0"/>
        <v>0.40000000000000008</v>
      </c>
      <c r="M6" s="23">
        <f t="shared" si="0"/>
        <v>0.40000000000000008</v>
      </c>
      <c r="N6" s="23">
        <f t="shared" si="0"/>
        <v>8.3870967741935532E-2</v>
      </c>
      <c r="O6" s="23">
        <f t="shared" si="0"/>
        <v>0.10909090909090913</v>
      </c>
      <c r="P6" s="23">
        <f>(P5-L5)/L5</f>
        <v>8.9285714285714288E-2</v>
      </c>
      <c r="Q6" s="23">
        <f t="shared" ref="Q6:R6" si="1">(Q5-M5)/M5</f>
        <v>-1</v>
      </c>
      <c r="R6" s="23">
        <f t="shared" si="1"/>
        <v>-1</v>
      </c>
      <c r="S6" s="11"/>
    </row>
    <row r="7" spans="2:19" x14ac:dyDescent="0.25">
      <c r="B7" s="2" t="s">
        <v>352</v>
      </c>
      <c r="C7" s="2">
        <v>7.6</v>
      </c>
      <c r="D7" s="2">
        <v>7.6</v>
      </c>
      <c r="E7" s="2">
        <v>8.9</v>
      </c>
      <c r="F7" s="2">
        <v>8.9</v>
      </c>
      <c r="G7" s="2">
        <v>8.9</v>
      </c>
      <c r="H7" s="2">
        <v>8.9</v>
      </c>
      <c r="I7" s="2">
        <v>8.9</v>
      </c>
      <c r="J7" s="2">
        <v>8.9</v>
      </c>
      <c r="K7" s="2">
        <v>8.9</v>
      </c>
      <c r="L7" s="2">
        <v>9.8000000000000007</v>
      </c>
      <c r="M7" s="2">
        <v>9.9</v>
      </c>
      <c r="N7" s="2">
        <v>9.9</v>
      </c>
      <c r="O7" s="2">
        <v>10.199999999999999</v>
      </c>
      <c r="P7" s="2">
        <v>10.199999999999999</v>
      </c>
    </row>
    <row r="8" spans="2:19" x14ac:dyDescent="0.25">
      <c r="B8" s="11" t="s">
        <v>357</v>
      </c>
      <c r="C8" s="11"/>
      <c r="D8" s="23"/>
      <c r="E8" s="23"/>
      <c r="F8" s="23"/>
      <c r="G8" s="23">
        <f t="shared" ref="G8" si="2">(G7-C7)/C7</f>
        <v>0.17105263157894746</v>
      </c>
      <c r="H8" s="23">
        <f t="shared" ref="H8" si="3">(H7-D7)/D7</f>
        <v>0.17105263157894746</v>
      </c>
      <c r="I8" s="23">
        <f t="shared" ref="I8" si="4">(I7-E7)/E7</f>
        <v>0</v>
      </c>
      <c r="J8" s="23">
        <f t="shared" ref="J8" si="5">(J7-F7)/F7</f>
        <v>0</v>
      </c>
      <c r="K8" s="23">
        <f t="shared" ref="K8" si="6">(K7-G7)/G7</f>
        <v>0</v>
      </c>
      <c r="L8" s="23">
        <f t="shared" ref="L8" si="7">(L7-H7)/H7</f>
        <v>0.10112359550561802</v>
      </c>
      <c r="M8" s="23">
        <f t="shared" ref="M8" si="8">(M7-I7)/I7</f>
        <v>0.11235955056179775</v>
      </c>
      <c r="N8" s="23">
        <f t="shared" ref="N8" si="9">(N7-J7)/J7</f>
        <v>0.11235955056179775</v>
      </c>
      <c r="O8" s="23">
        <f t="shared" ref="O8" si="10">(O7-K7)/K7</f>
        <v>0.14606741573033696</v>
      </c>
      <c r="P8" s="23">
        <f>(P7-L7)/L7</f>
        <v>4.0816326530612096E-2</v>
      </c>
      <c r="Q8" s="23">
        <f t="shared" ref="Q8" si="11">(Q7-M7)/M7</f>
        <v>-1</v>
      </c>
      <c r="R8" s="23">
        <f t="shared" ref="R8" si="12">(R7-N7)/N7</f>
        <v>-1</v>
      </c>
    </row>
    <row r="9" spans="2:19" x14ac:dyDescent="0.25">
      <c r="B9" s="2" t="s">
        <v>426</v>
      </c>
      <c r="C9" s="2">
        <v>4.2</v>
      </c>
      <c r="D9" s="2">
        <v>4.8</v>
      </c>
      <c r="E9" s="2">
        <v>5.3</v>
      </c>
      <c r="F9" s="2">
        <v>4.7</v>
      </c>
      <c r="G9" s="2">
        <v>4.7</v>
      </c>
      <c r="H9" s="2">
        <v>4.9000000000000004</v>
      </c>
      <c r="I9" s="2">
        <v>5</v>
      </c>
      <c r="J9" s="2">
        <v>5</v>
      </c>
      <c r="K9" s="2">
        <v>5.0999999999999996</v>
      </c>
      <c r="L9" s="2">
        <v>5.0999999999999996</v>
      </c>
      <c r="M9" s="2">
        <v>5.2</v>
      </c>
      <c r="N9" s="2">
        <v>5.3</v>
      </c>
      <c r="O9" s="2">
        <v>5.5</v>
      </c>
      <c r="P9" s="2">
        <v>5.4</v>
      </c>
    </row>
    <row r="10" spans="2:19" x14ac:dyDescent="0.25">
      <c r="B10" s="11" t="s">
        <v>357</v>
      </c>
      <c r="C10" s="11"/>
      <c r="D10" s="23"/>
      <c r="E10" s="23"/>
      <c r="F10" s="23"/>
      <c r="G10" s="23">
        <f t="shared" ref="G10" si="13">(G9-C9)/C9</f>
        <v>0.11904761904761904</v>
      </c>
      <c r="H10" s="23">
        <f t="shared" ref="H10" si="14">(H9-D9)/D9</f>
        <v>2.0833333333333447E-2</v>
      </c>
      <c r="I10" s="23">
        <f t="shared" ref="I10" si="15">(I9-E9)/E9</f>
        <v>-5.6603773584905627E-2</v>
      </c>
      <c r="J10" s="23">
        <f t="shared" ref="J10" si="16">(J9-F9)/F9</f>
        <v>6.3829787234042507E-2</v>
      </c>
      <c r="K10" s="23">
        <f t="shared" ref="K10" si="17">(K9-G9)/G9</f>
        <v>8.5106382978723291E-2</v>
      </c>
      <c r="L10" s="23">
        <f t="shared" ref="L10" si="18">(L9-H9)/H9</f>
        <v>4.0816326530612096E-2</v>
      </c>
      <c r="M10" s="23">
        <f t="shared" ref="M10" si="19">(M9-I9)/I9</f>
        <v>4.0000000000000036E-2</v>
      </c>
      <c r="N10" s="23">
        <f t="shared" ref="N10" si="20">(N9-J9)/J9</f>
        <v>5.9999999999999963E-2</v>
      </c>
      <c r="O10" s="23">
        <f t="shared" ref="O10" si="21">(O9-K9)/K9</f>
        <v>7.8431372549019676E-2</v>
      </c>
      <c r="P10" s="23">
        <f>(P9-L9)/L9</f>
        <v>5.8823529411764851E-2</v>
      </c>
      <c r="Q10" s="23">
        <f t="shared" ref="Q10" si="22">(Q9-M9)/M9</f>
        <v>-1</v>
      </c>
      <c r="R10" s="23">
        <f t="shared" ref="R10" si="23">(R9-N9)/N9</f>
        <v>-1</v>
      </c>
    </row>
    <row r="11" spans="2:19" x14ac:dyDescent="0.25">
      <c r="B11" s="2" t="s">
        <v>434</v>
      </c>
      <c r="C11" s="2">
        <v>11.3</v>
      </c>
      <c r="D11" s="2">
        <v>35</v>
      </c>
      <c r="E11" s="2">
        <v>7.7</v>
      </c>
      <c r="F11" s="2">
        <v>9.5</v>
      </c>
      <c r="G11" s="2">
        <v>10.9</v>
      </c>
      <c r="H11" s="2">
        <v>8.1</v>
      </c>
      <c r="I11" s="2">
        <v>8.6</v>
      </c>
      <c r="J11" s="2">
        <v>9.8000000000000007</v>
      </c>
      <c r="K11" s="2">
        <v>11.4</v>
      </c>
      <c r="L11" s="2">
        <v>9</v>
      </c>
      <c r="M11" s="2">
        <v>8.4</v>
      </c>
      <c r="N11" s="2">
        <v>10</v>
      </c>
      <c r="O11" s="2">
        <v>10.4</v>
      </c>
      <c r="P11" s="2">
        <v>8.5</v>
      </c>
    </row>
    <row r="12" spans="2:19" x14ac:dyDescent="0.25">
      <c r="B12" s="2" t="s">
        <v>427</v>
      </c>
      <c r="C12" s="36">
        <v>0.54</v>
      </c>
      <c r="D12" s="36">
        <v>0.35</v>
      </c>
      <c r="E12" s="36">
        <v>0.28000000000000003</v>
      </c>
      <c r="F12" s="36">
        <v>0.42</v>
      </c>
      <c r="G12" s="36">
        <v>0.53</v>
      </c>
      <c r="H12" s="36">
        <v>0.28999999999999998</v>
      </c>
      <c r="I12" s="36">
        <v>0.33</v>
      </c>
      <c r="J12" s="36">
        <v>0.43</v>
      </c>
      <c r="K12" s="36">
        <v>0.52</v>
      </c>
      <c r="L12" s="36">
        <v>0.33</v>
      </c>
      <c r="M12" s="36">
        <v>0.31</v>
      </c>
      <c r="N12" s="36">
        <v>0.42</v>
      </c>
      <c r="O12" s="36">
        <v>0.47</v>
      </c>
      <c r="P12" s="36">
        <v>0.31</v>
      </c>
      <c r="Q12" s="36"/>
      <c r="R12" s="36"/>
    </row>
    <row r="13" spans="2:19" x14ac:dyDescent="0.25">
      <c r="B13" s="2" t="s">
        <v>446</v>
      </c>
      <c r="C13" s="36">
        <v>0.95</v>
      </c>
      <c r="D13" s="36">
        <v>0.94</v>
      </c>
      <c r="E13" s="36">
        <v>0.91</v>
      </c>
      <c r="F13" s="36">
        <v>0.94</v>
      </c>
      <c r="G13" s="36">
        <v>0.95</v>
      </c>
      <c r="H13" s="36">
        <v>0.91</v>
      </c>
      <c r="I13" s="36">
        <v>0.93</v>
      </c>
      <c r="J13" s="36">
        <v>0.93</v>
      </c>
      <c r="K13" s="36">
        <v>0.85</v>
      </c>
      <c r="L13" s="36">
        <v>0.83</v>
      </c>
      <c r="M13" s="36">
        <v>0.89</v>
      </c>
      <c r="N13" s="36">
        <v>0.88</v>
      </c>
      <c r="O13" s="36">
        <v>0.94</v>
      </c>
      <c r="P13" s="36">
        <v>0.9</v>
      </c>
      <c r="Q13" s="36"/>
      <c r="R13" s="36"/>
    </row>
    <row r="14" spans="2:19" x14ac:dyDescent="0.25">
      <c r="B14" s="1" t="s">
        <v>433</v>
      </c>
      <c r="C14" s="12">
        <v>4502</v>
      </c>
      <c r="D14" s="12">
        <v>3324</v>
      </c>
      <c r="E14" s="12">
        <v>3246</v>
      </c>
      <c r="F14" s="12">
        <f>16483-C14-D14-E14</f>
        <v>5411</v>
      </c>
      <c r="G14" s="12">
        <v>5162</v>
      </c>
      <c r="H14" s="12">
        <v>3044</v>
      </c>
      <c r="I14" s="12">
        <v>3544</v>
      </c>
      <c r="J14" s="12">
        <f>17761-G14-H14-I14</f>
        <v>6011</v>
      </c>
      <c r="K14" s="12">
        <v>5670</v>
      </c>
      <c r="L14" s="12">
        <v>3667</v>
      </c>
      <c r="M14" s="12">
        <v>3522</v>
      </c>
      <c r="N14" s="12">
        <f>18599-K14-L14-M14</f>
        <v>5740</v>
      </c>
      <c r="O14" s="12">
        <v>5470</v>
      </c>
      <c r="P14" s="12">
        <v>3646</v>
      </c>
      <c r="Q14" s="12"/>
      <c r="R14" s="12"/>
    </row>
    <row r="15" spans="2:19" x14ac:dyDescent="0.25">
      <c r="B15" s="11" t="s">
        <v>357</v>
      </c>
      <c r="C15" s="11"/>
      <c r="D15" s="23"/>
      <c r="E15" s="23"/>
      <c r="F15" s="23"/>
      <c r="G15" s="23">
        <f t="shared" ref="G15" si="24">(G14-C14)/C14</f>
        <v>0.14660151043980454</v>
      </c>
      <c r="H15" s="23">
        <f t="shared" ref="H15" si="25">(H14-D14)/D14</f>
        <v>-8.4235860409145602E-2</v>
      </c>
      <c r="I15" s="23">
        <f t="shared" ref="I15" si="26">(I14-E14)/E14</f>
        <v>9.1805298829328405E-2</v>
      </c>
      <c r="J15" s="23">
        <f t="shared" ref="J15" si="27">(J14-F14)/F14</f>
        <v>0.11088523378303455</v>
      </c>
      <c r="K15" s="23">
        <f t="shared" ref="K15" si="28">(K14-G14)/G14</f>
        <v>9.8411468423091827E-2</v>
      </c>
      <c r="L15" s="23">
        <f t="shared" ref="L15" si="29">(L14-H14)/H14</f>
        <v>0.20466491458607097</v>
      </c>
      <c r="M15" s="23">
        <f t="shared" ref="M15" si="30">(M14-I14)/I14</f>
        <v>-6.207674943566591E-3</v>
      </c>
      <c r="N15" s="23">
        <f t="shared" ref="N15" si="31">(N14-J14)/J14</f>
        <v>-4.5084012643486944E-2</v>
      </c>
      <c r="O15" s="23">
        <f t="shared" ref="O15" si="32">(O14-K14)/K14</f>
        <v>-3.5273368606701938E-2</v>
      </c>
      <c r="P15" s="23">
        <f>(P14-L14)/L14</f>
        <v>-5.7267521134442322E-3</v>
      </c>
      <c r="Q15" s="23">
        <f t="shared" ref="Q15" si="33">(Q14-M14)/M14</f>
        <v>-1</v>
      </c>
      <c r="R15" s="23">
        <f t="shared" ref="R15" si="34">(R14-N14)/N14</f>
        <v>-1</v>
      </c>
    </row>
    <row r="16" spans="2:19" x14ac:dyDescent="0.25">
      <c r="B16" s="48" t="s">
        <v>428</v>
      </c>
      <c r="C16" s="49">
        <v>641</v>
      </c>
      <c r="D16" s="49">
        <v>385</v>
      </c>
      <c r="E16" s="49">
        <v>423</v>
      </c>
      <c r="F16" s="49"/>
      <c r="G16" s="49">
        <v>599</v>
      </c>
      <c r="H16" s="49">
        <v>371</v>
      </c>
      <c r="I16" s="49">
        <v>377</v>
      </c>
      <c r="J16" s="49"/>
      <c r="K16" s="49">
        <v>690</v>
      </c>
      <c r="L16" s="49">
        <v>418</v>
      </c>
      <c r="M16" s="49">
        <v>356</v>
      </c>
      <c r="N16" s="49"/>
      <c r="O16" s="49">
        <v>564</v>
      </c>
      <c r="P16" s="49">
        <v>345</v>
      </c>
      <c r="Q16" s="49"/>
      <c r="R16" s="49"/>
    </row>
    <row r="17" spans="2:20" x14ac:dyDescent="0.25">
      <c r="B17" s="48" t="s">
        <v>188</v>
      </c>
      <c r="C17" s="49">
        <v>2862</v>
      </c>
      <c r="D17" s="49">
        <v>2284</v>
      </c>
      <c r="E17" s="49">
        <v>2212</v>
      </c>
      <c r="F17" s="49"/>
      <c r="G17" s="49">
        <v>3416</v>
      </c>
      <c r="H17" s="49">
        <v>1779</v>
      </c>
      <c r="I17" s="49">
        <v>2259</v>
      </c>
      <c r="J17" s="49"/>
      <c r="K17" s="49">
        <v>3142</v>
      </c>
      <c r="L17" s="49">
        <v>2029</v>
      </c>
      <c r="M17" s="49">
        <v>2122</v>
      </c>
      <c r="N17" s="49"/>
      <c r="O17" s="49">
        <v>3019</v>
      </c>
      <c r="P17" s="49">
        <v>2100</v>
      </c>
      <c r="Q17" s="49"/>
      <c r="R17" s="49"/>
    </row>
    <row r="18" spans="2:20" x14ac:dyDescent="0.25">
      <c r="B18" s="48" t="s">
        <v>378</v>
      </c>
      <c r="C18" s="49">
        <v>565</v>
      </c>
      <c r="D18" s="49">
        <v>372</v>
      </c>
      <c r="E18" s="49">
        <v>387</v>
      </c>
      <c r="F18" s="49"/>
      <c r="G18" s="49">
        <v>566</v>
      </c>
      <c r="H18" s="49">
        <v>398</v>
      </c>
      <c r="I18" s="49">
        <v>379</v>
      </c>
      <c r="J18" s="49"/>
      <c r="K18" s="49">
        <v>753</v>
      </c>
      <c r="L18" s="49">
        <v>434</v>
      </c>
      <c r="M18" s="49">
        <v>467</v>
      </c>
      <c r="N18" s="49"/>
      <c r="O18" s="49">
        <v>623</v>
      </c>
      <c r="P18" s="49">
        <v>417</v>
      </c>
      <c r="Q18" s="49"/>
      <c r="R18" s="49"/>
    </row>
    <row r="19" spans="2:20" x14ac:dyDescent="0.25">
      <c r="B19" s="48" t="s">
        <v>429</v>
      </c>
      <c r="C19" s="49">
        <v>400</v>
      </c>
      <c r="D19" s="49">
        <v>262</v>
      </c>
      <c r="E19" s="49">
        <v>197</v>
      </c>
      <c r="F19" s="49"/>
      <c r="G19" s="49">
        <v>412</v>
      </c>
      <c r="H19" s="49">
        <v>288</v>
      </c>
      <c r="I19" s="49">
        <v>259</v>
      </c>
      <c r="J19" s="49"/>
      <c r="K19" s="49">
        <v>444</v>
      </c>
      <c r="L19" s="49">
        <v>269</v>
      </c>
      <c r="M19" s="49">
        <v>258</v>
      </c>
      <c r="N19" s="49"/>
      <c r="O19" s="49">
        <v>276</v>
      </c>
      <c r="P19" s="49">
        <v>270</v>
      </c>
      <c r="Q19" s="49"/>
      <c r="R19" s="49"/>
    </row>
    <row r="20" spans="2:20" x14ac:dyDescent="0.25">
      <c r="B20" s="48" t="s">
        <v>430</v>
      </c>
      <c r="C20" s="49">
        <v>0</v>
      </c>
      <c r="D20" s="49">
        <v>1</v>
      </c>
      <c r="E20" s="2">
        <v>0</v>
      </c>
      <c r="F20" s="49"/>
      <c r="G20" s="49">
        <v>141</v>
      </c>
      <c r="H20" s="49">
        <v>190</v>
      </c>
      <c r="I20" s="49">
        <v>254</v>
      </c>
      <c r="J20" s="49"/>
      <c r="K20" s="49">
        <v>579</v>
      </c>
      <c r="L20" s="49">
        <v>447</v>
      </c>
      <c r="M20" s="49">
        <v>271</v>
      </c>
      <c r="N20" s="49"/>
      <c r="O20" s="49">
        <v>880</v>
      </c>
      <c r="P20" s="49">
        <v>413</v>
      </c>
      <c r="Q20" s="49"/>
      <c r="R20" s="49"/>
    </row>
    <row r="21" spans="2:20" x14ac:dyDescent="0.25">
      <c r="B21" s="48" t="s">
        <v>403</v>
      </c>
      <c r="C21" s="49">
        <v>34</v>
      </c>
      <c r="D21" s="49">
        <v>20</v>
      </c>
      <c r="E21" s="49">
        <v>27</v>
      </c>
      <c r="F21" s="49"/>
      <c r="G21" s="49">
        <v>28</v>
      </c>
      <c r="H21" s="49">
        <v>18</v>
      </c>
      <c r="I21" s="49">
        <v>16</v>
      </c>
      <c r="J21" s="49"/>
      <c r="K21" s="49">
        <v>61</v>
      </c>
      <c r="L21" s="49">
        <v>70</v>
      </c>
      <c r="M21" s="49">
        <v>48</v>
      </c>
      <c r="N21" s="49"/>
      <c r="O21" s="49">
        <v>108</v>
      </c>
      <c r="P21" s="49">
        <v>101</v>
      </c>
      <c r="Q21" s="49"/>
      <c r="R21" s="49"/>
    </row>
    <row r="22" spans="2:20" x14ac:dyDescent="0.25">
      <c r="B22" s="2" t="s">
        <v>435</v>
      </c>
      <c r="C22" s="14">
        <v>9166</v>
      </c>
      <c r="D22" s="14">
        <v>7416</v>
      </c>
      <c r="E22" s="14">
        <v>5600</v>
      </c>
      <c r="F22" s="14">
        <f>23194-C22-D22-E22</f>
        <v>1012</v>
      </c>
      <c r="G22" s="14">
        <v>10642</v>
      </c>
      <c r="H22" s="14">
        <v>6739</v>
      </c>
      <c r="I22" s="14">
        <v>3948</v>
      </c>
      <c r="J22" s="14">
        <f>21448-G22-H22-I22</f>
        <v>119</v>
      </c>
      <c r="K22" s="14">
        <v>6264</v>
      </c>
      <c r="L22" s="14">
        <v>3854</v>
      </c>
      <c r="M22" s="14">
        <v>4010</v>
      </c>
      <c r="N22" s="14">
        <f>19967-K22-L22-M22</f>
        <v>5839</v>
      </c>
      <c r="O22" s="14">
        <v>4816</v>
      </c>
      <c r="P22" s="14">
        <v>3686</v>
      </c>
      <c r="Q22" s="14"/>
      <c r="R22" s="14"/>
    </row>
    <row r="23" spans="2:20" x14ac:dyDescent="0.25">
      <c r="B23" s="11" t="s">
        <v>357</v>
      </c>
      <c r="C23" s="11"/>
      <c r="D23" s="23"/>
      <c r="E23" s="23"/>
      <c r="F23" s="23"/>
      <c r="G23" s="23">
        <f t="shared" ref="G23" si="35">(G22-C22)/C22</f>
        <v>0.16102989308313331</v>
      </c>
      <c r="H23" s="23">
        <f t="shared" ref="H23" si="36">(H22-D22)/D22</f>
        <v>-9.1289104638619195E-2</v>
      </c>
      <c r="I23" s="23">
        <f t="shared" ref="I23" si="37">(I22-E22)/E22</f>
        <v>-0.29499999999999998</v>
      </c>
      <c r="J23" s="23">
        <f t="shared" ref="J23" si="38">(J22-F22)/F22</f>
        <v>-0.8824110671936759</v>
      </c>
      <c r="K23" s="23">
        <f t="shared" ref="K23" si="39">(K22-G22)/G22</f>
        <v>-0.41138883668483367</v>
      </c>
      <c r="L23" s="23">
        <f t="shared" ref="L23" si="40">(L22-H22)/H22</f>
        <v>-0.42810506009793736</v>
      </c>
      <c r="M23" s="23">
        <f t="shared" ref="M23" si="41">(M22-I22)/I22</f>
        <v>1.5704154002026342E-2</v>
      </c>
      <c r="N23" s="23">
        <f t="shared" ref="N23" si="42">(N22-J22)/J22</f>
        <v>48.067226890756302</v>
      </c>
      <c r="O23" s="23">
        <f t="shared" ref="O23" si="43">(O22-K22)/K22</f>
        <v>-0.23116219667943805</v>
      </c>
      <c r="P23" s="23">
        <f>(P22-L22)/L22</f>
        <v>-4.3591074208614425E-2</v>
      </c>
      <c r="Q23" s="23">
        <f t="shared" ref="Q23" si="44">(Q22-M22)/M22</f>
        <v>-1</v>
      </c>
      <c r="R23" s="23">
        <f t="shared" ref="R23" si="45">(R22-N22)/N22</f>
        <v>-1</v>
      </c>
    </row>
    <row r="24" spans="2:20" ht="20" thickBot="1" x14ac:dyDescent="0.3">
      <c r="B24" s="50" t="s">
        <v>432</v>
      </c>
      <c r="C24" s="50">
        <v>251</v>
      </c>
      <c r="D24" s="50">
        <v>188</v>
      </c>
      <c r="E24" s="50">
        <v>361</v>
      </c>
      <c r="F24" s="50"/>
      <c r="G24" s="50">
        <v>145</v>
      </c>
      <c r="H24" s="50">
        <v>105</v>
      </c>
      <c r="I24" s="50">
        <v>98</v>
      </c>
      <c r="J24" s="50"/>
      <c r="K24" s="50">
        <v>77</v>
      </c>
      <c r="L24" s="50">
        <v>79</v>
      </c>
      <c r="M24" s="50">
        <v>80</v>
      </c>
      <c r="N24" s="50"/>
      <c r="O24" s="50">
        <v>129</v>
      </c>
      <c r="P24" s="50">
        <v>90</v>
      </c>
      <c r="Q24" s="50"/>
      <c r="R24" s="50"/>
      <c r="S24" s="50"/>
    </row>
    <row r="25" spans="2:20" x14ac:dyDescent="0.25">
      <c r="B25" s="1" t="s">
        <v>436</v>
      </c>
    </row>
    <row r="26" spans="2:20" x14ac:dyDescent="0.25">
      <c r="B26" s="1" t="s">
        <v>437</v>
      </c>
      <c r="C26" s="12">
        <v>19806</v>
      </c>
      <c r="D26" s="12">
        <v>17336</v>
      </c>
      <c r="E26" s="12">
        <v>25057</v>
      </c>
      <c r="F26" s="12"/>
      <c r="G26" s="12">
        <v>22144</v>
      </c>
      <c r="H26" s="12">
        <v>11522</v>
      </c>
      <c r="I26" s="12">
        <v>14265</v>
      </c>
      <c r="J26" s="12"/>
      <c r="K26" s="12">
        <v>13991</v>
      </c>
      <c r="L26" s="12">
        <v>11526</v>
      </c>
      <c r="M26" s="12">
        <v>12088</v>
      </c>
      <c r="N26" s="12"/>
      <c r="O26" s="12">
        <v>14637</v>
      </c>
      <c r="P26" s="12">
        <v>13371</v>
      </c>
      <c r="Q26" s="12"/>
      <c r="R26" s="12"/>
    </row>
    <row r="27" spans="2:20" x14ac:dyDescent="0.25">
      <c r="B27" s="11" t="s">
        <v>357</v>
      </c>
      <c r="C27" s="11"/>
      <c r="D27" s="23"/>
      <c r="E27" s="23"/>
      <c r="F27" s="23"/>
      <c r="G27" s="23">
        <f t="shared" ref="G27" si="46">(G26-C26)/C26</f>
        <v>0.11804503685751792</v>
      </c>
      <c r="H27" s="23">
        <f t="shared" ref="H27" si="47">(H26-D26)/D26</f>
        <v>-0.3353714813105676</v>
      </c>
      <c r="I27" s="23">
        <f t="shared" ref="I27" si="48">(I26-E26)/E26</f>
        <v>-0.43069800854052759</v>
      </c>
      <c r="J27" s="23" t="e">
        <f t="shared" ref="J27" si="49">(J26-F26)/F26</f>
        <v>#DIV/0!</v>
      </c>
      <c r="K27" s="23">
        <f t="shared" ref="K27" si="50">(K26-G26)/G26</f>
        <v>-0.3681809971098266</v>
      </c>
      <c r="L27" s="23">
        <f t="shared" ref="L27" si="51">(L26-H26)/H26</f>
        <v>3.4716195105016491E-4</v>
      </c>
      <c r="M27" s="23">
        <f t="shared" ref="M27" si="52">(M26-I26)/I26</f>
        <v>-0.15261128636522958</v>
      </c>
      <c r="N27" s="23" t="e">
        <f t="shared" ref="N27" si="53">(N26-J26)/J26</f>
        <v>#DIV/0!</v>
      </c>
      <c r="O27" s="23">
        <f t="shared" ref="O27" si="54">(O26-K26)/K26</f>
        <v>4.6172539489671933E-2</v>
      </c>
      <c r="P27" s="23">
        <f>(P26-L26)/L26</f>
        <v>0.16007287870900572</v>
      </c>
      <c r="Q27" s="23">
        <f t="shared" ref="Q27" si="55">(Q26-M26)/M26</f>
        <v>-1</v>
      </c>
      <c r="R27" s="23" t="e">
        <f t="shared" ref="R27" si="56">(R26-N26)/N26</f>
        <v>#DIV/0!</v>
      </c>
    </row>
    <row r="28" spans="2:20" x14ac:dyDescent="0.25">
      <c r="B28" s="48" t="s">
        <v>438</v>
      </c>
      <c r="C28" s="51">
        <v>3863</v>
      </c>
      <c r="D28" s="51">
        <v>4756</v>
      </c>
      <c r="E28" s="51">
        <v>3963</v>
      </c>
      <c r="F28" s="51"/>
      <c r="G28" s="51">
        <v>5840</v>
      </c>
      <c r="H28" s="51">
        <v>4490</v>
      </c>
      <c r="I28" s="51">
        <v>4549</v>
      </c>
      <c r="J28" s="51"/>
      <c r="K28" s="51">
        <v>7373</v>
      </c>
      <c r="L28" s="51">
        <v>5339</v>
      </c>
      <c r="M28" s="51">
        <v>5302</v>
      </c>
      <c r="N28" s="51"/>
      <c r="O28" s="51">
        <v>7635</v>
      </c>
      <c r="P28" s="51">
        <v>5914</v>
      </c>
      <c r="Q28" s="51"/>
      <c r="R28" s="51"/>
      <c r="S28" s="48"/>
      <c r="T28" s="48"/>
    </row>
    <row r="29" spans="2:20" x14ac:dyDescent="0.25">
      <c r="B29" s="48" t="s">
        <v>431</v>
      </c>
      <c r="C29" s="51">
        <v>13977</v>
      </c>
      <c r="D29" s="51">
        <v>10355</v>
      </c>
      <c r="E29" s="51">
        <v>14460</v>
      </c>
      <c r="F29" s="51"/>
      <c r="G29" s="51">
        <v>15499</v>
      </c>
      <c r="H29" s="51">
        <v>6851</v>
      </c>
      <c r="I29" s="51">
        <v>3978</v>
      </c>
      <c r="J29" s="51"/>
      <c r="K29" s="51">
        <v>5582</v>
      </c>
      <c r="L29" s="51">
        <v>3680</v>
      </c>
      <c r="M29" s="51">
        <v>3034</v>
      </c>
      <c r="N29" s="51"/>
      <c r="O29" s="51">
        <v>5474</v>
      </c>
      <c r="P29" s="51">
        <v>5122</v>
      </c>
      <c r="Q29" s="51"/>
      <c r="R29" s="51"/>
      <c r="S29" s="48"/>
      <c r="T29" s="48"/>
    </row>
    <row r="30" spans="2:20" x14ac:dyDescent="0.25">
      <c r="B30" s="48" t="s">
        <v>439</v>
      </c>
      <c r="C30" s="51">
        <v>1739</v>
      </c>
      <c r="D30" s="51">
        <v>2356</v>
      </c>
      <c r="E30" s="51">
        <v>6629</v>
      </c>
      <c r="F30" s="51"/>
      <c r="G30" s="51">
        <v>572</v>
      </c>
      <c r="H30" s="51">
        <v>-14</v>
      </c>
      <c r="I30" s="51">
        <v>5247</v>
      </c>
      <c r="J30" s="51"/>
      <c r="K30" s="51">
        <v>1439</v>
      </c>
      <c r="L30" s="51">
        <v>2292</v>
      </c>
      <c r="M30" s="51">
        <v>3171</v>
      </c>
      <c r="N30" s="51"/>
      <c r="O30" s="51">
        <v>1439</v>
      </c>
      <c r="P30" s="51">
        <v>2167</v>
      </c>
      <c r="Q30" s="51"/>
      <c r="R30" s="51"/>
      <c r="S30" s="48"/>
      <c r="T30" s="48"/>
    </row>
    <row r="31" spans="2:20" x14ac:dyDescent="0.25">
      <c r="B31" s="48" t="s">
        <v>440</v>
      </c>
      <c r="C31" s="51">
        <v>227</v>
      </c>
      <c r="D31" s="51">
        <v>-131</v>
      </c>
      <c r="E31" s="51">
        <v>5</v>
      </c>
      <c r="F31" s="51"/>
      <c r="G31" s="51">
        <v>233</v>
      </c>
      <c r="H31" s="51">
        <v>195</v>
      </c>
      <c r="I31" s="51">
        <v>491</v>
      </c>
      <c r="J31" s="51"/>
      <c r="K31" s="51">
        <v>89</v>
      </c>
      <c r="L31" s="51">
        <v>215</v>
      </c>
      <c r="M31" s="51">
        <v>581</v>
      </c>
      <c r="N31" s="51"/>
      <c r="O31" s="51">
        <v>89</v>
      </c>
      <c r="P31" s="51">
        <v>168</v>
      </c>
      <c r="Q31" s="51"/>
      <c r="R31" s="51"/>
      <c r="S31" s="48"/>
      <c r="T31" s="48"/>
    </row>
    <row r="32" spans="2:20" x14ac:dyDescent="0.25">
      <c r="B32" s="1" t="s">
        <v>54</v>
      </c>
      <c r="C32" s="12">
        <v>5919</v>
      </c>
      <c r="D32" s="12">
        <v>1904</v>
      </c>
      <c r="E32" s="12">
        <v>9652</v>
      </c>
      <c r="F32" s="12"/>
      <c r="G32" s="12">
        <v>5412</v>
      </c>
      <c r="H32" s="12">
        <v>2979</v>
      </c>
      <c r="I32" s="12">
        <v>8037</v>
      </c>
      <c r="J32" s="12"/>
      <c r="K32" s="12">
        <v>6083</v>
      </c>
      <c r="L32" s="12">
        <v>5218</v>
      </c>
      <c r="M32" s="12">
        <v>8530</v>
      </c>
      <c r="N32" s="12"/>
      <c r="O32" s="12">
        <v>6310</v>
      </c>
      <c r="P32" s="12">
        <v>5301</v>
      </c>
      <c r="Q32" s="12"/>
      <c r="R32" s="12"/>
    </row>
    <row r="33" spans="2:19" x14ac:dyDescent="0.25">
      <c r="B33" s="48" t="s">
        <v>438</v>
      </c>
      <c r="C33" s="49">
        <v>3698</v>
      </c>
      <c r="D33" s="49">
        <v>2031</v>
      </c>
      <c r="E33" s="49">
        <v>467</v>
      </c>
      <c r="F33" s="49"/>
      <c r="G33" s="49">
        <v>5859</v>
      </c>
      <c r="H33" s="49">
        <v>3135</v>
      </c>
      <c r="I33" s="49">
        <v>4050</v>
      </c>
      <c r="J33" s="49"/>
      <c r="K33" s="49">
        <v>6928</v>
      </c>
      <c r="L33" s="49">
        <v>4400</v>
      </c>
      <c r="M33" s="49">
        <v>3958</v>
      </c>
      <c r="N33" s="49"/>
      <c r="O33" s="49">
        <v>7655</v>
      </c>
      <c r="P33" s="49">
        <v>4814</v>
      </c>
      <c r="Q33" s="49"/>
      <c r="R33" s="49"/>
      <c r="S33" s="48"/>
    </row>
    <row r="34" spans="2:19" x14ac:dyDescent="0.25">
      <c r="B34" s="48" t="s">
        <v>441</v>
      </c>
      <c r="C34" s="49">
        <v>2620</v>
      </c>
      <c r="D34" s="49">
        <v>601</v>
      </c>
      <c r="E34" s="49">
        <v>9765</v>
      </c>
      <c r="F34" s="49"/>
      <c r="G34" s="49">
        <v>-42</v>
      </c>
      <c r="H34" s="49">
        <v>340</v>
      </c>
      <c r="I34" s="49">
        <v>4245</v>
      </c>
      <c r="J34" s="49"/>
      <c r="K34" s="49">
        <v>-283</v>
      </c>
      <c r="L34" s="49">
        <v>6</v>
      </c>
      <c r="M34" s="49">
        <v>106</v>
      </c>
      <c r="N34" s="49"/>
      <c r="O34" s="49">
        <v>-77</v>
      </c>
      <c r="P34" s="49">
        <v>2901</v>
      </c>
      <c r="Q34" s="49"/>
      <c r="R34" s="49"/>
      <c r="S34" s="48"/>
    </row>
    <row r="35" spans="2:19" x14ac:dyDescent="0.25">
      <c r="B35" s="48" t="s">
        <v>442</v>
      </c>
      <c r="C35" s="49">
        <v>0</v>
      </c>
      <c r="D35" s="2">
        <v>0</v>
      </c>
      <c r="E35" s="49">
        <v>0</v>
      </c>
      <c r="F35" s="49"/>
      <c r="G35" s="49">
        <v>-405</v>
      </c>
      <c r="H35" s="49">
        <v>-496</v>
      </c>
      <c r="I35" s="49">
        <v>0</v>
      </c>
      <c r="J35" s="49"/>
      <c r="K35" s="49">
        <v>0</v>
      </c>
      <c r="L35" s="49">
        <v>1300</v>
      </c>
      <c r="M35" s="49">
        <v>5109</v>
      </c>
      <c r="N35" s="49"/>
      <c r="O35" s="2">
        <v>0</v>
      </c>
      <c r="P35" s="49">
        <v>-1531</v>
      </c>
      <c r="Q35" s="49"/>
      <c r="R35" s="49"/>
      <c r="S35" s="48"/>
    </row>
    <row r="36" spans="2:19" x14ac:dyDescent="0.25">
      <c r="B36" s="48" t="s">
        <v>440</v>
      </c>
      <c r="C36" s="49">
        <v>-399</v>
      </c>
      <c r="D36" s="49">
        <v>-728</v>
      </c>
      <c r="E36" s="49">
        <v>-580</v>
      </c>
      <c r="F36" s="49"/>
      <c r="G36" s="49">
        <v>-1693</v>
      </c>
      <c r="H36" s="49">
        <v>-1761</v>
      </c>
      <c r="I36" s="49">
        <v>-258</v>
      </c>
      <c r="J36" s="49"/>
      <c r="K36" s="49">
        <v>-562</v>
      </c>
      <c r="L36" s="49">
        <v>-488</v>
      </c>
      <c r="M36" s="49">
        <v>-644</v>
      </c>
      <c r="N36" s="49"/>
      <c r="O36" s="49">
        <v>-1268</v>
      </c>
      <c r="P36" s="49">
        <v>-883</v>
      </c>
      <c r="Q36" s="49"/>
      <c r="R36" s="49"/>
      <c r="S36" s="48"/>
    </row>
    <row r="37" spans="2:19" x14ac:dyDescent="0.25">
      <c r="B37" s="2" t="s">
        <v>443</v>
      </c>
      <c r="C37" s="14">
        <v>-1521</v>
      </c>
      <c r="D37" s="14">
        <v>-1671</v>
      </c>
      <c r="E37" s="14">
        <v>-1820</v>
      </c>
      <c r="F37" s="14"/>
      <c r="G37" s="14">
        <v>-1693</v>
      </c>
      <c r="H37" s="14">
        <v>-1761</v>
      </c>
      <c r="I37" s="14">
        <v>-1733</v>
      </c>
      <c r="J37" s="14"/>
      <c r="K37" s="14">
        <v>-1722</v>
      </c>
      <c r="L37" s="14">
        <v>-1809</v>
      </c>
      <c r="M37" s="14">
        <v>-1752</v>
      </c>
      <c r="N37" s="14"/>
      <c r="O37" s="14">
        <v>-1776</v>
      </c>
      <c r="P37" s="14">
        <v>-1688</v>
      </c>
      <c r="Q37" s="14"/>
      <c r="R37" s="14"/>
    </row>
    <row r="38" spans="2:19" x14ac:dyDescent="0.25">
      <c r="B38" s="2" t="s">
        <v>444</v>
      </c>
      <c r="C38" s="14">
        <v>0</v>
      </c>
      <c r="D38" s="14">
        <v>0</v>
      </c>
      <c r="E38" s="14">
        <v>0</v>
      </c>
      <c r="F38" s="14"/>
      <c r="G38" s="14">
        <v>0</v>
      </c>
      <c r="H38" s="14">
        <v>0</v>
      </c>
      <c r="I38" s="14">
        <v>-26988</v>
      </c>
      <c r="J38" s="14"/>
      <c r="K38" s="14">
        <v>1063</v>
      </c>
      <c r="L38" s="14">
        <v>-4149</v>
      </c>
      <c r="M38" s="14">
        <v>199</v>
      </c>
      <c r="N38" s="14"/>
      <c r="O38" s="14">
        <v>-224</v>
      </c>
      <c r="P38" s="14">
        <v>-500</v>
      </c>
      <c r="Q38" s="14"/>
      <c r="R38" s="14"/>
    </row>
    <row r="39" spans="2:19" x14ac:dyDescent="0.25">
      <c r="B39" s="2" t="s">
        <v>56</v>
      </c>
      <c r="C39" s="14">
        <v>4398</v>
      </c>
      <c r="D39" s="14">
        <v>233</v>
      </c>
      <c r="E39" s="14">
        <v>7832</v>
      </c>
      <c r="F39" s="14"/>
      <c r="G39" s="14">
        <v>3719</v>
      </c>
      <c r="H39" s="14">
        <v>1218</v>
      </c>
      <c r="I39" s="14">
        <v>-20684</v>
      </c>
      <c r="J39" s="14"/>
      <c r="K39" s="14">
        <v>5424</v>
      </c>
      <c r="L39" s="14">
        <v>-740</v>
      </c>
      <c r="M39" s="14">
        <v>6977</v>
      </c>
      <c r="N39" s="14"/>
      <c r="O39" s="14">
        <v>4310</v>
      </c>
      <c r="P39" s="14">
        <v>3113</v>
      </c>
      <c r="Q39" s="14"/>
      <c r="R39" s="14"/>
    </row>
    <row r="40" spans="2:19" x14ac:dyDescent="0.25">
      <c r="B40" s="2" t="s">
        <v>123</v>
      </c>
      <c r="C40" s="14">
        <v>-2206</v>
      </c>
      <c r="D40" s="14">
        <v>46</v>
      </c>
      <c r="E40" s="14">
        <v>-10296</v>
      </c>
      <c r="F40" s="14"/>
      <c r="G40" s="14">
        <v>9606</v>
      </c>
      <c r="H40" s="14">
        <v>1193</v>
      </c>
      <c r="I40" s="14">
        <v>4405</v>
      </c>
      <c r="J40" s="14"/>
      <c r="K40" s="14">
        <v>835</v>
      </c>
      <c r="L40" s="14">
        <v>1966</v>
      </c>
      <c r="M40" s="14">
        <v>-2063</v>
      </c>
      <c r="N40" s="14"/>
      <c r="O40" s="14">
        <v>-4874</v>
      </c>
      <c r="P40" s="14">
        <v>6370</v>
      </c>
      <c r="Q40" s="14"/>
      <c r="R40" s="14"/>
    </row>
    <row r="41" spans="2:19" x14ac:dyDescent="0.25">
      <c r="B41" s="2" t="s">
        <v>124</v>
      </c>
      <c r="C41" s="14">
        <v>-5548</v>
      </c>
      <c r="D41" s="14">
        <v>-5257</v>
      </c>
      <c r="E41" s="14">
        <v>-7979</v>
      </c>
      <c r="F41" s="14"/>
      <c r="G41" s="14">
        <v>-6013</v>
      </c>
      <c r="H41" s="14">
        <v>-5480</v>
      </c>
      <c r="I41" s="14">
        <v>-7430</v>
      </c>
      <c r="J41" s="14"/>
      <c r="K41" s="14">
        <v>-4989</v>
      </c>
      <c r="L41" s="14">
        <v>-6128</v>
      </c>
      <c r="M41" s="14">
        <v>-8502</v>
      </c>
      <c r="N41" s="14"/>
      <c r="O41" s="14">
        <v>-11736</v>
      </c>
      <c r="P41" s="14">
        <v>-9489</v>
      </c>
      <c r="Q41" s="14"/>
      <c r="R41" s="14"/>
    </row>
    <row r="42" spans="2:19" x14ac:dyDescent="0.25">
      <c r="B42" s="2" t="s">
        <v>445</v>
      </c>
      <c r="C42" s="14">
        <v>1945</v>
      </c>
      <c r="D42" s="14">
        <v>176</v>
      </c>
      <c r="E42" s="14">
        <v>22296</v>
      </c>
      <c r="F42" s="14"/>
      <c r="G42" s="14">
        <v>-21</v>
      </c>
      <c r="H42" s="14">
        <v>-2007</v>
      </c>
      <c r="I42" s="14">
        <v>1738</v>
      </c>
      <c r="J42" s="14"/>
      <c r="K42" s="14">
        <v>-802</v>
      </c>
      <c r="L42" s="14">
        <v>-7</v>
      </c>
      <c r="M42" s="14">
        <v>-45</v>
      </c>
      <c r="N42" s="14"/>
      <c r="O42" s="14">
        <v>105</v>
      </c>
      <c r="P42" s="14">
        <v>3822</v>
      </c>
      <c r="Q42" s="14"/>
      <c r="R42" s="1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51FF-FE96-F04D-B065-817FD1ACAF85}">
  <dimension ref="B3:T32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35" sqref="J35"/>
    </sheetView>
  </sheetViews>
  <sheetFormatPr baseColWidth="10" defaultRowHeight="19" x14ac:dyDescent="0.25"/>
  <cols>
    <col min="1" max="1" width="10.83203125" style="2"/>
    <col min="2" max="2" width="30" style="2" customWidth="1"/>
    <col min="3" max="16384" width="10.83203125" style="2"/>
  </cols>
  <sheetData>
    <row r="3" spans="2:20" x14ac:dyDescent="0.25">
      <c r="B3" s="2" t="s">
        <v>66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37</v>
      </c>
      <c r="P3" s="7" t="s">
        <v>31</v>
      </c>
      <c r="Q3" s="7" t="s">
        <v>35</v>
      </c>
      <c r="R3" s="7" t="s">
        <v>36</v>
      </c>
    </row>
    <row r="4" spans="2:20" x14ac:dyDescent="0.25">
      <c r="B4" s="1" t="s">
        <v>424</v>
      </c>
    </row>
    <row r="5" spans="2:20" x14ac:dyDescent="0.25">
      <c r="B5" s="2" t="s">
        <v>425</v>
      </c>
      <c r="C5" s="2">
        <v>4.7</v>
      </c>
      <c r="D5" s="2">
        <v>4.9000000000000004</v>
      </c>
      <c r="E5" s="2">
        <v>5.0999999999999996</v>
      </c>
      <c r="G5" s="2">
        <v>6.2</v>
      </c>
      <c r="H5" s="2">
        <v>6.2</v>
      </c>
      <c r="I5" s="2">
        <v>6.2</v>
      </c>
      <c r="K5" s="2">
        <v>6.4</v>
      </c>
      <c r="L5" s="2">
        <v>6.4</v>
      </c>
      <c r="M5" s="2">
        <v>6.4</v>
      </c>
      <c r="N5" s="2">
        <v>7</v>
      </c>
      <c r="O5" s="2">
        <v>7</v>
      </c>
      <c r="P5" s="2">
        <v>7</v>
      </c>
    </row>
    <row r="6" spans="2:20" x14ac:dyDescent="0.25">
      <c r="B6" s="11" t="s">
        <v>357</v>
      </c>
      <c r="C6" s="11"/>
      <c r="D6" s="23"/>
      <c r="E6" s="23"/>
      <c r="F6" s="23"/>
      <c r="G6" s="23">
        <f t="shared" ref="G6:O6" si="0">(G5-C5)/C5</f>
        <v>0.31914893617021273</v>
      </c>
      <c r="H6" s="23">
        <f t="shared" si="0"/>
        <v>0.26530612244897955</v>
      </c>
      <c r="I6" s="23">
        <f t="shared" si="0"/>
        <v>0.21568627450980404</v>
      </c>
      <c r="J6" s="23" t="e">
        <f t="shared" si="0"/>
        <v>#DIV/0!</v>
      </c>
      <c r="K6" s="23">
        <f t="shared" si="0"/>
        <v>3.2258064516129059E-2</v>
      </c>
      <c r="L6" s="23">
        <f t="shared" si="0"/>
        <v>3.2258064516129059E-2</v>
      </c>
      <c r="M6" s="23">
        <f t="shared" si="0"/>
        <v>3.2258064516129059E-2</v>
      </c>
      <c r="N6" s="23" t="e">
        <f t="shared" si="0"/>
        <v>#DIV/0!</v>
      </c>
      <c r="O6" s="23">
        <f t="shared" si="0"/>
        <v>9.3749999999999944E-2</v>
      </c>
      <c r="P6" s="23">
        <f>(P5-L5)/L5</f>
        <v>9.3749999999999944E-2</v>
      </c>
      <c r="Q6" s="23">
        <f t="shared" ref="Q6:R6" si="1">(Q5-M5)/M5</f>
        <v>-1</v>
      </c>
      <c r="R6" s="23">
        <f t="shared" si="1"/>
        <v>-1</v>
      </c>
    </row>
    <row r="7" spans="2:20" x14ac:dyDescent="0.25">
      <c r="B7" s="2" t="s">
        <v>352</v>
      </c>
      <c r="C7" s="2">
        <v>3.6</v>
      </c>
      <c r="D7" s="2">
        <v>4</v>
      </c>
      <c r="E7" s="2">
        <v>4.2</v>
      </c>
      <c r="G7" s="2">
        <v>4.5</v>
      </c>
      <c r="H7" s="2">
        <v>4.5999999999999996</v>
      </c>
      <c r="I7" s="2">
        <v>4.8</v>
      </c>
      <c r="K7" s="2">
        <v>4.8</v>
      </c>
      <c r="L7" s="2">
        <v>5.6</v>
      </c>
      <c r="M7" s="2">
        <v>5.7</v>
      </c>
      <c r="N7" s="2">
        <v>6.2</v>
      </c>
      <c r="O7" s="2">
        <v>6.2</v>
      </c>
      <c r="P7" s="2">
        <v>6.2</v>
      </c>
    </row>
    <row r="8" spans="2:20" x14ac:dyDescent="0.25">
      <c r="B8" s="11" t="s">
        <v>357</v>
      </c>
      <c r="C8" s="11"/>
      <c r="D8" s="23"/>
      <c r="E8" s="23"/>
      <c r="F8" s="23"/>
      <c r="G8" s="23">
        <f t="shared" ref="G8:O8" si="2">(G7-C7)/C7</f>
        <v>0.24999999999999997</v>
      </c>
      <c r="H8" s="23">
        <f t="shared" si="2"/>
        <v>0.14999999999999991</v>
      </c>
      <c r="I8" s="23">
        <f t="shared" si="2"/>
        <v>0.14285714285714277</v>
      </c>
      <c r="J8" s="23" t="e">
        <f t="shared" si="2"/>
        <v>#DIV/0!</v>
      </c>
      <c r="K8" s="23">
        <f t="shared" si="2"/>
        <v>6.6666666666666624E-2</v>
      </c>
      <c r="L8" s="23">
        <f t="shared" si="2"/>
        <v>0.21739130434782611</v>
      </c>
      <c r="M8" s="23">
        <f t="shared" si="2"/>
        <v>0.18750000000000008</v>
      </c>
      <c r="N8" s="23" t="e">
        <f t="shared" si="2"/>
        <v>#DIV/0!</v>
      </c>
      <c r="O8" s="23">
        <f t="shared" si="2"/>
        <v>0.29166666666666674</v>
      </c>
      <c r="P8" s="23">
        <f>(P7-L7)/L7</f>
        <v>0.10714285714285725</v>
      </c>
      <c r="Q8" s="23">
        <f t="shared" ref="Q8:R8" si="3">(Q7-M7)/M7</f>
        <v>-1</v>
      </c>
      <c r="R8" s="23">
        <f t="shared" si="3"/>
        <v>-1</v>
      </c>
    </row>
    <row r="9" spans="2:20" x14ac:dyDescent="0.25">
      <c r="B9" s="2" t="s">
        <v>434</v>
      </c>
      <c r="C9" s="2">
        <v>7.9</v>
      </c>
      <c r="D9" s="2">
        <v>7.8</v>
      </c>
      <c r="E9" s="2">
        <v>6</v>
      </c>
      <c r="G9" s="2">
        <v>8.1</v>
      </c>
      <c r="H9" s="2">
        <v>6.7</v>
      </c>
      <c r="I9" s="2">
        <v>6.2</v>
      </c>
      <c r="K9" s="2">
        <v>7.9</v>
      </c>
      <c r="L9" s="2">
        <v>7.4</v>
      </c>
      <c r="M9" s="2">
        <v>6.2</v>
      </c>
      <c r="N9" s="2">
        <v>7.2</v>
      </c>
      <c r="O9" s="2">
        <v>8</v>
      </c>
      <c r="P9" s="2">
        <v>7.2</v>
      </c>
    </row>
    <row r="10" spans="2:20" x14ac:dyDescent="0.25">
      <c r="B10" s="19" t="s">
        <v>447</v>
      </c>
      <c r="C10" s="10">
        <v>0.47</v>
      </c>
      <c r="D10" s="10">
        <v>0.48</v>
      </c>
      <c r="E10" s="10">
        <v>0.3</v>
      </c>
      <c r="F10" s="10"/>
      <c r="G10" s="10">
        <v>0.45</v>
      </c>
      <c r="H10" s="10">
        <v>0.35</v>
      </c>
      <c r="I10" s="10">
        <v>0.27</v>
      </c>
      <c r="J10" s="10"/>
      <c r="K10" s="10">
        <v>0.42</v>
      </c>
      <c r="L10" s="10">
        <v>0.41</v>
      </c>
      <c r="M10" s="10">
        <v>0.26</v>
      </c>
      <c r="N10" s="10">
        <v>0.37</v>
      </c>
      <c r="O10" s="10">
        <v>0.44</v>
      </c>
      <c r="P10" s="10">
        <v>0.36</v>
      </c>
      <c r="Q10" s="10"/>
      <c r="R10" s="10"/>
    </row>
    <row r="11" spans="2:20" x14ac:dyDescent="0.25">
      <c r="B11" s="19" t="s">
        <v>448</v>
      </c>
      <c r="C11" s="10">
        <v>0.21</v>
      </c>
      <c r="D11" s="10">
        <v>0.31</v>
      </c>
      <c r="E11" s="10">
        <v>0.32</v>
      </c>
      <c r="F11" s="10"/>
      <c r="G11" s="10">
        <v>0.16</v>
      </c>
      <c r="H11" s="10">
        <v>0.3</v>
      </c>
      <c r="I11" s="10">
        <v>0.32</v>
      </c>
      <c r="J11" s="10"/>
      <c r="K11" s="10">
        <v>0.18</v>
      </c>
      <c r="L11" s="10">
        <v>0.28999999999999998</v>
      </c>
      <c r="M11" s="10">
        <v>0.31</v>
      </c>
      <c r="N11" s="10">
        <v>0.25</v>
      </c>
      <c r="O11" s="10">
        <v>0.21</v>
      </c>
      <c r="P11" s="10">
        <v>0.3</v>
      </c>
      <c r="Q11" s="10"/>
      <c r="R11" s="10"/>
    </row>
    <row r="12" spans="2:20" x14ac:dyDescent="0.25">
      <c r="B12" s="19" t="s">
        <v>449</v>
      </c>
      <c r="C12" s="10">
        <v>0.96</v>
      </c>
      <c r="D12" s="10">
        <v>0.92</v>
      </c>
      <c r="E12" s="10">
        <v>0.92</v>
      </c>
      <c r="F12" s="10"/>
      <c r="G12" s="10">
        <v>0.91</v>
      </c>
      <c r="H12" s="10">
        <v>0.92</v>
      </c>
      <c r="I12" s="10">
        <v>0.85</v>
      </c>
      <c r="J12" s="10"/>
      <c r="K12" s="10">
        <v>0.89</v>
      </c>
      <c r="L12" s="10">
        <v>0.92</v>
      </c>
      <c r="M12" s="10">
        <v>0.87</v>
      </c>
      <c r="N12" s="10">
        <v>0.9</v>
      </c>
      <c r="O12" s="10">
        <v>0.91</v>
      </c>
      <c r="P12" s="10">
        <v>0.88</v>
      </c>
      <c r="Q12" s="10"/>
      <c r="R12" s="10"/>
    </row>
    <row r="13" spans="2:20" x14ac:dyDescent="0.25">
      <c r="B13" s="19" t="s">
        <v>450</v>
      </c>
      <c r="C13" s="10">
        <v>0.99</v>
      </c>
      <c r="D13" s="10">
        <v>0.99</v>
      </c>
      <c r="E13" s="10">
        <v>0.96</v>
      </c>
      <c r="F13" s="10"/>
      <c r="G13" s="10">
        <v>0.99</v>
      </c>
      <c r="H13" s="10">
        <v>0.98</v>
      </c>
      <c r="I13" s="10">
        <v>0.98</v>
      </c>
      <c r="J13" s="10"/>
      <c r="K13" s="10">
        <v>0.98</v>
      </c>
      <c r="L13" s="10">
        <v>0.97</v>
      </c>
      <c r="M13" s="10">
        <v>0.97</v>
      </c>
      <c r="N13" s="10">
        <v>0.98</v>
      </c>
      <c r="O13" s="10">
        <v>0.98</v>
      </c>
      <c r="P13" s="10">
        <v>0.91</v>
      </c>
      <c r="Q13" s="10"/>
      <c r="R13" s="10"/>
    </row>
    <row r="14" spans="2:20" x14ac:dyDescent="0.25">
      <c r="B14" s="1" t="s">
        <v>433</v>
      </c>
      <c r="C14" s="12">
        <v>3203</v>
      </c>
      <c r="D14" s="12">
        <v>3795</v>
      </c>
      <c r="E14" s="12">
        <v>2723</v>
      </c>
      <c r="F14" s="12"/>
      <c r="G14" s="12">
        <v>3750</v>
      </c>
      <c r="H14" s="12">
        <v>3321</v>
      </c>
      <c r="I14" s="12">
        <v>2927</v>
      </c>
      <c r="J14" s="12"/>
      <c r="K14" s="12">
        <v>3772</v>
      </c>
      <c r="L14" s="12">
        <v>4187</v>
      </c>
      <c r="M14" s="12">
        <v>3270</v>
      </c>
      <c r="N14" s="12">
        <f>15315-K14-L14-M14</f>
        <v>4086</v>
      </c>
      <c r="O14" s="12">
        <v>4294</v>
      </c>
      <c r="P14" s="12">
        <v>4002</v>
      </c>
      <c r="Q14" s="12"/>
      <c r="R14" s="12"/>
      <c r="S14" s="1"/>
      <c r="T14" s="1"/>
    </row>
    <row r="15" spans="2:20" x14ac:dyDescent="0.25">
      <c r="B15" s="11" t="s">
        <v>357</v>
      </c>
      <c r="C15" s="11"/>
      <c r="D15" s="23"/>
      <c r="E15" s="23"/>
      <c r="F15" s="23"/>
      <c r="G15" s="23">
        <f t="shared" ref="G15:O15" si="4">(G14-C14)/C14</f>
        <v>0.17077739619107088</v>
      </c>
      <c r="H15" s="23">
        <f t="shared" si="4"/>
        <v>-0.12490118577075099</v>
      </c>
      <c r="I15" s="23">
        <f t="shared" si="4"/>
        <v>7.4917370547190595E-2</v>
      </c>
      <c r="J15" s="23" t="e">
        <f t="shared" si="4"/>
        <v>#DIV/0!</v>
      </c>
      <c r="K15" s="23">
        <f t="shared" si="4"/>
        <v>5.8666666666666667E-3</v>
      </c>
      <c r="L15" s="23">
        <f t="shared" si="4"/>
        <v>0.26076482987052091</v>
      </c>
      <c r="M15" s="23">
        <f t="shared" si="4"/>
        <v>0.11718483088486505</v>
      </c>
      <c r="N15" s="23" t="e">
        <f t="shared" si="4"/>
        <v>#DIV/0!</v>
      </c>
      <c r="O15" s="23">
        <f t="shared" si="4"/>
        <v>0.13838812301166489</v>
      </c>
      <c r="P15" s="23">
        <f>(P14-L14)/L14</f>
        <v>-4.4184380224504417E-2</v>
      </c>
      <c r="Q15" s="23">
        <f t="shared" ref="Q15:R15" si="5">(Q14-M14)/M14</f>
        <v>-1</v>
      </c>
      <c r="R15" s="23">
        <f t="shared" si="5"/>
        <v>-1</v>
      </c>
    </row>
    <row r="16" spans="2:20" x14ac:dyDescent="0.25">
      <c r="B16" s="48" t="s">
        <v>451</v>
      </c>
      <c r="C16" s="49">
        <v>2675</v>
      </c>
      <c r="D16" s="49">
        <v>3057</v>
      </c>
      <c r="E16" s="49">
        <v>1946</v>
      </c>
      <c r="F16" s="49"/>
      <c r="G16" s="49">
        <v>3055</v>
      </c>
      <c r="H16" s="49">
        <v>2454</v>
      </c>
      <c r="I16" s="49">
        <v>1975</v>
      </c>
      <c r="J16" s="49"/>
      <c r="K16" s="49">
        <v>3003</v>
      </c>
      <c r="L16" s="49">
        <v>3064</v>
      </c>
      <c r="M16" s="49">
        <v>1947</v>
      </c>
      <c r="N16" s="49"/>
      <c r="O16" s="49">
        <v>3208</v>
      </c>
      <c r="P16" s="49">
        <v>2746</v>
      </c>
      <c r="Q16" s="49"/>
      <c r="R16" s="49"/>
    </row>
    <row r="17" spans="2:19" x14ac:dyDescent="0.25">
      <c r="B17" s="48" t="s">
        <v>452</v>
      </c>
      <c r="C17" s="49">
        <v>289</v>
      </c>
      <c r="D17" s="49">
        <v>567</v>
      </c>
      <c r="E17" s="49">
        <v>676</v>
      </c>
      <c r="F17" s="49"/>
      <c r="G17" s="49">
        <v>363</v>
      </c>
      <c r="H17" s="49">
        <v>668</v>
      </c>
      <c r="I17" s="49">
        <v>708</v>
      </c>
      <c r="J17" s="49"/>
      <c r="K17" s="49">
        <v>399</v>
      </c>
      <c r="L17" s="49">
        <v>906</v>
      </c>
      <c r="M17" s="49">
        <v>1158</v>
      </c>
      <c r="N17" s="49"/>
      <c r="O17" s="49">
        <v>767</v>
      </c>
      <c r="P17" s="49">
        <v>1034</v>
      </c>
      <c r="Q17" s="49"/>
      <c r="R17" s="49"/>
    </row>
    <row r="18" spans="2:19" x14ac:dyDescent="0.25">
      <c r="B18" s="48" t="s">
        <v>453</v>
      </c>
      <c r="C18" s="49">
        <v>239</v>
      </c>
      <c r="D18" s="49">
        <v>171</v>
      </c>
      <c r="E18" s="49">
        <v>101</v>
      </c>
      <c r="F18" s="49"/>
      <c r="G18" s="49">
        <v>332</v>
      </c>
      <c r="H18" s="49">
        <v>199</v>
      </c>
      <c r="I18" s="49">
        <v>244</v>
      </c>
      <c r="J18" s="49"/>
      <c r="K18" s="49">
        <v>370</v>
      </c>
      <c r="L18" s="49">
        <v>217</v>
      </c>
      <c r="M18" s="49">
        <v>166</v>
      </c>
      <c r="N18" s="49"/>
      <c r="O18" s="49">
        <v>319</v>
      </c>
      <c r="P18" s="49">
        <v>222</v>
      </c>
      <c r="Q18" s="49"/>
      <c r="R18" s="49"/>
    </row>
    <row r="19" spans="2:19" ht="20" thickBot="1" x14ac:dyDescent="0.3">
      <c r="B19" s="50" t="s">
        <v>455</v>
      </c>
      <c r="C19" s="50">
        <v>6.6</v>
      </c>
      <c r="D19" s="50">
        <v>7</v>
      </c>
      <c r="E19" s="50">
        <v>7.4</v>
      </c>
      <c r="F19" s="50"/>
      <c r="G19" s="50">
        <v>6.9</v>
      </c>
      <c r="H19" s="50">
        <v>6.8</v>
      </c>
      <c r="I19" s="50">
        <v>6.8</v>
      </c>
      <c r="J19" s="50"/>
      <c r="K19" s="50">
        <v>6.9</v>
      </c>
      <c r="L19" s="50">
        <v>6.9</v>
      </c>
      <c r="M19" s="50">
        <v>6.8</v>
      </c>
      <c r="N19" s="50"/>
      <c r="O19" s="50">
        <v>7.1</v>
      </c>
      <c r="P19" s="50">
        <v>6.6</v>
      </c>
      <c r="Q19" s="50"/>
      <c r="R19" s="50"/>
      <c r="S19" s="50"/>
    </row>
    <row r="20" spans="2:19" x14ac:dyDescent="0.25">
      <c r="B20" s="1" t="s">
        <v>454</v>
      </c>
    </row>
    <row r="21" spans="2:19" x14ac:dyDescent="0.25">
      <c r="B21" s="1" t="s">
        <v>437</v>
      </c>
      <c r="C21" s="12">
        <v>690</v>
      </c>
      <c r="D21" s="12">
        <v>730</v>
      </c>
      <c r="E21" s="12">
        <v>836</v>
      </c>
      <c r="F21" s="12"/>
      <c r="G21" s="12">
        <v>721</v>
      </c>
      <c r="H21" s="12">
        <v>625</v>
      </c>
      <c r="I21" s="12">
        <v>676</v>
      </c>
      <c r="J21" s="12"/>
      <c r="K21" s="12">
        <v>705</v>
      </c>
      <c r="L21" s="12">
        <v>660</v>
      </c>
      <c r="M21" s="12">
        <v>801</v>
      </c>
      <c r="N21" s="12"/>
      <c r="O21" s="12">
        <v>846</v>
      </c>
      <c r="P21" s="12">
        <v>604</v>
      </c>
      <c r="Q21" s="12"/>
      <c r="R21" s="12"/>
    </row>
    <row r="22" spans="2:19" x14ac:dyDescent="0.25">
      <c r="B22" s="11" t="s">
        <v>357</v>
      </c>
      <c r="C22" s="11"/>
      <c r="D22" s="23"/>
      <c r="E22" s="23"/>
      <c r="F22" s="23"/>
      <c r="G22" s="23">
        <f t="shared" ref="G22:O22" si="6">(G21-C21)/C21</f>
        <v>4.4927536231884058E-2</v>
      </c>
      <c r="H22" s="23">
        <f t="shared" si="6"/>
        <v>-0.14383561643835616</v>
      </c>
      <c r="I22" s="23">
        <f t="shared" si="6"/>
        <v>-0.19138755980861244</v>
      </c>
      <c r="J22" s="23" t="e">
        <f t="shared" si="6"/>
        <v>#DIV/0!</v>
      </c>
      <c r="K22" s="23">
        <f t="shared" si="6"/>
        <v>-2.2191400832177532E-2</v>
      </c>
      <c r="L22" s="23">
        <f t="shared" si="6"/>
        <v>5.6000000000000001E-2</v>
      </c>
      <c r="M22" s="23">
        <f t="shared" si="6"/>
        <v>0.1849112426035503</v>
      </c>
      <c r="N22" s="23" t="e">
        <f t="shared" si="6"/>
        <v>#DIV/0!</v>
      </c>
      <c r="O22" s="23">
        <f t="shared" si="6"/>
        <v>0.2</v>
      </c>
      <c r="P22" s="23">
        <f>(P21-L21)/L21</f>
        <v>-8.4848484848484854E-2</v>
      </c>
      <c r="Q22" s="23">
        <f t="shared" ref="Q22:R22" si="7">(Q21-M21)/M21</f>
        <v>-1</v>
      </c>
      <c r="R22" s="23" t="e">
        <f t="shared" si="7"/>
        <v>#DIV/0!</v>
      </c>
    </row>
    <row r="23" spans="2:19" x14ac:dyDescent="0.25">
      <c r="B23" s="1" t="s">
        <v>54</v>
      </c>
      <c r="C23" s="1">
        <v>850</v>
      </c>
      <c r="D23" s="1">
        <v>1075</v>
      </c>
      <c r="E23" s="1">
        <v>867</v>
      </c>
      <c r="F23" s="1"/>
      <c r="G23" s="1">
        <v>834</v>
      </c>
      <c r="H23" s="1">
        <v>792</v>
      </c>
      <c r="I23" s="1">
        <v>819</v>
      </c>
      <c r="J23" s="1"/>
      <c r="K23" s="1">
        <v>816</v>
      </c>
      <c r="L23" s="1">
        <v>990</v>
      </c>
      <c r="M23" s="1">
        <v>991</v>
      </c>
      <c r="N23" s="1"/>
      <c r="O23" s="1">
        <v>1490</v>
      </c>
      <c r="P23" s="1">
        <v>1197</v>
      </c>
      <c r="Q23" s="1"/>
      <c r="R23" s="1"/>
    </row>
    <row r="24" spans="2:19" x14ac:dyDescent="0.25">
      <c r="B24" s="48" t="s">
        <v>451</v>
      </c>
      <c r="C24" s="49">
        <v>496</v>
      </c>
      <c r="D24" s="49">
        <v>571</v>
      </c>
      <c r="E24" s="49">
        <v>610</v>
      </c>
      <c r="F24" s="49"/>
      <c r="G24" s="49">
        <v>324</v>
      </c>
      <c r="H24" s="49">
        <v>292</v>
      </c>
      <c r="I24" s="49">
        <v>246</v>
      </c>
      <c r="J24" s="49"/>
      <c r="K24" s="49">
        <v>1046</v>
      </c>
      <c r="L24" s="49">
        <v>1175</v>
      </c>
      <c r="M24" s="49">
        <v>419</v>
      </c>
      <c r="N24" s="49"/>
      <c r="O24" s="49">
        <v>1416</v>
      </c>
      <c r="P24" s="49">
        <v>1104</v>
      </c>
      <c r="Q24" s="49"/>
      <c r="R24" s="49"/>
    </row>
    <row r="25" spans="2:19" x14ac:dyDescent="0.25">
      <c r="B25" s="48" t="s">
        <v>452</v>
      </c>
      <c r="C25" s="49">
        <v>568</v>
      </c>
      <c r="D25" s="49">
        <v>679</v>
      </c>
      <c r="E25" s="49">
        <v>597</v>
      </c>
      <c r="F25" s="49"/>
      <c r="G25" s="49">
        <v>759</v>
      </c>
      <c r="H25" s="49">
        <v>637</v>
      </c>
      <c r="I25" s="49">
        <v>581</v>
      </c>
      <c r="J25" s="49"/>
      <c r="K25" s="49">
        <v>0</v>
      </c>
      <c r="L25" s="49">
        <v>0</v>
      </c>
      <c r="M25" s="49">
        <v>731</v>
      </c>
      <c r="N25" s="49"/>
      <c r="O25" s="49">
        <v>304</v>
      </c>
      <c r="P25" s="49">
        <v>0</v>
      </c>
      <c r="Q25" s="49"/>
      <c r="R25" s="49"/>
    </row>
    <row r="26" spans="2:19" x14ac:dyDescent="0.25">
      <c r="B26" s="48" t="s">
        <v>453</v>
      </c>
      <c r="C26" s="49">
        <v>-214</v>
      </c>
      <c r="D26" s="49">
        <v>-175</v>
      </c>
      <c r="E26" s="49">
        <v>340</v>
      </c>
      <c r="F26" s="49"/>
      <c r="G26" s="49">
        <v>-249</v>
      </c>
      <c r="H26" s="49">
        <v>-137</v>
      </c>
      <c r="I26" s="49">
        <v>-8</v>
      </c>
      <c r="J26" s="49"/>
      <c r="K26" s="49">
        <v>-230</v>
      </c>
      <c r="L26" s="49">
        <v>-180</v>
      </c>
      <c r="M26" s="49">
        <v>-159</v>
      </c>
      <c r="N26" s="49"/>
      <c r="O26" s="49">
        <v>-230</v>
      </c>
      <c r="P26" s="49">
        <v>93</v>
      </c>
      <c r="Q26" s="49"/>
      <c r="R26" s="49"/>
    </row>
    <row r="27" spans="2:19" x14ac:dyDescent="0.25">
      <c r="B27" s="2" t="s">
        <v>443</v>
      </c>
      <c r="C27" s="14">
        <v>-358</v>
      </c>
      <c r="D27" s="14">
        <v>-382</v>
      </c>
      <c r="E27" s="14">
        <v>-456</v>
      </c>
      <c r="F27" s="14"/>
      <c r="G27" s="14">
        <v>-441</v>
      </c>
      <c r="H27" s="14">
        <v>-458</v>
      </c>
      <c r="I27" s="14">
        <v>-560</v>
      </c>
      <c r="J27" s="14"/>
      <c r="K27" s="14">
        <v>-467</v>
      </c>
      <c r="L27" s="14">
        <v>-641</v>
      </c>
      <c r="M27" s="14">
        <v>-559</v>
      </c>
      <c r="N27" s="14"/>
      <c r="O27" s="14">
        <v>-546</v>
      </c>
      <c r="P27" s="14">
        <v>-512</v>
      </c>
      <c r="Q27" s="14"/>
      <c r="R27" s="14"/>
    </row>
    <row r="28" spans="2:19" x14ac:dyDescent="0.25">
      <c r="B28" s="2" t="s">
        <v>444</v>
      </c>
      <c r="C28" s="14">
        <v>0</v>
      </c>
      <c r="D28" s="14">
        <v>0</v>
      </c>
      <c r="E28" s="14">
        <v>0</v>
      </c>
      <c r="F28" s="14"/>
      <c r="G28" s="2">
        <v>0</v>
      </c>
      <c r="H28" s="2">
        <v>0</v>
      </c>
      <c r="I28" s="14">
        <v>-1434</v>
      </c>
      <c r="J28" s="14"/>
      <c r="K28" s="14">
        <v>-302</v>
      </c>
      <c r="L28" s="14">
        <v>236</v>
      </c>
      <c r="M28" s="14">
        <v>-483</v>
      </c>
      <c r="N28" s="14"/>
      <c r="O28" s="14">
        <v>496</v>
      </c>
      <c r="P28" s="14">
        <v>480</v>
      </c>
      <c r="Q28" s="14"/>
      <c r="R28" s="14"/>
    </row>
    <row r="29" spans="2:19" x14ac:dyDescent="0.25">
      <c r="B29" s="2" t="s">
        <v>56</v>
      </c>
      <c r="C29" s="14">
        <v>492</v>
      </c>
      <c r="D29" s="14">
        <v>693</v>
      </c>
      <c r="E29" s="14">
        <v>411</v>
      </c>
      <c r="F29" s="14"/>
      <c r="G29" s="14">
        <v>393</v>
      </c>
      <c r="H29" s="14">
        <v>334</v>
      </c>
      <c r="I29" s="14">
        <v>-1175</v>
      </c>
      <c r="J29" s="14"/>
      <c r="K29" s="14">
        <v>47</v>
      </c>
      <c r="L29" s="14">
        <v>590</v>
      </c>
      <c r="M29" s="14">
        <v>-51</v>
      </c>
      <c r="N29" s="14"/>
      <c r="O29" s="14">
        <v>1440</v>
      </c>
      <c r="P29" s="14">
        <v>1165</v>
      </c>
      <c r="Q29" s="14"/>
      <c r="R29" s="14"/>
    </row>
    <row r="30" spans="2:19" x14ac:dyDescent="0.25">
      <c r="B30" s="2" t="s">
        <v>123</v>
      </c>
      <c r="C30" s="14">
        <v>-188</v>
      </c>
      <c r="D30" s="14">
        <v>1294</v>
      </c>
      <c r="E30" s="14">
        <v>364</v>
      </c>
      <c r="F30" s="14"/>
      <c r="G30" s="14">
        <v>1442</v>
      </c>
      <c r="H30" s="14">
        <v>-359</v>
      </c>
      <c r="I30" s="14">
        <v>1121</v>
      </c>
      <c r="J30" s="14"/>
      <c r="K30" s="14">
        <v>366</v>
      </c>
      <c r="L30" s="14">
        <v>2578</v>
      </c>
      <c r="M30" s="14">
        <v>95</v>
      </c>
      <c r="N30" s="14"/>
      <c r="O30" s="14">
        <v>369</v>
      </c>
      <c r="P30" s="14">
        <v>-47</v>
      </c>
      <c r="Q30" s="14"/>
      <c r="R30" s="14"/>
    </row>
    <row r="31" spans="2:19" x14ac:dyDescent="0.25">
      <c r="B31" s="2" t="s">
        <v>124</v>
      </c>
      <c r="C31" s="14">
        <v>-1221</v>
      </c>
      <c r="D31" s="14">
        <v>-997</v>
      </c>
      <c r="E31" s="14">
        <v>-6322</v>
      </c>
      <c r="F31" s="14"/>
      <c r="G31" s="14">
        <v>-2668</v>
      </c>
      <c r="H31" s="14">
        <v>-1917</v>
      </c>
      <c r="I31" s="14">
        <v>-1460</v>
      </c>
      <c r="J31" s="14"/>
      <c r="K31" s="14">
        <v>-2128</v>
      </c>
      <c r="L31" s="14">
        <v>-1690</v>
      </c>
      <c r="M31" s="14">
        <v>-875</v>
      </c>
      <c r="N31" s="14"/>
      <c r="O31" s="14">
        <v>-1411</v>
      </c>
      <c r="P31" s="14">
        <v>-1240</v>
      </c>
      <c r="Q31" s="14"/>
      <c r="R31" s="14"/>
    </row>
    <row r="32" spans="2:19" x14ac:dyDescent="0.25">
      <c r="B32" s="2" t="s">
        <v>445</v>
      </c>
      <c r="C32" s="14">
        <v>0</v>
      </c>
      <c r="D32" s="14">
        <v>44</v>
      </c>
      <c r="E32" s="14">
        <v>-1</v>
      </c>
      <c r="F32" s="14"/>
      <c r="G32" s="14">
        <v>3</v>
      </c>
      <c r="H32" s="14">
        <v>-1</v>
      </c>
      <c r="I32" s="14">
        <v>0</v>
      </c>
      <c r="J32" s="14"/>
      <c r="K32" s="14">
        <v>64</v>
      </c>
      <c r="L32" s="14">
        <v>3043</v>
      </c>
      <c r="M32" s="14">
        <v>152</v>
      </c>
      <c r="N32" s="14"/>
      <c r="O32" s="14">
        <v>2883</v>
      </c>
      <c r="P32" s="14">
        <v>434</v>
      </c>
      <c r="Q32" s="14"/>
      <c r="R32" s="14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1100-A64E-8B49-8107-341C454DC09A}">
  <dimension ref="B3:R32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34" sqref="M34"/>
    </sheetView>
  </sheetViews>
  <sheetFormatPr baseColWidth="10" defaultRowHeight="19" x14ac:dyDescent="0.25"/>
  <cols>
    <col min="1" max="1" width="10.83203125" style="2"/>
    <col min="2" max="2" width="34.6640625" style="2" customWidth="1"/>
    <col min="3" max="16384" width="10.83203125" style="2"/>
  </cols>
  <sheetData>
    <row r="3" spans="2:18" x14ac:dyDescent="0.25">
      <c r="B3" s="2" t="s">
        <v>66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37</v>
      </c>
      <c r="P3" s="7" t="s">
        <v>31</v>
      </c>
      <c r="Q3" s="7" t="s">
        <v>35</v>
      </c>
      <c r="R3" s="7" t="s">
        <v>36</v>
      </c>
    </row>
    <row r="4" spans="2:18" x14ac:dyDescent="0.25">
      <c r="B4" s="1" t="s">
        <v>424</v>
      </c>
    </row>
    <row r="5" spans="2:18" x14ac:dyDescent="0.25">
      <c r="B5" s="2" t="s">
        <v>456</v>
      </c>
      <c r="C5" s="2">
        <v>1141</v>
      </c>
      <c r="D5" s="2">
        <v>448</v>
      </c>
      <c r="E5" s="2">
        <v>98</v>
      </c>
      <c r="G5" s="2">
        <v>1157</v>
      </c>
      <c r="H5" s="2">
        <v>409</v>
      </c>
      <c r="I5" s="2">
        <v>53</v>
      </c>
      <c r="K5" s="2">
        <v>1200</v>
      </c>
      <c r="L5" s="2">
        <v>360</v>
      </c>
      <c r="M5" s="2">
        <v>79</v>
      </c>
      <c r="O5" s="2">
        <v>1181</v>
      </c>
      <c r="P5" s="2">
        <v>418</v>
      </c>
    </row>
    <row r="6" spans="2:18" x14ac:dyDescent="0.25">
      <c r="B6" s="11" t="s">
        <v>357</v>
      </c>
      <c r="C6" s="11"/>
      <c r="D6" s="23"/>
      <c r="E6" s="23"/>
      <c r="F6" s="23"/>
      <c r="G6" s="23">
        <f t="shared" ref="G6:O6" si="0">(G5-C5)/C5</f>
        <v>1.4022787028921999E-2</v>
      </c>
      <c r="H6" s="23">
        <f t="shared" si="0"/>
        <v>-8.7053571428571425E-2</v>
      </c>
      <c r="I6" s="23">
        <f t="shared" si="0"/>
        <v>-0.45918367346938777</v>
      </c>
      <c r="J6" s="23" t="e">
        <f t="shared" si="0"/>
        <v>#DIV/0!</v>
      </c>
      <c r="K6" s="23">
        <f t="shared" si="0"/>
        <v>3.7165082108902334E-2</v>
      </c>
      <c r="L6" s="23">
        <f t="shared" si="0"/>
        <v>-0.11980440097799511</v>
      </c>
      <c r="M6" s="23">
        <f t="shared" si="0"/>
        <v>0.49056603773584906</v>
      </c>
      <c r="N6" s="23" t="e">
        <f t="shared" si="0"/>
        <v>#DIV/0!</v>
      </c>
      <c r="O6" s="23">
        <f t="shared" si="0"/>
        <v>-1.5833333333333335E-2</v>
      </c>
      <c r="P6" s="23">
        <f>(P5-L5)/L5</f>
        <v>0.16111111111111112</v>
      </c>
      <c r="Q6" s="23">
        <f t="shared" ref="Q6:R6" si="1">(Q5-M5)/M5</f>
        <v>-1</v>
      </c>
      <c r="R6" s="23" t="e">
        <f t="shared" si="1"/>
        <v>#DIV/0!</v>
      </c>
    </row>
    <row r="7" spans="2:18" x14ac:dyDescent="0.25">
      <c r="B7" s="2" t="s">
        <v>457</v>
      </c>
      <c r="C7" s="2">
        <v>3243</v>
      </c>
      <c r="D7" s="2">
        <v>823</v>
      </c>
      <c r="E7" s="2">
        <v>239</v>
      </c>
      <c r="G7" s="2">
        <v>3178</v>
      </c>
      <c r="H7" s="2">
        <v>790</v>
      </c>
      <c r="I7" s="2">
        <v>234</v>
      </c>
      <c r="K7" s="2">
        <v>3285</v>
      </c>
      <c r="L7" s="2">
        <v>935</v>
      </c>
      <c r="M7" s="2">
        <v>332</v>
      </c>
      <c r="O7" s="2">
        <v>3224</v>
      </c>
      <c r="P7" s="2">
        <v>707</v>
      </c>
    </row>
    <row r="8" spans="2:18" x14ac:dyDescent="0.25">
      <c r="B8" s="11" t="s">
        <v>357</v>
      </c>
      <c r="C8" s="11"/>
      <c r="D8" s="23"/>
      <c r="E8" s="23"/>
      <c r="F8" s="23"/>
      <c r="G8" s="23">
        <f t="shared" ref="G8:O8" si="2">(G7-C7)/C7</f>
        <v>-2.0043169904409498E-2</v>
      </c>
      <c r="H8" s="23">
        <f t="shared" si="2"/>
        <v>-4.0097205346294046E-2</v>
      </c>
      <c r="I8" s="23">
        <f t="shared" si="2"/>
        <v>-2.0920502092050208E-2</v>
      </c>
      <c r="J8" s="23" t="e">
        <f t="shared" si="2"/>
        <v>#DIV/0!</v>
      </c>
      <c r="K8" s="23">
        <f t="shared" si="2"/>
        <v>3.3668974197608559E-2</v>
      </c>
      <c r="L8" s="23">
        <f t="shared" si="2"/>
        <v>0.18354430379746836</v>
      </c>
      <c r="M8" s="23">
        <f t="shared" si="2"/>
        <v>0.41880341880341881</v>
      </c>
      <c r="N8" s="23" t="e">
        <f t="shared" si="2"/>
        <v>#DIV/0!</v>
      </c>
      <c r="O8" s="23">
        <f t="shared" si="2"/>
        <v>-1.8569254185692542E-2</v>
      </c>
      <c r="P8" s="23">
        <f>(P7-L7)/L7</f>
        <v>-0.24385026737967913</v>
      </c>
      <c r="Q8" s="23">
        <f t="shared" ref="Q8:R8" si="3">(Q7-M7)/M7</f>
        <v>-1</v>
      </c>
      <c r="R8" s="23" t="e">
        <f t="shared" si="3"/>
        <v>#DIV/0!</v>
      </c>
    </row>
    <row r="9" spans="2:18" x14ac:dyDescent="0.25">
      <c r="B9" s="2" t="s">
        <v>433</v>
      </c>
      <c r="C9" s="2">
        <v>2138</v>
      </c>
      <c r="D9" s="2">
        <v>1102</v>
      </c>
      <c r="E9" s="2">
        <v>1363</v>
      </c>
      <c r="G9" s="2">
        <v>1697</v>
      </c>
      <c r="H9" s="2">
        <v>917</v>
      </c>
      <c r="I9" s="2">
        <v>781</v>
      </c>
      <c r="K9" s="2">
        <v>1484</v>
      </c>
      <c r="L9" s="2">
        <v>805</v>
      </c>
      <c r="M9" s="2">
        <v>805</v>
      </c>
      <c r="O9" s="2">
        <v>1480</v>
      </c>
      <c r="P9" s="2">
        <v>477</v>
      </c>
    </row>
    <row r="10" spans="2:18" x14ac:dyDescent="0.25">
      <c r="B10" s="11" t="s">
        <v>357</v>
      </c>
      <c r="C10" s="11"/>
      <c r="D10" s="23"/>
      <c r="E10" s="23"/>
      <c r="F10" s="23"/>
      <c r="G10" s="23">
        <f t="shared" ref="G10:O10" si="4">(G9-C9)/C9</f>
        <v>-0.20626753975678203</v>
      </c>
      <c r="H10" s="23">
        <f t="shared" si="4"/>
        <v>-0.16787658802177857</v>
      </c>
      <c r="I10" s="23">
        <f t="shared" si="4"/>
        <v>-0.42699926632428464</v>
      </c>
      <c r="J10" s="23" t="e">
        <f t="shared" si="4"/>
        <v>#DIV/0!</v>
      </c>
      <c r="K10" s="23">
        <f t="shared" si="4"/>
        <v>-0.12551561579257514</v>
      </c>
      <c r="L10" s="23">
        <f t="shared" si="4"/>
        <v>-0.12213740458015267</v>
      </c>
      <c r="M10" s="23">
        <f t="shared" si="4"/>
        <v>3.0729833546734954E-2</v>
      </c>
      <c r="N10" s="23" t="e">
        <f t="shared" si="4"/>
        <v>#DIV/0!</v>
      </c>
      <c r="O10" s="23">
        <f t="shared" si="4"/>
        <v>-2.6954177897574125E-3</v>
      </c>
      <c r="P10" s="23">
        <f>(P9-L9)/L9</f>
        <v>-0.40745341614906833</v>
      </c>
      <c r="Q10" s="23">
        <f t="shared" ref="Q10:R10" si="5">(Q9-M9)/M9</f>
        <v>-1</v>
      </c>
      <c r="R10" s="23" t="e">
        <f t="shared" si="5"/>
        <v>#DIV/0!</v>
      </c>
    </row>
    <row r="11" spans="2:18" x14ac:dyDescent="0.25">
      <c r="B11" s="2" t="s">
        <v>458</v>
      </c>
      <c r="C11" s="2">
        <v>12993</v>
      </c>
      <c r="D11" s="2">
        <v>8891</v>
      </c>
      <c r="E11" s="2">
        <v>5706</v>
      </c>
      <c r="G11" s="2">
        <v>4468</v>
      </c>
      <c r="H11" s="2">
        <v>4016</v>
      </c>
      <c r="I11" s="2">
        <v>5355</v>
      </c>
      <c r="K11" s="2">
        <v>5167</v>
      </c>
      <c r="L11" s="2">
        <v>4051</v>
      </c>
      <c r="M11" s="2">
        <v>4138</v>
      </c>
      <c r="O11" s="2">
        <v>5280</v>
      </c>
      <c r="P11" s="2">
        <v>5798</v>
      </c>
    </row>
    <row r="12" spans="2:18" x14ac:dyDescent="0.25">
      <c r="B12" s="11" t="s">
        <v>357</v>
      </c>
      <c r="C12" s="11"/>
      <c r="D12" s="23"/>
      <c r="E12" s="23"/>
      <c r="F12" s="23"/>
      <c r="G12" s="23">
        <f t="shared" ref="G12:O12" si="6">(G11-C11)/C11</f>
        <v>-0.6561225275148157</v>
      </c>
      <c r="H12" s="23">
        <f t="shared" si="6"/>
        <v>-0.54830727702170734</v>
      </c>
      <c r="I12" s="23">
        <f t="shared" si="6"/>
        <v>-6.1514195583596214E-2</v>
      </c>
      <c r="J12" s="23" t="e">
        <f t="shared" si="6"/>
        <v>#DIV/0!</v>
      </c>
      <c r="K12" s="23">
        <f t="shared" si="6"/>
        <v>0.1564458370635631</v>
      </c>
      <c r="L12" s="23">
        <f t="shared" si="6"/>
        <v>8.7151394422310749E-3</v>
      </c>
      <c r="M12" s="23">
        <f t="shared" si="6"/>
        <v>-0.22726423902894491</v>
      </c>
      <c r="N12" s="23" t="e">
        <f t="shared" si="6"/>
        <v>#DIV/0!</v>
      </c>
      <c r="O12" s="23">
        <f t="shared" si="6"/>
        <v>2.1869556802786919E-2</v>
      </c>
      <c r="P12" s="23">
        <f>(P11-L11)/L11</f>
        <v>0.43125154282893113</v>
      </c>
      <c r="Q12" s="23">
        <f t="shared" ref="Q12:R12" si="7">(Q11-M11)/M11</f>
        <v>-1</v>
      </c>
      <c r="R12" s="23" t="e">
        <f t="shared" si="7"/>
        <v>#DIV/0!</v>
      </c>
    </row>
    <row r="13" spans="2:18" x14ac:dyDescent="0.25">
      <c r="B13" s="2" t="s">
        <v>435</v>
      </c>
      <c r="C13" s="2">
        <v>1690</v>
      </c>
      <c r="D13" s="2">
        <v>1466</v>
      </c>
      <c r="E13" s="2">
        <v>1339</v>
      </c>
      <c r="G13" s="2">
        <v>877</v>
      </c>
      <c r="H13" s="2">
        <v>556</v>
      </c>
      <c r="I13" s="2">
        <v>566</v>
      </c>
      <c r="K13" s="2">
        <v>633</v>
      </c>
      <c r="L13" s="2">
        <v>581</v>
      </c>
      <c r="M13" s="2">
        <v>577</v>
      </c>
      <c r="O13" s="2">
        <v>632</v>
      </c>
      <c r="P13" s="2">
        <v>585</v>
      </c>
    </row>
    <row r="14" spans="2:18" x14ac:dyDescent="0.25">
      <c r="B14" s="11" t="s">
        <v>357</v>
      </c>
      <c r="C14" s="11"/>
      <c r="D14" s="23"/>
      <c r="E14" s="23"/>
      <c r="F14" s="23"/>
      <c r="G14" s="23">
        <f t="shared" ref="G14:O14" si="8">(G13-C13)/C13</f>
        <v>-0.48106508875739645</v>
      </c>
      <c r="H14" s="23">
        <f t="shared" si="8"/>
        <v>-0.6207366984993179</v>
      </c>
      <c r="I14" s="23">
        <f t="shared" si="8"/>
        <v>-0.5772964899178491</v>
      </c>
      <c r="J14" s="23" t="e">
        <f t="shared" si="8"/>
        <v>#DIV/0!</v>
      </c>
      <c r="K14" s="23">
        <f t="shared" si="8"/>
        <v>-0.27822120866590649</v>
      </c>
      <c r="L14" s="23">
        <f t="shared" si="8"/>
        <v>4.4964028776978415E-2</v>
      </c>
      <c r="M14" s="23">
        <f t="shared" si="8"/>
        <v>1.9434628975265017E-2</v>
      </c>
      <c r="N14" s="23" t="e">
        <f t="shared" si="8"/>
        <v>#DIV/0!</v>
      </c>
      <c r="O14" s="23">
        <f t="shared" si="8"/>
        <v>-1.5797788309636651E-3</v>
      </c>
      <c r="P14" s="23">
        <f>(P13-L13)/L13</f>
        <v>6.8846815834767644E-3</v>
      </c>
      <c r="Q14" s="23">
        <f t="shared" ref="Q14:R14" si="9">(Q13-M13)/M13</f>
        <v>-1</v>
      </c>
      <c r="R14" s="23" t="e">
        <f t="shared" si="9"/>
        <v>#DIV/0!</v>
      </c>
    </row>
    <row r="15" spans="2:18" x14ac:dyDescent="0.25">
      <c r="B15" s="2" t="s">
        <v>459</v>
      </c>
      <c r="C15" s="2">
        <v>95.6</v>
      </c>
      <c r="D15" s="2">
        <v>95.6</v>
      </c>
      <c r="E15" s="2">
        <v>196.2</v>
      </c>
      <c r="G15" s="2">
        <v>54.1</v>
      </c>
      <c r="H15" s="2">
        <v>35.1</v>
      </c>
      <c r="I15" s="2">
        <v>33</v>
      </c>
      <c r="K15" s="2">
        <v>27.4</v>
      </c>
      <c r="L15" s="2">
        <v>31.5</v>
      </c>
      <c r="M15" s="2">
        <v>35.299999999999997</v>
      </c>
      <c r="O15" s="2">
        <v>47</v>
      </c>
      <c r="P15" s="2">
        <v>35.4</v>
      </c>
    </row>
    <row r="16" spans="2:18" x14ac:dyDescent="0.25">
      <c r="B16" s="2" t="s">
        <v>460</v>
      </c>
      <c r="C16" s="2">
        <v>151.1</v>
      </c>
      <c r="D16" s="2">
        <v>179.8</v>
      </c>
      <c r="E16" s="2">
        <v>347.8</v>
      </c>
      <c r="G16" s="2">
        <v>103.3</v>
      </c>
      <c r="H16" s="2">
        <v>84</v>
      </c>
      <c r="I16" s="2">
        <v>78.8</v>
      </c>
      <c r="K16" s="2">
        <v>64.8</v>
      </c>
      <c r="L16" s="2">
        <v>61.1</v>
      </c>
      <c r="M16" s="2">
        <v>68.8</v>
      </c>
      <c r="O16" s="2">
        <v>99.3</v>
      </c>
      <c r="P16" s="2">
        <v>65.599999999999994</v>
      </c>
    </row>
    <row r="17" spans="2:18" ht="20" thickBot="1" x14ac:dyDescent="0.3">
      <c r="B17" s="50" t="s">
        <v>461</v>
      </c>
      <c r="C17" s="50">
        <v>20.100000000000001</v>
      </c>
      <c r="D17" s="50">
        <v>34.1</v>
      </c>
      <c r="E17" s="50">
        <v>0</v>
      </c>
      <c r="F17" s="50"/>
      <c r="G17" s="50">
        <v>20.100000000000001</v>
      </c>
      <c r="H17" s="50">
        <v>-3.3</v>
      </c>
      <c r="I17" s="50">
        <v>9.1999999999999993</v>
      </c>
      <c r="J17" s="50"/>
      <c r="K17" s="50">
        <v>3.4</v>
      </c>
      <c r="L17" s="50">
        <v>5.2</v>
      </c>
      <c r="M17" s="50">
        <v>8.3000000000000007</v>
      </c>
      <c r="N17" s="50"/>
      <c r="O17" s="50">
        <v>18</v>
      </c>
      <c r="P17" s="50">
        <v>7.4</v>
      </c>
      <c r="Q17" s="50"/>
      <c r="R17" s="50"/>
    </row>
    <row r="18" spans="2:18" x14ac:dyDescent="0.25">
      <c r="B18" s="1" t="s">
        <v>462</v>
      </c>
    </row>
    <row r="19" spans="2:18" x14ac:dyDescent="0.25">
      <c r="B19" s="1" t="s">
        <v>437</v>
      </c>
      <c r="C19" s="12">
        <v>14474</v>
      </c>
      <c r="D19" s="12">
        <v>9182</v>
      </c>
      <c r="E19" s="12">
        <v>12336</v>
      </c>
      <c r="F19" s="12"/>
      <c r="G19" s="12">
        <v>6890</v>
      </c>
      <c r="H19" s="12">
        <v>4460</v>
      </c>
      <c r="I19" s="12">
        <v>2645</v>
      </c>
      <c r="J19" s="12"/>
      <c r="K19" s="12">
        <v>4586</v>
      </c>
      <c r="L19" s="12">
        <v>3005</v>
      </c>
      <c r="M19" s="12">
        <v>3058</v>
      </c>
      <c r="N19" s="12"/>
      <c r="O19" s="12">
        <v>5347</v>
      </c>
      <c r="P19" s="12">
        <v>3333</v>
      </c>
      <c r="Q19" s="12"/>
      <c r="R19" s="12"/>
    </row>
    <row r="20" spans="2:18" x14ac:dyDescent="0.25">
      <c r="B20" s="11" t="s">
        <v>357</v>
      </c>
      <c r="C20" s="11"/>
      <c r="D20" s="23"/>
      <c r="E20" s="23"/>
      <c r="F20" s="23"/>
      <c r="G20" s="23">
        <f t="shared" ref="G20:O20" si="10">(G19-C19)/C19</f>
        <v>-0.52397402238496615</v>
      </c>
      <c r="H20" s="23">
        <f t="shared" si="10"/>
        <v>-0.51426704421694625</v>
      </c>
      <c r="I20" s="23">
        <f t="shared" si="10"/>
        <v>-0.78558690012970167</v>
      </c>
      <c r="J20" s="23" t="e">
        <f t="shared" si="10"/>
        <v>#DIV/0!</v>
      </c>
      <c r="K20" s="23">
        <f t="shared" si="10"/>
        <v>-0.33439767779390422</v>
      </c>
      <c r="L20" s="23">
        <f t="shared" si="10"/>
        <v>-0.32623318385650224</v>
      </c>
      <c r="M20" s="23">
        <f t="shared" si="10"/>
        <v>0.15614366729678639</v>
      </c>
      <c r="N20" s="23" t="e">
        <f t="shared" si="10"/>
        <v>#DIV/0!</v>
      </c>
      <c r="O20" s="23">
        <f t="shared" si="10"/>
        <v>0.16593981683384212</v>
      </c>
      <c r="P20" s="23">
        <f>(P19-L19)/L19</f>
        <v>0.10915141430948419</v>
      </c>
      <c r="Q20" s="23">
        <f t="shared" ref="Q20:R20" si="11">(Q19-M19)/M19</f>
        <v>-1</v>
      </c>
      <c r="R20" s="23" t="e">
        <f t="shared" si="11"/>
        <v>#DIV/0!</v>
      </c>
    </row>
    <row r="21" spans="2:18" x14ac:dyDescent="0.25">
      <c r="B21" s="1" t="s">
        <v>54</v>
      </c>
      <c r="C21" s="1">
        <v>2514</v>
      </c>
      <c r="D21" s="1">
        <v>647</v>
      </c>
      <c r="E21" s="1">
        <v>1849</v>
      </c>
      <c r="F21" s="1"/>
      <c r="G21" s="1">
        <v>517</v>
      </c>
      <c r="H21" s="1">
        <v>-583</v>
      </c>
      <c r="I21" s="1">
        <v>155</v>
      </c>
      <c r="J21" s="1"/>
      <c r="K21" s="1">
        <v>434</v>
      </c>
      <c r="L21" s="1">
        <v>-36</v>
      </c>
      <c r="M21" s="1">
        <v>-185</v>
      </c>
      <c r="N21" s="1"/>
      <c r="O21" s="1">
        <v>757</v>
      </c>
      <c r="P21" s="1">
        <v>78</v>
      </c>
      <c r="Q21" s="1"/>
      <c r="R21" s="1"/>
    </row>
    <row r="22" spans="2:18" x14ac:dyDescent="0.25">
      <c r="B22" s="48" t="s">
        <v>463</v>
      </c>
      <c r="C22" s="49">
        <v>1823</v>
      </c>
      <c r="D22" s="49">
        <v>619</v>
      </c>
      <c r="E22" s="49">
        <v>1691</v>
      </c>
      <c r="F22" s="49"/>
      <c r="G22" s="49">
        <v>845</v>
      </c>
      <c r="H22" s="49">
        <v>-244</v>
      </c>
      <c r="I22" s="49">
        <v>-219</v>
      </c>
      <c r="J22" s="49"/>
      <c r="K22" s="49">
        <v>587</v>
      </c>
      <c r="L22" s="49">
        <v>77</v>
      </c>
      <c r="M22" s="49">
        <v>-95</v>
      </c>
      <c r="N22" s="49"/>
      <c r="O22" s="49">
        <v>734</v>
      </c>
      <c r="P22" s="49">
        <v>196</v>
      </c>
      <c r="Q22" s="49"/>
      <c r="R22" s="49"/>
    </row>
    <row r="23" spans="2:18" x14ac:dyDescent="0.25">
      <c r="B23" s="48" t="s">
        <v>464</v>
      </c>
      <c r="C23" s="49">
        <v>725</v>
      </c>
      <c r="D23" s="49">
        <v>66</v>
      </c>
      <c r="E23" s="49">
        <v>253</v>
      </c>
      <c r="F23" s="49"/>
      <c r="G23" s="49">
        <v>-237</v>
      </c>
      <c r="H23" s="49">
        <v>-279</v>
      </c>
      <c r="I23" s="49">
        <v>485</v>
      </c>
      <c r="J23" s="49"/>
      <c r="K23" s="49">
        <v>-79</v>
      </c>
      <c r="L23" s="49">
        <v>-42</v>
      </c>
      <c r="M23" s="49">
        <v>125</v>
      </c>
      <c r="N23" s="49"/>
      <c r="O23" s="49">
        <v>210</v>
      </c>
      <c r="P23" s="49">
        <v>68</v>
      </c>
      <c r="Q23" s="49"/>
      <c r="R23" s="49"/>
    </row>
    <row r="24" spans="2:18" x14ac:dyDescent="0.25">
      <c r="B24" s="48" t="s">
        <v>465</v>
      </c>
      <c r="C24" s="49">
        <v>-34</v>
      </c>
      <c r="D24" s="49">
        <v>-38</v>
      </c>
      <c r="E24" s="49">
        <v>-95</v>
      </c>
      <c r="F24" s="49"/>
      <c r="G24" s="49">
        <v>-91</v>
      </c>
      <c r="H24" s="49">
        <v>-60</v>
      </c>
      <c r="I24" s="49">
        <v>-111</v>
      </c>
      <c r="J24" s="49"/>
      <c r="K24" s="49">
        <v>-74</v>
      </c>
      <c r="L24" s="49">
        <v>-71</v>
      </c>
      <c r="M24" s="49">
        <v>-215</v>
      </c>
      <c r="N24" s="49"/>
      <c r="O24" s="49">
        <v>-187</v>
      </c>
      <c r="P24" s="49">
        <v>-186</v>
      </c>
      <c r="Q24" s="49"/>
      <c r="R24" s="49"/>
    </row>
    <row r="25" spans="2:18" x14ac:dyDescent="0.25">
      <c r="B25" s="2" t="s">
        <v>443</v>
      </c>
      <c r="C25" s="2">
        <v>-189</v>
      </c>
      <c r="D25" s="2">
        <v>-193</v>
      </c>
      <c r="E25" s="2">
        <v>-190</v>
      </c>
      <c r="G25" s="2">
        <v>-240</v>
      </c>
      <c r="H25" s="2">
        <v>-170</v>
      </c>
      <c r="I25" s="2">
        <v>-169</v>
      </c>
      <c r="K25" s="2">
        <v>-165</v>
      </c>
      <c r="L25" s="2">
        <v>-164</v>
      </c>
      <c r="M25" s="2">
        <v>-167</v>
      </c>
      <c r="O25" s="2">
        <v>-164</v>
      </c>
      <c r="P25" s="2">
        <v>-163</v>
      </c>
    </row>
    <row r="26" spans="2:18" x14ac:dyDescent="0.25">
      <c r="B26" s="2" t="s">
        <v>54</v>
      </c>
      <c r="C26" s="2">
        <v>2325</v>
      </c>
      <c r="D26" s="2">
        <v>454</v>
      </c>
      <c r="E26" s="2">
        <v>1659</v>
      </c>
      <c r="G26" s="2">
        <v>277</v>
      </c>
      <c r="H26" s="2">
        <v>-753</v>
      </c>
      <c r="I26" s="2">
        <v>-14</v>
      </c>
      <c r="K26" s="2">
        <v>269</v>
      </c>
      <c r="L26" s="2">
        <v>-200</v>
      </c>
      <c r="M26" s="2">
        <v>-352</v>
      </c>
      <c r="O26" s="2">
        <v>593</v>
      </c>
      <c r="P26" s="2">
        <v>-85</v>
      </c>
    </row>
    <row r="27" spans="2:18" x14ac:dyDescent="0.25">
      <c r="B27" s="2" t="s">
        <v>123</v>
      </c>
      <c r="C27" s="2">
        <v>2439</v>
      </c>
      <c r="D27" s="2">
        <v>1326</v>
      </c>
      <c r="E27" s="2">
        <v>-1881</v>
      </c>
      <c r="G27" s="2">
        <v>-922</v>
      </c>
      <c r="H27" s="2">
        <v>984</v>
      </c>
      <c r="I27" s="2">
        <v>2130</v>
      </c>
      <c r="K27" s="2">
        <v>3038</v>
      </c>
      <c r="L27" s="2">
        <v>281</v>
      </c>
      <c r="M27" s="2">
        <v>-286</v>
      </c>
      <c r="O27" s="2">
        <v>950</v>
      </c>
      <c r="P27" s="2">
        <v>259</v>
      </c>
    </row>
    <row r="28" spans="2:18" x14ac:dyDescent="0.25">
      <c r="B28" s="2" t="s">
        <v>124</v>
      </c>
      <c r="C28" s="2">
        <v>-51</v>
      </c>
      <c r="D28" s="2">
        <v>-107</v>
      </c>
      <c r="E28" s="2">
        <v>-84</v>
      </c>
      <c r="G28" s="2">
        <v>-56</v>
      </c>
      <c r="H28" s="2">
        <v>-89</v>
      </c>
      <c r="I28" s="2">
        <v>-208</v>
      </c>
      <c r="K28" s="2">
        <v>-489</v>
      </c>
      <c r="L28" s="2">
        <v>-425</v>
      </c>
      <c r="M28" s="2">
        <v>-386</v>
      </c>
      <c r="O28" s="2">
        <v>-645</v>
      </c>
      <c r="P28" s="2">
        <v>-395</v>
      </c>
    </row>
    <row r="29" spans="2:18" x14ac:dyDescent="0.25">
      <c r="B29" s="2" t="s">
        <v>445</v>
      </c>
      <c r="C29" s="2">
        <v>-8</v>
      </c>
      <c r="D29" s="2">
        <v>6</v>
      </c>
      <c r="E29" s="2">
        <v>2</v>
      </c>
      <c r="G29" s="2">
        <v>0</v>
      </c>
      <c r="H29" s="2">
        <v>-3</v>
      </c>
      <c r="I29" s="2">
        <v>0</v>
      </c>
      <c r="K29" s="2">
        <v>0</v>
      </c>
      <c r="L29" s="2">
        <v>0</v>
      </c>
      <c r="M29" s="2">
        <v>0</v>
      </c>
      <c r="O29" s="2">
        <v>0</v>
      </c>
      <c r="P29" s="2">
        <v>0</v>
      </c>
    </row>
    <row r="32" spans="2:18" x14ac:dyDescent="0.25">
      <c r="F32" s="1" t="s">
        <v>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7"/>
  <sheetViews>
    <sheetView showGridLines="0" workbookViewId="0">
      <selection activeCell="E40" sqref="E40"/>
    </sheetView>
  </sheetViews>
  <sheetFormatPr baseColWidth="10" defaultRowHeight="16" x14ac:dyDescent="0.2"/>
  <cols>
    <col min="3" max="3" width="39.6640625" bestFit="1" customWidth="1"/>
    <col min="4" max="4" width="18.83203125" bestFit="1" customWidth="1"/>
    <col min="5" max="6" width="28.33203125" bestFit="1" customWidth="1"/>
  </cols>
  <sheetData>
    <row r="4" spans="3:6" ht="62" x14ac:dyDescent="0.7">
      <c r="C4" s="33"/>
      <c r="D4" s="33">
        <v>2025</v>
      </c>
      <c r="E4" s="33">
        <v>2026</v>
      </c>
      <c r="F4" s="33">
        <v>2027</v>
      </c>
    </row>
    <row r="5" spans="3:6" ht="62" x14ac:dyDescent="0.7">
      <c r="C5" s="33" t="s">
        <v>163</v>
      </c>
      <c r="D5" s="34">
        <f>Modell!$B$9/Modell!AF12</f>
        <v>7.9722550237034149</v>
      </c>
      <c r="E5" s="34">
        <f>Modell!$B$9/Modell!AG12</f>
        <v>7.0119621695276857</v>
      </c>
      <c r="F5" s="34">
        <f>Modell!$B$9/Modell!AH12</f>
        <v>6.2340622827055308</v>
      </c>
    </row>
    <row r="6" spans="3:6" ht="62" x14ac:dyDescent="0.7">
      <c r="C6" s="33" t="s">
        <v>29</v>
      </c>
      <c r="D6" s="34">
        <f>Modell!$B$9/Modell!AF14</f>
        <v>18.47998310201093</v>
      </c>
      <c r="E6" s="34">
        <f>Modell!$B$9/Modell!AG14</f>
        <v>10.908831385860774</v>
      </c>
      <c r="F6" s="34">
        <f>Modell!$B$9/Modell!AH14</f>
        <v>9.1353849061053936</v>
      </c>
    </row>
    <row r="7" spans="3:6" ht="62" x14ac:dyDescent="0.7">
      <c r="C7" s="33" t="s">
        <v>30</v>
      </c>
      <c r="D7" s="34">
        <f>Modell!$B$4/Modell!AF23</f>
        <v>8.6571114891404584</v>
      </c>
      <c r="E7" s="34">
        <f>Modell!$B$4/Modell!AG23</f>
        <v>14.341892434163995</v>
      </c>
      <c r="F7" s="34">
        <f>Modell!$B$4/Modell!AH23</f>
        <v>11.58769971755115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EK29"/>
  <sheetViews>
    <sheetView showGridLines="0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M33" sqref="M33"/>
    </sheetView>
  </sheetViews>
  <sheetFormatPr baseColWidth="10" defaultRowHeight="19" x14ac:dyDescent="0.25"/>
  <cols>
    <col min="1" max="1" width="10.83203125" style="2"/>
    <col min="2" max="2" width="20.1640625" style="4" customWidth="1"/>
    <col min="3" max="3" width="31.5" style="2" customWidth="1"/>
    <col min="4" max="25" width="10.83203125" style="2"/>
    <col min="26" max="26" width="14.1640625" style="2" bestFit="1" customWidth="1"/>
    <col min="27" max="27" width="13.33203125" style="2" bestFit="1" customWidth="1"/>
    <col min="28" max="16384" width="10.83203125" style="2"/>
  </cols>
  <sheetData>
    <row r="3" spans="1:28" x14ac:dyDescent="0.25">
      <c r="A3" s="1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32</v>
      </c>
      <c r="I3" s="7" t="s">
        <v>33</v>
      </c>
      <c r="J3" s="7" t="s">
        <v>34</v>
      </c>
      <c r="K3" s="7" t="s">
        <v>15</v>
      </c>
      <c r="L3" s="7" t="s">
        <v>16</v>
      </c>
      <c r="M3" s="7" t="s">
        <v>17</v>
      </c>
      <c r="N3" s="1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</row>
    <row r="4" spans="1:28" x14ac:dyDescent="0.25">
      <c r="A4" s="1" t="s">
        <v>160</v>
      </c>
      <c r="C4" s="1" t="s">
        <v>46</v>
      </c>
      <c r="D4" s="12">
        <v>66708</v>
      </c>
      <c r="E4" s="12">
        <v>57393</v>
      </c>
      <c r="F4" s="12">
        <v>59709</v>
      </c>
      <c r="G4" s="12">
        <v>75520</v>
      </c>
      <c r="H4" s="12">
        <v>70398</v>
      </c>
      <c r="I4" s="12">
        <v>50151</v>
      </c>
      <c r="J4" s="12">
        <v>77673</v>
      </c>
      <c r="K4" s="12">
        <v>132277</v>
      </c>
      <c r="L4" s="12">
        <v>79255</v>
      </c>
      <c r="M4" s="12">
        <v>71034</v>
      </c>
      <c r="N4" s="13">
        <f>M4*1.15</f>
        <v>81689.099999999991</v>
      </c>
      <c r="O4" s="12">
        <f t="shared" ref="O4:X4" si="0">N4</f>
        <v>81689.099999999991</v>
      </c>
      <c r="P4" s="12">
        <f t="shared" si="0"/>
        <v>81689.099999999991</v>
      </c>
      <c r="Q4" s="12">
        <f t="shared" si="0"/>
        <v>81689.099999999991</v>
      </c>
      <c r="R4" s="12">
        <f t="shared" si="0"/>
        <v>81689.099999999991</v>
      </c>
      <c r="S4" s="12">
        <f t="shared" si="0"/>
        <v>81689.099999999991</v>
      </c>
      <c r="T4" s="12">
        <f t="shared" si="0"/>
        <v>81689.099999999991</v>
      </c>
      <c r="U4" s="12">
        <f t="shared" si="0"/>
        <v>81689.099999999991</v>
      </c>
      <c r="V4" s="12">
        <f t="shared" si="0"/>
        <v>81689.099999999991</v>
      </c>
      <c r="W4" s="12">
        <f t="shared" si="0"/>
        <v>81689.099999999991</v>
      </c>
      <c r="X4" s="12">
        <f t="shared" si="0"/>
        <v>81689.099999999991</v>
      </c>
    </row>
    <row r="5" spans="1:28" x14ac:dyDescent="0.25">
      <c r="A5" s="40">
        <f>AA28</f>
        <v>75.21375801636718</v>
      </c>
      <c r="C5" s="2" t="s">
        <v>47</v>
      </c>
      <c r="D5" s="14">
        <v>-51541</v>
      </c>
      <c r="E5" s="14">
        <v>-37622</v>
      </c>
      <c r="F5" s="14">
        <v>-40694</v>
      </c>
      <c r="G5" s="14">
        <v>-54018</v>
      </c>
      <c r="H5" s="14">
        <v>-42836</v>
      </c>
      <c r="I5" s="14">
        <v>-25784</v>
      </c>
      <c r="J5" s="14">
        <v>-53110</v>
      </c>
      <c r="K5" s="14">
        <v>-97163</v>
      </c>
      <c r="L5" s="14">
        <v>-46624</v>
      </c>
      <c r="M5" s="14">
        <v>-35963</v>
      </c>
      <c r="N5" s="15">
        <f>N4*-0.55</f>
        <v>-44929.004999999997</v>
      </c>
      <c r="O5" s="14">
        <f t="shared" ref="O5:X5" si="1">O4*-0.55</f>
        <v>-44929.004999999997</v>
      </c>
      <c r="P5" s="14">
        <f t="shared" si="1"/>
        <v>-44929.004999999997</v>
      </c>
      <c r="Q5" s="14">
        <f t="shared" si="1"/>
        <v>-44929.004999999997</v>
      </c>
      <c r="R5" s="14">
        <f t="shared" si="1"/>
        <v>-44929.004999999997</v>
      </c>
      <c r="S5" s="14">
        <f t="shared" si="1"/>
        <v>-44929.004999999997</v>
      </c>
      <c r="T5" s="14">
        <f t="shared" si="1"/>
        <v>-44929.004999999997</v>
      </c>
      <c r="U5" s="14">
        <f t="shared" si="1"/>
        <v>-44929.004999999997</v>
      </c>
      <c r="V5" s="14">
        <f t="shared" si="1"/>
        <v>-44929.004999999997</v>
      </c>
      <c r="W5" s="14">
        <f t="shared" si="1"/>
        <v>-44929.004999999997</v>
      </c>
      <c r="X5" s="14">
        <f t="shared" si="1"/>
        <v>-44929.004999999997</v>
      </c>
    </row>
    <row r="6" spans="1:28" x14ac:dyDescent="0.25">
      <c r="A6" s="39">
        <f>AA29</f>
        <v>-0.37321868319694018</v>
      </c>
      <c r="C6" s="2" t="s">
        <v>48</v>
      </c>
      <c r="D6" s="14">
        <f t="shared" ref="D6:M6" si="2">SUM(D4:D5)</f>
        <v>15167</v>
      </c>
      <c r="E6" s="14">
        <f t="shared" si="2"/>
        <v>19771</v>
      </c>
      <c r="F6" s="14">
        <f t="shared" si="2"/>
        <v>19015</v>
      </c>
      <c r="G6" s="14">
        <f t="shared" si="2"/>
        <v>21502</v>
      </c>
      <c r="H6" s="14">
        <f t="shared" si="2"/>
        <v>27562</v>
      </c>
      <c r="I6" s="14">
        <f t="shared" si="2"/>
        <v>24367</v>
      </c>
      <c r="J6" s="14">
        <f t="shared" si="2"/>
        <v>24563</v>
      </c>
      <c r="K6" s="14">
        <f t="shared" si="2"/>
        <v>35114</v>
      </c>
      <c r="L6" s="14">
        <f t="shared" si="2"/>
        <v>32631</v>
      </c>
      <c r="M6" s="14">
        <f t="shared" si="2"/>
        <v>35071</v>
      </c>
      <c r="N6" s="15">
        <f t="shared" ref="N6" si="3">SUM(N4:N5)</f>
        <v>36760.094999999994</v>
      </c>
      <c r="O6" s="14">
        <f t="shared" ref="O6" si="4">SUM(O4:O5)</f>
        <v>36760.094999999994</v>
      </c>
      <c r="P6" s="14">
        <f t="shared" ref="P6" si="5">SUM(P4:P5)</f>
        <v>36760.094999999994</v>
      </c>
      <c r="Q6" s="14">
        <f t="shared" ref="Q6" si="6">SUM(Q4:Q5)</f>
        <v>36760.094999999994</v>
      </c>
      <c r="R6" s="14">
        <f t="shared" ref="R6" si="7">SUM(R4:R5)</f>
        <v>36760.094999999994</v>
      </c>
      <c r="S6" s="14">
        <f t="shared" ref="S6" si="8">SUM(S4:S5)</f>
        <v>36760.094999999994</v>
      </c>
      <c r="T6" s="14">
        <f t="shared" ref="T6" si="9">SUM(T4:T5)</f>
        <v>36760.094999999994</v>
      </c>
      <c r="U6" s="14">
        <f t="shared" ref="U6" si="10">SUM(U4:U5)</f>
        <v>36760.094999999994</v>
      </c>
      <c r="V6" s="14">
        <f t="shared" ref="V6" si="11">SUM(V4:V5)</f>
        <v>36760.094999999994</v>
      </c>
      <c r="W6" s="14">
        <f t="shared" ref="W6" si="12">SUM(W4:W5)</f>
        <v>36760.094999999994</v>
      </c>
      <c r="X6" s="14">
        <f t="shared" ref="X6" si="13">SUM(X4:X5)</f>
        <v>36760.094999999994</v>
      </c>
    </row>
    <row r="7" spans="1:28" x14ac:dyDescent="0.25">
      <c r="C7" s="2" t="s">
        <v>49</v>
      </c>
      <c r="D7" s="2">
        <v>-3263</v>
      </c>
      <c r="E7" s="2">
        <v>-4078</v>
      </c>
      <c r="F7" s="2">
        <v>-4241</v>
      </c>
      <c r="G7" s="2">
        <v>-5865</v>
      </c>
      <c r="H7" s="2">
        <v>-6091</v>
      </c>
      <c r="I7" s="14">
        <v>-5774</v>
      </c>
      <c r="J7" s="14">
        <v>-5760</v>
      </c>
      <c r="K7" s="14">
        <v>-7049</v>
      </c>
      <c r="L7" s="14">
        <v>-7406</v>
      </c>
      <c r="M7" s="14">
        <v>-8697</v>
      </c>
      <c r="N7" s="15">
        <f>M7*1.14</f>
        <v>-9914.58</v>
      </c>
      <c r="O7" s="14">
        <f>N7</f>
        <v>-9914.58</v>
      </c>
      <c r="P7" s="14">
        <f t="shared" ref="P7:X7" si="14">O7</f>
        <v>-9914.58</v>
      </c>
      <c r="Q7" s="14">
        <f t="shared" si="14"/>
        <v>-9914.58</v>
      </c>
      <c r="R7" s="14">
        <f t="shared" si="14"/>
        <v>-9914.58</v>
      </c>
      <c r="S7" s="14">
        <f t="shared" si="14"/>
        <v>-9914.58</v>
      </c>
      <c r="T7" s="14">
        <f t="shared" si="14"/>
        <v>-9914.58</v>
      </c>
      <c r="U7" s="14">
        <f t="shared" si="14"/>
        <v>-9914.58</v>
      </c>
      <c r="V7" s="14">
        <f t="shared" si="14"/>
        <v>-9914.58</v>
      </c>
      <c r="W7" s="14">
        <f t="shared" si="14"/>
        <v>-9914.58</v>
      </c>
      <c r="X7" s="14">
        <f t="shared" si="14"/>
        <v>-9914.58</v>
      </c>
    </row>
    <row r="8" spans="1:28" x14ac:dyDescent="0.25">
      <c r="C8" s="2" t="s">
        <v>50</v>
      </c>
      <c r="D8" s="14">
        <v>-3310</v>
      </c>
      <c r="E8" s="14">
        <v>-3088</v>
      </c>
      <c r="F8" s="14">
        <v>-3197</v>
      </c>
      <c r="G8" s="14">
        <v>-3126</v>
      </c>
      <c r="H8" s="14">
        <v>-3952</v>
      </c>
      <c r="I8" s="14">
        <v>-4283</v>
      </c>
      <c r="J8" s="14">
        <v>-4289</v>
      </c>
      <c r="K8" s="14">
        <v>-5278</v>
      </c>
      <c r="L8" s="14">
        <v>-6374</v>
      </c>
      <c r="M8" s="14">
        <v>-6532</v>
      </c>
      <c r="N8" s="15">
        <f t="shared" ref="N8:N9" si="15">M8*1.14</f>
        <v>-7446.48</v>
      </c>
      <c r="O8" s="14">
        <f>N8</f>
        <v>-7446.48</v>
      </c>
      <c r="P8" s="14">
        <f t="shared" ref="P8:X8" si="16">O8</f>
        <v>-7446.48</v>
      </c>
      <c r="Q8" s="14">
        <f t="shared" si="16"/>
        <v>-7446.48</v>
      </c>
      <c r="R8" s="14">
        <f t="shared" si="16"/>
        <v>-7446.48</v>
      </c>
      <c r="S8" s="14">
        <f t="shared" si="16"/>
        <v>-7446.48</v>
      </c>
      <c r="T8" s="14">
        <f t="shared" si="16"/>
        <v>-7446.48</v>
      </c>
      <c r="U8" s="14">
        <f t="shared" si="16"/>
        <v>-7446.48</v>
      </c>
      <c r="V8" s="14">
        <f t="shared" si="16"/>
        <v>-7446.48</v>
      </c>
      <c r="W8" s="14">
        <f t="shared" si="16"/>
        <v>-7446.48</v>
      </c>
      <c r="X8" s="14">
        <f t="shared" si="16"/>
        <v>-7446.48</v>
      </c>
    </row>
    <row r="9" spans="1:28" x14ac:dyDescent="0.25">
      <c r="C9" s="2" t="s">
        <v>51</v>
      </c>
      <c r="D9" s="14">
        <v>112</v>
      </c>
      <c r="E9" s="14">
        <v>25</v>
      </c>
      <c r="F9" s="14">
        <v>-119</v>
      </c>
      <c r="G9" s="14">
        <v>-6</v>
      </c>
      <c r="H9" s="14">
        <v>-20</v>
      </c>
      <c r="I9" s="14">
        <v>71</v>
      </c>
      <c r="J9" s="14">
        <v>-17</v>
      </c>
      <c r="K9" s="14">
        <v>114</v>
      </c>
      <c r="L9" s="14">
        <v>-55</v>
      </c>
      <c r="M9" s="14">
        <v>-68</v>
      </c>
      <c r="N9" s="15">
        <f t="shared" si="15"/>
        <v>-77.52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</row>
    <row r="10" spans="1:28" x14ac:dyDescent="0.25">
      <c r="C10" s="2" t="s">
        <v>52</v>
      </c>
      <c r="D10" s="14">
        <v>1575</v>
      </c>
      <c r="E10" s="14">
        <v>4867</v>
      </c>
      <c r="F10" s="14">
        <v>11665</v>
      </c>
      <c r="G10" s="14">
        <v>16275</v>
      </c>
      <c r="H10" s="14">
        <v>1781</v>
      </c>
      <c r="I10" s="14">
        <v>2620</v>
      </c>
      <c r="J10" s="14">
        <v>10185</v>
      </c>
      <c r="K10" s="14">
        <v>14119</v>
      </c>
      <c r="L10" s="14">
        <v>10329</v>
      </c>
      <c r="M10" s="14">
        <v>5298</v>
      </c>
      <c r="N10" s="15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</row>
    <row r="11" spans="1:28" x14ac:dyDescent="0.25">
      <c r="C11" s="2" t="s">
        <v>53</v>
      </c>
      <c r="D11" s="14">
        <v>-393</v>
      </c>
      <c r="E11" s="14">
        <v>-558</v>
      </c>
      <c r="F11" s="14">
        <v>-549</v>
      </c>
      <c r="G11" s="14">
        <v>-289</v>
      </c>
      <c r="H11" s="14">
        <v>-260</v>
      </c>
      <c r="I11" s="14">
        <v>-403</v>
      </c>
      <c r="J11" s="14">
        <v>-386</v>
      </c>
      <c r="K11" s="14">
        <v>-4963</v>
      </c>
      <c r="L11" s="14">
        <v>-10408</v>
      </c>
      <c r="M11" s="14">
        <v>6887</v>
      </c>
      <c r="N11" s="15">
        <v>0</v>
      </c>
      <c r="O11" s="12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</row>
    <row r="12" spans="1:28" x14ac:dyDescent="0.25">
      <c r="C12" s="1" t="s">
        <v>54</v>
      </c>
      <c r="D12" s="12">
        <f t="shared" ref="D12:M12" si="17">SUM(D6:D11)</f>
        <v>9888</v>
      </c>
      <c r="E12" s="12">
        <f t="shared" si="17"/>
        <v>16939</v>
      </c>
      <c r="F12" s="12">
        <f t="shared" si="17"/>
        <v>22574</v>
      </c>
      <c r="G12" s="12">
        <f t="shared" si="17"/>
        <v>28491</v>
      </c>
      <c r="H12" s="12">
        <f t="shared" si="17"/>
        <v>19020</v>
      </c>
      <c r="I12" s="12">
        <f t="shared" si="17"/>
        <v>16598</v>
      </c>
      <c r="J12" s="12">
        <f t="shared" si="17"/>
        <v>24296</v>
      </c>
      <c r="K12" s="12">
        <f t="shared" si="17"/>
        <v>32057</v>
      </c>
      <c r="L12" s="12">
        <f t="shared" si="17"/>
        <v>18717</v>
      </c>
      <c r="M12" s="12">
        <f t="shared" si="17"/>
        <v>31959</v>
      </c>
      <c r="N12" s="13">
        <f t="shared" ref="N12" si="18">SUM(N6:N11)</f>
        <v>19321.514999999992</v>
      </c>
      <c r="O12" s="12">
        <f t="shared" ref="O12" si="19">SUM(O6:O11)</f>
        <v>19399.034999999993</v>
      </c>
      <c r="P12" s="12">
        <f t="shared" ref="P12" si="20">SUM(P6:P11)</f>
        <v>19399.034999999993</v>
      </c>
      <c r="Q12" s="12">
        <f t="shared" ref="Q12" si="21">SUM(Q6:Q11)</f>
        <v>19399.034999999993</v>
      </c>
      <c r="R12" s="12">
        <f t="shared" ref="R12" si="22">SUM(R6:R11)</f>
        <v>19399.034999999993</v>
      </c>
      <c r="S12" s="12">
        <f t="shared" ref="S12" si="23">SUM(S6:S11)</f>
        <v>19399.034999999993</v>
      </c>
      <c r="T12" s="12">
        <f t="shared" ref="T12" si="24">SUM(T6:T11)</f>
        <v>19399.034999999993</v>
      </c>
      <c r="U12" s="12">
        <f t="shared" ref="U12" si="25">SUM(U6:U11)</f>
        <v>19399.034999999993</v>
      </c>
      <c r="V12" s="12">
        <f t="shared" ref="V12" si="26">SUM(V6:V11)</f>
        <v>19399.034999999993</v>
      </c>
      <c r="W12" s="12">
        <f t="shared" ref="W12" si="27">SUM(W6:W11)</f>
        <v>19399.034999999993</v>
      </c>
      <c r="X12" s="12">
        <f t="shared" ref="X12" si="28">SUM(X6:X11)</f>
        <v>19399.034999999993</v>
      </c>
      <c r="AB12" s="2" t="s">
        <v>370</v>
      </c>
    </row>
    <row r="13" spans="1:28" x14ac:dyDescent="0.25">
      <c r="C13" s="2" t="s">
        <v>55</v>
      </c>
      <c r="D13" s="14">
        <v>-6857</v>
      </c>
      <c r="E13" s="14">
        <v>-5232</v>
      </c>
      <c r="F13" s="14">
        <v>-6284</v>
      </c>
      <c r="G13" s="14">
        <v>-5375</v>
      </c>
      <c r="H13" s="14">
        <v>-7432</v>
      </c>
      <c r="I13" s="14">
        <v>-7588</v>
      </c>
      <c r="J13" s="14">
        <v>-8101</v>
      </c>
      <c r="K13" s="14">
        <v>-12283</v>
      </c>
      <c r="L13" s="14">
        <f>-9795-26775</f>
        <v>-36570</v>
      </c>
      <c r="M13" s="14">
        <f>-10225-15563</f>
        <v>-25788</v>
      </c>
      <c r="N13" s="15">
        <v>-7000</v>
      </c>
      <c r="O13" s="14">
        <v>-5000</v>
      </c>
      <c r="P13" s="14">
        <v>-5000</v>
      </c>
      <c r="Q13" s="14">
        <v>-5000</v>
      </c>
      <c r="R13" s="14">
        <v>-5000</v>
      </c>
      <c r="S13" s="14">
        <v>-5000</v>
      </c>
      <c r="T13" s="14">
        <v>-5000</v>
      </c>
      <c r="U13" s="14">
        <v>-5000</v>
      </c>
      <c r="V13" s="14">
        <v>-5000</v>
      </c>
      <c r="W13" s="14">
        <v>-5000</v>
      </c>
      <c r="X13" s="14">
        <v>-5000</v>
      </c>
    </row>
    <row r="14" spans="1:28" x14ac:dyDescent="0.25">
      <c r="C14" s="1" t="s">
        <v>56</v>
      </c>
      <c r="D14" s="12">
        <f t="shared" ref="D14:M14" si="29">SUM(D12:D13)</f>
        <v>3031</v>
      </c>
      <c r="E14" s="12">
        <f t="shared" si="29"/>
        <v>11707</v>
      </c>
      <c r="F14" s="12">
        <f t="shared" si="29"/>
        <v>16290</v>
      </c>
      <c r="G14" s="12">
        <f t="shared" si="29"/>
        <v>23116</v>
      </c>
      <c r="H14" s="12">
        <f t="shared" si="29"/>
        <v>11588</v>
      </c>
      <c r="I14" s="12">
        <f t="shared" si="29"/>
        <v>9010</v>
      </c>
      <c r="J14" s="12">
        <f t="shared" si="29"/>
        <v>16195</v>
      </c>
      <c r="K14" s="12">
        <f t="shared" si="29"/>
        <v>19774</v>
      </c>
      <c r="L14" s="12">
        <f t="shared" si="29"/>
        <v>-17853</v>
      </c>
      <c r="M14" s="12">
        <f t="shared" si="29"/>
        <v>6171</v>
      </c>
      <c r="N14" s="13">
        <f t="shared" ref="N14" si="30">SUM(N12:N13)</f>
        <v>12321.514999999992</v>
      </c>
      <c r="O14" s="12">
        <f t="shared" ref="O14" si="31">SUM(O12:O13)</f>
        <v>14399.034999999993</v>
      </c>
      <c r="P14" s="12">
        <f t="shared" ref="P14" si="32">SUM(P12:P13)</f>
        <v>14399.034999999993</v>
      </c>
      <c r="Q14" s="12">
        <f t="shared" ref="Q14" si="33">SUM(Q12:Q13)</f>
        <v>14399.034999999993</v>
      </c>
      <c r="R14" s="12">
        <f t="shared" ref="R14" si="34">SUM(R12:R13)</f>
        <v>14399.034999999993</v>
      </c>
      <c r="S14" s="12">
        <f t="shared" ref="S14" si="35">SUM(S12:S13)</f>
        <v>14399.034999999993</v>
      </c>
      <c r="T14" s="12">
        <f t="shared" ref="T14" si="36">SUM(T12:T13)</f>
        <v>14399.034999999993</v>
      </c>
      <c r="U14" s="12">
        <f t="shared" ref="U14" si="37">SUM(U12:U13)</f>
        <v>14399.034999999993</v>
      </c>
      <c r="V14" s="12">
        <f t="shared" ref="V14" si="38">SUM(V12:V13)</f>
        <v>14399.034999999993</v>
      </c>
      <c r="W14" s="12">
        <f t="shared" ref="W14" si="39">SUM(W12:W13)</f>
        <v>14399.034999999993</v>
      </c>
      <c r="X14" s="12">
        <f t="shared" ref="X14" si="40">SUM(X12:X13)</f>
        <v>14399.034999999993</v>
      </c>
    </row>
    <row r="15" spans="1:28" x14ac:dyDescent="0.25">
      <c r="C15" s="2" t="s">
        <v>57</v>
      </c>
      <c r="D15" s="14">
        <v>56</v>
      </c>
      <c r="E15" s="14">
        <v>1250</v>
      </c>
      <c r="F15" s="14">
        <v>-139</v>
      </c>
      <c r="G15" s="14">
        <v>127</v>
      </c>
      <c r="H15" s="14">
        <v>-63</v>
      </c>
      <c r="I15" s="14">
        <v>10831</v>
      </c>
      <c r="J15" s="14">
        <v>-742</v>
      </c>
      <c r="K15" s="14">
        <v>331</v>
      </c>
      <c r="L15" s="14">
        <v>234</v>
      </c>
      <c r="M15" s="14">
        <v>-11</v>
      </c>
      <c r="N15" s="15">
        <v>422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</row>
    <row r="16" spans="1:28" x14ac:dyDescent="0.25">
      <c r="C16" s="2" t="s">
        <v>51</v>
      </c>
      <c r="D16" s="14">
        <v>-8</v>
      </c>
      <c r="E16" s="14">
        <v>-8</v>
      </c>
      <c r="F16" s="14">
        <v>-10</v>
      </c>
      <c r="G16" s="14">
        <v>1</v>
      </c>
      <c r="H16" s="14">
        <v>2</v>
      </c>
      <c r="I16" s="14">
        <v>7</v>
      </c>
      <c r="J16" s="14">
        <v>-10</v>
      </c>
      <c r="K16" s="14">
        <v>40</v>
      </c>
      <c r="L16" s="14">
        <v>36</v>
      </c>
      <c r="M16" s="14">
        <v>37</v>
      </c>
      <c r="N16" s="15">
        <v>36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</row>
    <row r="17" spans="3:141" x14ac:dyDescent="0.25">
      <c r="C17" s="2" t="s">
        <v>58</v>
      </c>
      <c r="D17" s="14">
        <v>9297</v>
      </c>
      <c r="E17" s="14">
        <v>8179</v>
      </c>
      <c r="F17" s="14">
        <v>4253</v>
      </c>
      <c r="G17" s="14">
        <v>3179</v>
      </c>
      <c r="H17" s="14">
        <v>7718</v>
      </c>
      <c r="I17" s="14">
        <v>5779</v>
      </c>
      <c r="J17" s="14">
        <v>4380</v>
      </c>
      <c r="K17" s="14">
        <v>15514</v>
      </c>
      <c r="L17" s="14">
        <v>12379</v>
      </c>
      <c r="M17" s="14">
        <v>8590</v>
      </c>
      <c r="N17" s="15">
        <v>8946</v>
      </c>
      <c r="O17" s="14">
        <f>N17</f>
        <v>8946</v>
      </c>
      <c r="P17" s="14">
        <f t="shared" ref="P17:X17" si="41">O17</f>
        <v>8946</v>
      </c>
      <c r="Q17" s="14">
        <f t="shared" si="41"/>
        <v>8946</v>
      </c>
      <c r="R17" s="14">
        <f t="shared" si="41"/>
        <v>8946</v>
      </c>
      <c r="S17" s="14">
        <f t="shared" si="41"/>
        <v>8946</v>
      </c>
      <c r="T17" s="14">
        <f t="shared" si="41"/>
        <v>8946</v>
      </c>
      <c r="U17" s="14">
        <f t="shared" si="41"/>
        <v>8946</v>
      </c>
      <c r="V17" s="14">
        <f t="shared" si="41"/>
        <v>8946</v>
      </c>
      <c r="W17" s="14">
        <f t="shared" si="41"/>
        <v>8946</v>
      </c>
      <c r="X17" s="14">
        <f t="shared" si="41"/>
        <v>8946</v>
      </c>
    </row>
    <row r="18" spans="3:141" x14ac:dyDescent="0.25">
      <c r="C18" s="2" t="s">
        <v>59</v>
      </c>
      <c r="D18" s="14">
        <v>-10706</v>
      </c>
      <c r="E18" s="14">
        <v>-8946</v>
      </c>
      <c r="F18" s="14">
        <v>-5295</v>
      </c>
      <c r="G18" s="14">
        <v>-4457</v>
      </c>
      <c r="H18" s="14">
        <v>-8853</v>
      </c>
      <c r="I18" s="14">
        <v>-8303</v>
      </c>
      <c r="J18" s="14">
        <v>-6546</v>
      </c>
      <c r="K18" s="14">
        <v>-18050</v>
      </c>
      <c r="L18" s="14">
        <v>-13822</v>
      </c>
      <c r="M18" s="14">
        <v>-12181</v>
      </c>
      <c r="N18" s="15">
        <v>-12742</v>
      </c>
      <c r="O18" s="14">
        <f>N18</f>
        <v>-12742</v>
      </c>
      <c r="P18" s="14">
        <f t="shared" ref="P18:X18" si="42">O18</f>
        <v>-12742</v>
      </c>
      <c r="Q18" s="14">
        <f t="shared" si="42"/>
        <v>-12742</v>
      </c>
      <c r="R18" s="14">
        <f t="shared" si="42"/>
        <v>-12742</v>
      </c>
      <c r="S18" s="14">
        <f t="shared" si="42"/>
        <v>-12742</v>
      </c>
      <c r="T18" s="14">
        <f t="shared" si="42"/>
        <v>-12742</v>
      </c>
      <c r="U18" s="14">
        <f t="shared" si="42"/>
        <v>-12742</v>
      </c>
      <c r="V18" s="14">
        <f t="shared" si="42"/>
        <v>-12742</v>
      </c>
      <c r="W18" s="14">
        <f t="shared" si="42"/>
        <v>-12742</v>
      </c>
      <c r="X18" s="14">
        <f t="shared" si="42"/>
        <v>-12742</v>
      </c>
    </row>
    <row r="19" spans="3:141" x14ac:dyDescent="0.25">
      <c r="C19" s="2" t="s">
        <v>60</v>
      </c>
      <c r="D19" s="14">
        <f t="shared" ref="D19:M19" si="43">SUM(D14:D18)</f>
        <v>1670</v>
      </c>
      <c r="E19" s="14">
        <f t="shared" si="43"/>
        <v>12182</v>
      </c>
      <c r="F19" s="14">
        <f t="shared" si="43"/>
        <v>15099</v>
      </c>
      <c r="G19" s="14">
        <f t="shared" si="43"/>
        <v>21966</v>
      </c>
      <c r="H19" s="14">
        <f t="shared" si="43"/>
        <v>10392</v>
      </c>
      <c r="I19" s="14">
        <f t="shared" si="43"/>
        <v>17324</v>
      </c>
      <c r="J19" s="14">
        <f t="shared" si="43"/>
        <v>13277</v>
      </c>
      <c r="K19" s="14">
        <f t="shared" si="43"/>
        <v>17609</v>
      </c>
      <c r="L19" s="14">
        <f t="shared" si="43"/>
        <v>-19026</v>
      </c>
      <c r="M19" s="14">
        <f t="shared" si="43"/>
        <v>2606</v>
      </c>
      <c r="N19" s="15">
        <f t="shared" ref="N19" si="44">SUM(N14:N18)</f>
        <v>8983.5149999999921</v>
      </c>
      <c r="O19" s="14">
        <f t="shared" ref="O19" si="45">SUM(O14:O18)</f>
        <v>10603.034999999993</v>
      </c>
      <c r="P19" s="14">
        <f t="shared" ref="P19" si="46">SUM(P14:P18)</f>
        <v>10603.034999999993</v>
      </c>
      <c r="Q19" s="14">
        <f t="shared" ref="Q19" si="47">SUM(Q14:Q18)</f>
        <v>10603.034999999993</v>
      </c>
      <c r="R19" s="14">
        <f t="shared" ref="R19" si="48">SUM(R14:R18)</f>
        <v>10603.034999999993</v>
      </c>
      <c r="S19" s="14">
        <f t="shared" ref="S19" si="49">SUM(S14:S18)</f>
        <v>10603.034999999993</v>
      </c>
      <c r="T19" s="14">
        <f t="shared" ref="T19" si="50">SUM(T14:T18)</f>
        <v>10603.034999999993</v>
      </c>
      <c r="U19" s="14">
        <f t="shared" ref="U19" si="51">SUM(U14:U18)</f>
        <v>10603.034999999993</v>
      </c>
      <c r="V19" s="14">
        <f t="shared" ref="V19" si="52">SUM(V14:V18)</f>
        <v>10603.034999999993</v>
      </c>
      <c r="W19" s="14">
        <f t="shared" ref="W19" si="53">SUM(W14:W18)</f>
        <v>10603.034999999993</v>
      </c>
      <c r="X19" s="14">
        <f t="shared" ref="X19" si="54">SUM(X14:X18)</f>
        <v>10603.034999999993</v>
      </c>
    </row>
    <row r="20" spans="3:141" x14ac:dyDescent="0.25">
      <c r="C20" s="2" t="s">
        <v>61</v>
      </c>
      <c r="D20" s="14">
        <v>184</v>
      </c>
      <c r="E20" s="14">
        <v>-1715</v>
      </c>
      <c r="F20" s="14">
        <v>-1778</v>
      </c>
      <c r="G20" s="14">
        <v>-3700</v>
      </c>
      <c r="H20" s="14">
        <v>-3101</v>
      </c>
      <c r="I20" s="14">
        <v>-1776</v>
      </c>
      <c r="J20" s="14">
        <v>-2390</v>
      </c>
      <c r="K20" s="14">
        <v>-2613</v>
      </c>
      <c r="L20" s="14">
        <v>-1156</v>
      </c>
      <c r="M20" s="14">
        <v>-2590</v>
      </c>
      <c r="N20" s="15">
        <f>N19*-0.2</f>
        <v>-1796.7029999999986</v>
      </c>
      <c r="O20" s="14">
        <f t="shared" ref="O20:W20" si="55">O19*-0.2</f>
        <v>-2120.6069999999986</v>
      </c>
      <c r="P20" s="14">
        <f t="shared" si="55"/>
        <v>-2120.6069999999986</v>
      </c>
      <c r="Q20" s="14">
        <f t="shared" si="55"/>
        <v>-2120.6069999999986</v>
      </c>
      <c r="R20" s="14">
        <f t="shared" si="55"/>
        <v>-2120.6069999999986</v>
      </c>
      <c r="S20" s="14">
        <f t="shared" si="55"/>
        <v>-2120.6069999999986</v>
      </c>
      <c r="T20" s="14">
        <f t="shared" si="55"/>
        <v>-2120.6069999999986</v>
      </c>
      <c r="U20" s="14">
        <f t="shared" si="55"/>
        <v>-2120.6069999999986</v>
      </c>
      <c r="V20" s="14">
        <f t="shared" si="55"/>
        <v>-2120.6069999999986</v>
      </c>
      <c r="W20" s="14">
        <f t="shared" si="55"/>
        <v>-2120.6069999999986</v>
      </c>
      <c r="X20" s="14">
        <f>X19*-0.2</f>
        <v>-2120.6069999999986</v>
      </c>
    </row>
    <row r="21" spans="3:141" x14ac:dyDescent="0.25">
      <c r="C21" s="1" t="s">
        <v>62</v>
      </c>
      <c r="D21" s="12">
        <f t="shared" ref="D21:M21" si="56">SUM(D19:D20)</f>
        <v>1854</v>
      </c>
      <c r="E21" s="12">
        <f t="shared" si="56"/>
        <v>10467</v>
      </c>
      <c r="F21" s="12">
        <f t="shared" si="56"/>
        <v>13321</v>
      </c>
      <c r="G21" s="12">
        <f t="shared" si="56"/>
        <v>18266</v>
      </c>
      <c r="H21" s="12">
        <f t="shared" si="56"/>
        <v>7291</v>
      </c>
      <c r="I21" s="12">
        <f t="shared" si="56"/>
        <v>15548</v>
      </c>
      <c r="J21" s="12">
        <f t="shared" si="56"/>
        <v>10887</v>
      </c>
      <c r="K21" s="12">
        <f t="shared" si="56"/>
        <v>14996</v>
      </c>
      <c r="L21" s="12">
        <f t="shared" si="56"/>
        <v>-20182</v>
      </c>
      <c r="M21" s="12">
        <f t="shared" si="56"/>
        <v>16</v>
      </c>
      <c r="N21" s="13">
        <f t="shared" ref="N21" si="57">SUM(N19:N20)</f>
        <v>7186.8119999999935</v>
      </c>
      <c r="O21" s="12">
        <f t="shared" ref="O21" si="58">SUM(O19:O20)</f>
        <v>8482.4279999999944</v>
      </c>
      <c r="P21" s="12">
        <f t="shared" ref="P21" si="59">SUM(P19:P20)</f>
        <v>8482.4279999999944</v>
      </c>
      <c r="Q21" s="12">
        <f t="shared" ref="Q21" si="60">SUM(Q19:Q20)</f>
        <v>8482.4279999999944</v>
      </c>
      <c r="R21" s="12">
        <f t="shared" ref="R21" si="61">SUM(R19:R20)</f>
        <v>8482.4279999999944</v>
      </c>
      <c r="S21" s="12">
        <f t="shared" ref="S21" si="62">SUM(S19:S20)</f>
        <v>8482.4279999999944</v>
      </c>
      <c r="T21" s="12">
        <f t="shared" ref="T21" si="63">SUM(T19:T20)</f>
        <v>8482.4279999999944</v>
      </c>
      <c r="U21" s="12">
        <f t="shared" ref="U21" si="64">SUM(U19:U20)</f>
        <v>8482.4279999999944</v>
      </c>
      <c r="V21" s="12">
        <f t="shared" ref="V21" si="65">SUM(V19:V20)</f>
        <v>8482.4279999999944</v>
      </c>
      <c r="W21" s="12">
        <f t="shared" ref="W21" si="66">SUM(W19:W20)</f>
        <v>8482.4279999999944</v>
      </c>
      <c r="X21" s="12">
        <f t="shared" ref="X21" si="67">SUM(X19:X20)</f>
        <v>8482.4279999999944</v>
      </c>
      <c r="Y21" s="12">
        <f>X21*(1+$AA$25)</f>
        <v>8397.6037199999937</v>
      </c>
      <c r="Z21" s="12">
        <f t="shared" ref="Z21:CK21" si="68">Y21*(1+$AA$25)</f>
        <v>8313.6276827999936</v>
      </c>
      <c r="AA21" s="12">
        <f t="shared" si="68"/>
        <v>8230.491405971994</v>
      </c>
      <c r="AB21" s="12">
        <f t="shared" si="68"/>
        <v>8148.1864919122736</v>
      </c>
      <c r="AC21" s="12">
        <f t="shared" si="68"/>
        <v>8066.7046269931507</v>
      </c>
      <c r="AD21" s="12">
        <f t="shared" si="68"/>
        <v>7986.0375807232194</v>
      </c>
      <c r="AE21" s="12">
        <f t="shared" si="68"/>
        <v>7906.1772049159872</v>
      </c>
      <c r="AF21" s="12">
        <f t="shared" si="68"/>
        <v>7827.1154328668272</v>
      </c>
      <c r="AG21" s="12">
        <f t="shared" si="68"/>
        <v>7748.8442785381585</v>
      </c>
      <c r="AH21" s="12">
        <f t="shared" si="68"/>
        <v>7671.3558357527772</v>
      </c>
      <c r="AI21" s="12">
        <f t="shared" si="68"/>
        <v>7594.642277395249</v>
      </c>
      <c r="AJ21" s="12">
        <f t="shared" si="68"/>
        <v>7518.6958546212963</v>
      </c>
      <c r="AK21" s="12">
        <f t="shared" si="68"/>
        <v>7443.5088960750836</v>
      </c>
      <c r="AL21" s="12">
        <f t="shared" si="68"/>
        <v>7369.0738071143323</v>
      </c>
      <c r="AM21" s="12">
        <f t="shared" si="68"/>
        <v>7295.3830690431887</v>
      </c>
      <c r="AN21" s="12">
        <f t="shared" si="68"/>
        <v>7222.4292383527563</v>
      </c>
      <c r="AO21" s="12">
        <f t="shared" si="68"/>
        <v>7150.2049459692289</v>
      </c>
      <c r="AP21" s="12">
        <f t="shared" si="68"/>
        <v>7078.7028965095369</v>
      </c>
      <c r="AQ21" s="12">
        <f t="shared" si="68"/>
        <v>7007.9158675444414</v>
      </c>
      <c r="AR21" s="12">
        <f t="shared" si="68"/>
        <v>6937.8367088689965</v>
      </c>
      <c r="AS21" s="12">
        <f t="shared" si="68"/>
        <v>6868.4583417803069</v>
      </c>
      <c r="AT21" s="12">
        <f t="shared" si="68"/>
        <v>6799.7737583625039</v>
      </c>
      <c r="AU21" s="12">
        <f t="shared" si="68"/>
        <v>6731.7760207788788</v>
      </c>
      <c r="AV21" s="12">
        <f t="shared" si="68"/>
        <v>6664.4582605710902</v>
      </c>
      <c r="AW21" s="12">
        <f t="shared" si="68"/>
        <v>6597.8136779653796</v>
      </c>
      <c r="AX21" s="12">
        <f t="shared" si="68"/>
        <v>6531.8355411857256</v>
      </c>
      <c r="AY21" s="12">
        <f t="shared" si="68"/>
        <v>6466.5171857738678</v>
      </c>
      <c r="AZ21" s="12">
        <f t="shared" si="68"/>
        <v>6401.8520139161292</v>
      </c>
      <c r="BA21" s="12">
        <f t="shared" si="68"/>
        <v>6337.8334937769678</v>
      </c>
      <c r="BB21" s="12">
        <f t="shared" si="68"/>
        <v>6274.4551588391978</v>
      </c>
      <c r="BC21" s="12">
        <f t="shared" si="68"/>
        <v>6211.7106072508059</v>
      </c>
      <c r="BD21" s="12">
        <f t="shared" si="68"/>
        <v>6149.5935011782976</v>
      </c>
      <c r="BE21" s="12">
        <f t="shared" si="68"/>
        <v>6088.0975661665143</v>
      </c>
      <c r="BF21" s="12">
        <f t="shared" si="68"/>
        <v>6027.2165905048487</v>
      </c>
      <c r="BG21" s="12">
        <f t="shared" si="68"/>
        <v>5966.9444245998002</v>
      </c>
      <c r="BH21" s="12">
        <f t="shared" si="68"/>
        <v>5907.2749803538018</v>
      </c>
      <c r="BI21" s="12">
        <f t="shared" si="68"/>
        <v>5848.2022305502633</v>
      </c>
      <c r="BJ21" s="12">
        <f t="shared" si="68"/>
        <v>5789.7202082447602</v>
      </c>
      <c r="BK21" s="12">
        <f t="shared" si="68"/>
        <v>5731.8230061623126</v>
      </c>
      <c r="BL21" s="12">
        <f t="shared" si="68"/>
        <v>5674.504776100689</v>
      </c>
      <c r="BM21" s="12">
        <f t="shared" si="68"/>
        <v>5617.7597283396817</v>
      </c>
      <c r="BN21" s="12">
        <f t="shared" si="68"/>
        <v>5561.5821310562851</v>
      </c>
      <c r="BO21" s="12">
        <f t="shared" si="68"/>
        <v>5505.9663097457224</v>
      </c>
      <c r="BP21" s="12">
        <f t="shared" si="68"/>
        <v>5450.9066466482655</v>
      </c>
      <c r="BQ21" s="12">
        <f t="shared" si="68"/>
        <v>5396.3975801817824</v>
      </c>
      <c r="BR21" s="12">
        <f t="shared" si="68"/>
        <v>5342.4336043799649</v>
      </c>
      <c r="BS21" s="12">
        <f t="shared" si="68"/>
        <v>5289.0092683361654</v>
      </c>
      <c r="BT21" s="12">
        <f t="shared" si="68"/>
        <v>5236.1191756528033</v>
      </c>
      <c r="BU21" s="12">
        <f t="shared" si="68"/>
        <v>5183.7579838962756</v>
      </c>
      <c r="BV21" s="12">
        <f t="shared" si="68"/>
        <v>5131.9204040573131</v>
      </c>
      <c r="BW21" s="12">
        <f t="shared" si="68"/>
        <v>5080.6012000167402</v>
      </c>
      <c r="BX21" s="12">
        <f t="shared" si="68"/>
        <v>5029.7951880165729</v>
      </c>
      <c r="BY21" s="12">
        <f t="shared" si="68"/>
        <v>4979.4972361364071</v>
      </c>
      <c r="BZ21" s="12">
        <f t="shared" si="68"/>
        <v>4929.7022637750433</v>
      </c>
      <c r="CA21" s="12">
        <f t="shared" si="68"/>
        <v>4880.4052411372932</v>
      </c>
      <c r="CB21" s="12">
        <f t="shared" si="68"/>
        <v>4831.6011887259201</v>
      </c>
      <c r="CC21" s="12">
        <f t="shared" si="68"/>
        <v>4783.2851768386608</v>
      </c>
      <c r="CD21" s="12">
        <f t="shared" si="68"/>
        <v>4735.4523250702741</v>
      </c>
      <c r="CE21" s="12">
        <f t="shared" si="68"/>
        <v>4688.097801819571</v>
      </c>
      <c r="CF21" s="12">
        <f t="shared" si="68"/>
        <v>4641.2168238013755</v>
      </c>
      <c r="CG21" s="12">
        <f t="shared" si="68"/>
        <v>4594.8046555633618</v>
      </c>
      <c r="CH21" s="12">
        <f t="shared" si="68"/>
        <v>4548.8566090077284</v>
      </c>
      <c r="CI21" s="12">
        <f t="shared" si="68"/>
        <v>4503.3680429176511</v>
      </c>
      <c r="CJ21" s="12">
        <f t="shared" si="68"/>
        <v>4458.3343624884747</v>
      </c>
      <c r="CK21" s="12">
        <f t="shared" si="68"/>
        <v>4413.7510188635897</v>
      </c>
      <c r="CL21" s="12">
        <f t="shared" ref="CL21:EK21" si="69">CK21*(1+$AA$25)</f>
        <v>4369.6135086749537</v>
      </c>
      <c r="CM21" s="12">
        <f t="shared" si="69"/>
        <v>4325.9173735882041</v>
      </c>
      <c r="CN21" s="12">
        <f t="shared" si="69"/>
        <v>4282.6581998523225</v>
      </c>
      <c r="CO21" s="12">
        <f t="shared" si="69"/>
        <v>4239.8316178537989</v>
      </c>
      <c r="CP21" s="12">
        <f t="shared" si="69"/>
        <v>4197.4333016752607</v>
      </c>
      <c r="CQ21" s="12">
        <f t="shared" si="69"/>
        <v>4155.4589686585077</v>
      </c>
      <c r="CR21" s="12">
        <f t="shared" si="69"/>
        <v>4113.9043789719226</v>
      </c>
      <c r="CS21" s="12">
        <f t="shared" si="69"/>
        <v>4072.7653351822032</v>
      </c>
      <c r="CT21" s="12">
        <f t="shared" si="69"/>
        <v>4032.0376818303812</v>
      </c>
      <c r="CU21" s="12">
        <f t="shared" si="69"/>
        <v>3991.7173050120773</v>
      </c>
      <c r="CV21" s="12">
        <f t="shared" si="69"/>
        <v>3951.8001319619566</v>
      </c>
      <c r="CW21" s="12">
        <f t="shared" si="69"/>
        <v>3912.2821306423371</v>
      </c>
      <c r="CX21" s="12">
        <f t="shared" si="69"/>
        <v>3873.1593093359138</v>
      </c>
      <c r="CY21" s="12">
        <f t="shared" si="69"/>
        <v>3834.4277162425547</v>
      </c>
      <c r="CZ21" s="12">
        <f t="shared" si="69"/>
        <v>3796.0834390801292</v>
      </c>
      <c r="DA21" s="12">
        <f t="shared" si="69"/>
        <v>3758.122604689328</v>
      </c>
      <c r="DB21" s="12">
        <f t="shared" si="69"/>
        <v>3720.5413786424347</v>
      </c>
      <c r="DC21" s="12">
        <f t="shared" si="69"/>
        <v>3683.3359648560104</v>
      </c>
      <c r="DD21" s="12">
        <f t="shared" si="69"/>
        <v>3646.5026052074504</v>
      </c>
      <c r="DE21" s="12">
        <f t="shared" si="69"/>
        <v>3610.0375791553761</v>
      </c>
      <c r="DF21" s="12">
        <f t="shared" si="69"/>
        <v>3573.9372033638224</v>
      </c>
      <c r="DG21" s="12">
        <f t="shared" si="69"/>
        <v>3538.1978313301843</v>
      </c>
      <c r="DH21" s="12">
        <f t="shared" si="69"/>
        <v>3502.8158530168826</v>
      </c>
      <c r="DI21" s="12">
        <f t="shared" si="69"/>
        <v>3467.7876944867139</v>
      </c>
      <c r="DJ21" s="12">
        <f t="shared" si="69"/>
        <v>3433.109817541847</v>
      </c>
      <c r="DK21" s="12">
        <f t="shared" si="69"/>
        <v>3398.7787193664285</v>
      </c>
      <c r="DL21" s="12">
        <f t="shared" si="69"/>
        <v>3364.7909321727643</v>
      </c>
      <c r="DM21" s="12">
        <f t="shared" si="69"/>
        <v>3331.1430228510367</v>
      </c>
      <c r="DN21" s="12">
        <f t="shared" si="69"/>
        <v>3297.8315926225264</v>
      </c>
      <c r="DO21" s="12">
        <f t="shared" si="69"/>
        <v>3264.8532766963012</v>
      </c>
      <c r="DP21" s="12">
        <f t="shared" si="69"/>
        <v>3232.2047439293383</v>
      </c>
      <c r="DQ21" s="12">
        <f t="shared" si="69"/>
        <v>3199.882696490045</v>
      </c>
      <c r="DR21" s="12">
        <f t="shared" si="69"/>
        <v>3167.8838695251443</v>
      </c>
      <c r="DS21" s="12">
        <f t="shared" si="69"/>
        <v>3136.2050308298926</v>
      </c>
      <c r="DT21" s="12">
        <f t="shared" si="69"/>
        <v>3104.8429805215937</v>
      </c>
      <c r="DU21" s="12">
        <f t="shared" si="69"/>
        <v>3073.7945507163777</v>
      </c>
      <c r="DV21" s="12">
        <f t="shared" si="69"/>
        <v>3043.056605209214</v>
      </c>
      <c r="DW21" s="12">
        <f t="shared" si="69"/>
        <v>3012.6260391571218</v>
      </c>
      <c r="DX21" s="12">
        <f t="shared" si="69"/>
        <v>2982.4997787655507</v>
      </c>
      <c r="DY21" s="12">
        <f t="shared" si="69"/>
        <v>2952.6747809778954</v>
      </c>
      <c r="DZ21" s="12">
        <f t="shared" si="69"/>
        <v>2923.1480331681164</v>
      </c>
      <c r="EA21" s="12">
        <f t="shared" si="69"/>
        <v>2893.9165528364351</v>
      </c>
      <c r="EB21" s="12">
        <f t="shared" si="69"/>
        <v>2864.9773873080708</v>
      </c>
      <c r="EC21" s="12">
        <f t="shared" si="69"/>
        <v>2836.3276134349899</v>
      </c>
      <c r="ED21" s="12">
        <f t="shared" si="69"/>
        <v>2807.9643373006397</v>
      </c>
      <c r="EE21" s="12">
        <f t="shared" si="69"/>
        <v>2779.8846939276332</v>
      </c>
      <c r="EF21" s="12">
        <f t="shared" si="69"/>
        <v>2752.0858469883569</v>
      </c>
      <c r="EG21" s="12">
        <f t="shared" si="69"/>
        <v>2724.5649885184735</v>
      </c>
      <c r="EH21" s="12">
        <f t="shared" si="69"/>
        <v>2697.3193386332887</v>
      </c>
      <c r="EI21" s="12">
        <f t="shared" si="69"/>
        <v>2670.346145246956</v>
      </c>
      <c r="EJ21" s="12">
        <f t="shared" si="69"/>
        <v>2643.6426837944864</v>
      </c>
      <c r="EK21" s="12">
        <f t="shared" si="69"/>
        <v>2617.2062569565414</v>
      </c>
    </row>
    <row r="22" spans="3:141" x14ac:dyDescent="0.25">
      <c r="C22" s="2" t="s">
        <v>63</v>
      </c>
      <c r="D22" s="9">
        <v>420.38099999999997</v>
      </c>
      <c r="E22" s="9">
        <v>420.38099999999997</v>
      </c>
      <c r="F22" s="9">
        <v>420.38099999999997</v>
      </c>
      <c r="G22" s="9">
        <v>420.38099999999997</v>
      </c>
      <c r="H22" s="9">
        <v>420.38099999999997</v>
      </c>
      <c r="I22" s="9">
        <v>420.38099999999997</v>
      </c>
      <c r="J22" s="9">
        <v>420.38099999999997</v>
      </c>
      <c r="K22" s="9">
        <v>420.38099999999997</v>
      </c>
      <c r="L22" s="9">
        <v>420.38099999999997</v>
      </c>
      <c r="M22" s="9">
        <v>420.38099999999997</v>
      </c>
      <c r="N22" s="8">
        <v>420.38099999999997</v>
      </c>
      <c r="O22" s="44">
        <v>1321.1976</v>
      </c>
      <c r="P22" s="44">
        <v>1321.1976</v>
      </c>
      <c r="Q22" s="44">
        <v>1321.1976</v>
      </c>
      <c r="R22" s="44">
        <v>1321.1976</v>
      </c>
      <c r="S22" s="44">
        <v>1321.1976</v>
      </c>
      <c r="T22" s="44">
        <v>1321.1976</v>
      </c>
      <c r="U22" s="44">
        <v>1321.1976</v>
      </c>
      <c r="V22" s="44">
        <v>1321.1976</v>
      </c>
      <c r="W22" s="44">
        <v>1321.1976</v>
      </c>
      <c r="X22" s="44">
        <v>1321.1976</v>
      </c>
    </row>
    <row r="23" spans="3:141" x14ac:dyDescent="0.25">
      <c r="C23" s="2" t="s">
        <v>64</v>
      </c>
      <c r="D23" s="18">
        <f t="shared" ref="D23:M23" si="70">D21/D22</f>
        <v>4.4102849557901047</v>
      </c>
      <c r="E23" s="18">
        <f t="shared" si="70"/>
        <v>24.898841764970349</v>
      </c>
      <c r="F23" s="18">
        <f t="shared" si="70"/>
        <v>31.687921195296649</v>
      </c>
      <c r="G23" s="18">
        <f t="shared" si="70"/>
        <v>43.45105987187813</v>
      </c>
      <c r="H23" s="18">
        <f t="shared" si="70"/>
        <v>17.343790513843395</v>
      </c>
      <c r="I23" s="18">
        <f t="shared" si="70"/>
        <v>36.985496490088757</v>
      </c>
      <c r="J23" s="18">
        <f t="shared" si="70"/>
        <v>25.89793544427555</v>
      </c>
      <c r="K23" s="18">
        <f t="shared" si="70"/>
        <v>35.672401940144773</v>
      </c>
      <c r="L23" s="18">
        <f t="shared" si="70"/>
        <v>-48.008830085089478</v>
      </c>
      <c r="M23" s="18">
        <f t="shared" si="70"/>
        <v>3.8060711592579115E-2</v>
      </c>
      <c r="N23" s="25">
        <f t="shared" ref="N23" si="71">N21/N22</f>
        <v>17.095948675130405</v>
      </c>
      <c r="O23" s="18">
        <f t="shared" ref="O23" si="72">O21/O22</f>
        <v>6.4202568941996221</v>
      </c>
      <c r="P23" s="18">
        <f t="shared" ref="P23" si="73">P21/P22</f>
        <v>6.4202568941996221</v>
      </c>
      <c r="Q23" s="18">
        <f t="shared" ref="Q23" si="74">Q21/Q22</f>
        <v>6.4202568941996221</v>
      </c>
      <c r="R23" s="18">
        <f t="shared" ref="R23" si="75">R21/R22</f>
        <v>6.4202568941996221</v>
      </c>
      <c r="S23" s="18">
        <f t="shared" ref="S23" si="76">S21/S22</f>
        <v>6.4202568941996221</v>
      </c>
      <c r="T23" s="18">
        <f t="shared" ref="T23" si="77">T21/T22</f>
        <v>6.4202568941996221</v>
      </c>
      <c r="U23" s="18">
        <f t="shared" ref="U23" si="78">U21/U22</f>
        <v>6.4202568941996221</v>
      </c>
      <c r="V23" s="18">
        <f t="shared" ref="V23" si="79">V21/V22</f>
        <v>6.4202568941996221</v>
      </c>
      <c r="W23" s="18">
        <f t="shared" ref="W23" si="80">W21/W22</f>
        <v>6.4202568941996221</v>
      </c>
      <c r="X23" s="18">
        <f t="shared" ref="X23" si="81">X21/X22</f>
        <v>6.4202568941996221</v>
      </c>
    </row>
    <row r="24" spans="3:141" x14ac:dyDescent="0.25">
      <c r="N24" s="4"/>
      <c r="Z24" s="2" t="s">
        <v>155</v>
      </c>
      <c r="AA24" s="36">
        <v>0.08</v>
      </c>
    </row>
    <row r="25" spans="3:141" x14ac:dyDescent="0.25">
      <c r="C25" s="1" t="s">
        <v>38</v>
      </c>
      <c r="D25" s="22"/>
      <c r="E25" s="22">
        <f t="shared" ref="E25:L25" si="82">(E4-D4)/D4</f>
        <v>-0.13963842417701025</v>
      </c>
      <c r="F25" s="22">
        <f t="shared" si="82"/>
        <v>4.0353353196382835E-2</v>
      </c>
      <c r="G25" s="22">
        <f t="shared" si="82"/>
        <v>0.26480095128037651</v>
      </c>
      <c r="H25" s="22">
        <f t="shared" si="82"/>
        <v>-6.7823093220338984E-2</v>
      </c>
      <c r="I25" s="22">
        <f t="shared" si="82"/>
        <v>-0.28760760248870709</v>
      </c>
      <c r="J25" s="22">
        <f t="shared" si="82"/>
        <v>0.54878267631752109</v>
      </c>
      <c r="K25" s="22">
        <f t="shared" si="82"/>
        <v>0.702998467936091</v>
      </c>
      <c r="L25" s="22">
        <f t="shared" si="82"/>
        <v>-0.40084066012987896</v>
      </c>
      <c r="M25" s="22">
        <f>(M4-L4)/L4</f>
        <v>-0.10372847138981768</v>
      </c>
      <c r="N25" s="26">
        <f t="shared" ref="N25:X25" si="83">(N4-M4)/M4</f>
        <v>0.14999999999999988</v>
      </c>
      <c r="O25" s="22">
        <f t="shared" si="83"/>
        <v>0</v>
      </c>
      <c r="P25" s="22">
        <f t="shared" si="83"/>
        <v>0</v>
      </c>
      <c r="Q25" s="22">
        <f t="shared" si="83"/>
        <v>0</v>
      </c>
      <c r="R25" s="22">
        <f t="shared" si="83"/>
        <v>0</v>
      </c>
      <c r="S25" s="22">
        <f t="shared" si="83"/>
        <v>0</v>
      </c>
      <c r="T25" s="22">
        <f t="shared" si="83"/>
        <v>0</v>
      </c>
      <c r="U25" s="22">
        <f t="shared" si="83"/>
        <v>0</v>
      </c>
      <c r="V25" s="22">
        <f t="shared" si="83"/>
        <v>0</v>
      </c>
      <c r="W25" s="22">
        <f t="shared" si="83"/>
        <v>0</v>
      </c>
      <c r="X25" s="22">
        <f t="shared" si="83"/>
        <v>0</v>
      </c>
      <c r="Z25" s="2" t="s">
        <v>156</v>
      </c>
      <c r="AA25" s="36">
        <v>-0.01</v>
      </c>
    </row>
    <row r="26" spans="3:141" x14ac:dyDescent="0.25">
      <c r="C26" s="2" t="s">
        <v>65</v>
      </c>
      <c r="D26" s="10">
        <f t="shared" ref="D26:M26" si="84">D6/D4</f>
        <v>0.22736403429873478</v>
      </c>
      <c r="E26" s="10">
        <f t="shared" si="84"/>
        <v>0.3444845190179987</v>
      </c>
      <c r="F26" s="10">
        <f t="shared" si="84"/>
        <v>0.31846120350365942</v>
      </c>
      <c r="G26" s="10">
        <f t="shared" si="84"/>
        <v>0.28471927966101696</v>
      </c>
      <c r="H26" s="10">
        <f t="shared" si="84"/>
        <v>0.39151680445467202</v>
      </c>
      <c r="I26" s="10">
        <f t="shared" si="84"/>
        <v>0.48587266455304978</v>
      </c>
      <c r="J26" s="10">
        <f t="shared" si="84"/>
        <v>0.31623601508889831</v>
      </c>
      <c r="K26" s="10">
        <f t="shared" si="84"/>
        <v>0.26545809173174473</v>
      </c>
      <c r="L26" s="10">
        <f t="shared" si="84"/>
        <v>0.41172165793956217</v>
      </c>
      <c r="M26" s="10">
        <f t="shared" si="84"/>
        <v>0.49372131655263679</v>
      </c>
      <c r="N26" s="27">
        <f t="shared" ref="N26:X26" si="85">N6/N4</f>
        <v>0.44999999999999996</v>
      </c>
      <c r="O26" s="10">
        <f t="shared" si="85"/>
        <v>0.44999999999999996</v>
      </c>
      <c r="P26" s="10">
        <f t="shared" si="85"/>
        <v>0.44999999999999996</v>
      </c>
      <c r="Q26" s="10">
        <f t="shared" si="85"/>
        <v>0.44999999999999996</v>
      </c>
      <c r="R26" s="10">
        <f t="shared" si="85"/>
        <v>0.44999999999999996</v>
      </c>
      <c r="S26" s="10">
        <f t="shared" si="85"/>
        <v>0.44999999999999996</v>
      </c>
      <c r="T26" s="10">
        <f t="shared" si="85"/>
        <v>0.44999999999999996</v>
      </c>
      <c r="U26" s="10">
        <f t="shared" si="85"/>
        <v>0.44999999999999996</v>
      </c>
      <c r="V26" s="10">
        <f t="shared" si="85"/>
        <v>0.44999999999999996</v>
      </c>
      <c r="W26" s="10">
        <f t="shared" si="85"/>
        <v>0.44999999999999996</v>
      </c>
      <c r="X26" s="10">
        <f t="shared" si="85"/>
        <v>0.44999999999999996</v>
      </c>
      <c r="Z26" s="35" t="s">
        <v>157</v>
      </c>
      <c r="AA26" s="37">
        <f>NPV(AA24,N21:EK21)</f>
        <v>99372.236578205077</v>
      </c>
    </row>
    <row r="27" spans="3:141" x14ac:dyDescent="0.25">
      <c r="C27" s="2" t="s">
        <v>161</v>
      </c>
      <c r="D27" s="10">
        <f t="shared" ref="D27:L27" si="86">D12/D4</f>
        <v>0.14822809857888108</v>
      </c>
      <c r="E27" s="10">
        <f t="shared" si="86"/>
        <v>0.29514052236335442</v>
      </c>
      <c r="F27" s="10">
        <f t="shared" si="86"/>
        <v>0.37806695808002144</v>
      </c>
      <c r="G27" s="10">
        <f t="shared" si="86"/>
        <v>0.3772643008474576</v>
      </c>
      <c r="H27" s="10">
        <f t="shared" si="86"/>
        <v>0.27017813006051306</v>
      </c>
      <c r="I27" s="10">
        <f t="shared" si="86"/>
        <v>0.33096049929213772</v>
      </c>
      <c r="J27" s="10">
        <f t="shared" si="86"/>
        <v>0.31279852715872952</v>
      </c>
      <c r="K27" s="10">
        <f t="shared" si="86"/>
        <v>0.24234749805332748</v>
      </c>
      <c r="L27" s="10">
        <f t="shared" si="86"/>
        <v>0.23616175635606587</v>
      </c>
      <c r="M27" s="10">
        <f>M12/M4</f>
        <v>0.44991131007686458</v>
      </c>
      <c r="N27" s="27">
        <f t="shared" ref="N27:X27" si="87">N12/N4</f>
        <v>0.23652500762035564</v>
      </c>
      <c r="O27" s="10">
        <f t="shared" si="87"/>
        <v>0.23747397143560151</v>
      </c>
      <c r="P27" s="10">
        <f t="shared" si="87"/>
        <v>0.23747397143560151</v>
      </c>
      <c r="Q27" s="10">
        <f t="shared" si="87"/>
        <v>0.23747397143560151</v>
      </c>
      <c r="R27" s="10">
        <f t="shared" si="87"/>
        <v>0.23747397143560151</v>
      </c>
      <c r="S27" s="10">
        <f t="shared" si="87"/>
        <v>0.23747397143560151</v>
      </c>
      <c r="T27" s="10">
        <f t="shared" si="87"/>
        <v>0.23747397143560151</v>
      </c>
      <c r="U27" s="10">
        <f t="shared" si="87"/>
        <v>0.23747397143560151</v>
      </c>
      <c r="V27" s="10">
        <f t="shared" si="87"/>
        <v>0.23747397143560151</v>
      </c>
      <c r="W27" s="10">
        <f t="shared" si="87"/>
        <v>0.23747397143560151</v>
      </c>
      <c r="X27" s="10">
        <f t="shared" si="87"/>
        <v>0.23747397143560151</v>
      </c>
      <c r="Z27" s="2" t="s">
        <v>2</v>
      </c>
      <c r="AA27" s="44">
        <v>1321.1976</v>
      </c>
    </row>
    <row r="28" spans="3:141" x14ac:dyDescent="0.25">
      <c r="C28" s="1" t="s">
        <v>39</v>
      </c>
      <c r="D28" s="22">
        <f t="shared" ref="D28:L28" si="88">D14/D4</f>
        <v>4.5436829165917132E-2</v>
      </c>
      <c r="E28" s="22">
        <f t="shared" si="88"/>
        <v>0.20397957939121494</v>
      </c>
      <c r="F28" s="22">
        <f t="shared" si="88"/>
        <v>0.2728231924835452</v>
      </c>
      <c r="G28" s="22">
        <f t="shared" si="88"/>
        <v>0.30609110169491527</v>
      </c>
      <c r="H28" s="22">
        <f t="shared" si="88"/>
        <v>0.16460694906105286</v>
      </c>
      <c r="I28" s="22">
        <f t="shared" si="88"/>
        <v>0.17965743454766606</v>
      </c>
      <c r="J28" s="22">
        <f t="shared" si="88"/>
        <v>0.20850231097035005</v>
      </c>
      <c r="K28" s="22">
        <f t="shared" si="88"/>
        <v>0.14948932921067154</v>
      </c>
      <c r="L28" s="22">
        <f t="shared" si="88"/>
        <v>-0.22526023594725886</v>
      </c>
      <c r="M28" s="22">
        <f>M14/M4</f>
        <v>8.6873891375960813E-2</v>
      </c>
      <c r="N28" s="26">
        <f t="shared" ref="N28:X28" si="89">N14/N4</f>
        <v>0.15083426062963104</v>
      </c>
      <c r="O28" s="22">
        <f t="shared" si="89"/>
        <v>0.17626629501365537</v>
      </c>
      <c r="P28" s="22">
        <f t="shared" si="89"/>
        <v>0.17626629501365537</v>
      </c>
      <c r="Q28" s="22">
        <f t="shared" si="89"/>
        <v>0.17626629501365537</v>
      </c>
      <c r="R28" s="22">
        <f t="shared" si="89"/>
        <v>0.17626629501365537</v>
      </c>
      <c r="S28" s="22">
        <f t="shared" si="89"/>
        <v>0.17626629501365537</v>
      </c>
      <c r="T28" s="22">
        <f t="shared" si="89"/>
        <v>0.17626629501365537</v>
      </c>
      <c r="U28" s="22">
        <f t="shared" si="89"/>
        <v>0.17626629501365537</v>
      </c>
      <c r="V28" s="22">
        <f t="shared" si="89"/>
        <v>0.17626629501365537</v>
      </c>
      <c r="W28" s="22">
        <f t="shared" si="89"/>
        <v>0.17626629501365537</v>
      </c>
      <c r="X28" s="22">
        <f t="shared" si="89"/>
        <v>0.17626629501365537</v>
      </c>
      <c r="Z28" s="2" t="s">
        <v>158</v>
      </c>
      <c r="AA28" s="38">
        <f>AA26/AA27</f>
        <v>75.21375801636718</v>
      </c>
    </row>
    <row r="29" spans="3:141" x14ac:dyDescent="0.25">
      <c r="Z29" s="1" t="s">
        <v>159</v>
      </c>
      <c r="AA29" s="39">
        <f>(AA28-Modell!B4)/Modell!B4</f>
        <v>-0.37321868319694018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4FCD-251A-7C40-B12D-254DA704B0D5}">
  <dimension ref="A2:Z67"/>
  <sheetViews>
    <sheetView showGridLines="0" zoomScale="90" zoomScaleNormal="90" workbookViewId="0">
      <selection activeCell="N52" sqref="N52"/>
    </sheetView>
  </sheetViews>
  <sheetFormatPr baseColWidth="10" defaultRowHeight="19" x14ac:dyDescent="0.25"/>
  <cols>
    <col min="1" max="3" width="10.83203125" style="2"/>
    <col min="4" max="4" width="20.83203125" style="4" customWidth="1"/>
    <col min="5" max="13" width="10.83203125" style="2"/>
    <col min="14" max="14" width="15.5" style="4" customWidth="1"/>
    <col min="15" max="18" width="10.83203125" style="2"/>
    <col min="19" max="19" width="16.5" style="4" customWidth="1"/>
    <col min="20" max="16384" width="10.83203125" style="2"/>
  </cols>
  <sheetData>
    <row r="2" spans="1:26" s="35" customFormat="1" x14ac:dyDescent="0.25">
      <c r="A2" s="30" t="s">
        <v>166</v>
      </c>
      <c r="D2" s="42"/>
      <c r="E2" s="30" t="s">
        <v>188</v>
      </c>
      <c r="N2" s="42"/>
      <c r="O2" s="30" t="s">
        <v>273</v>
      </c>
      <c r="S2" s="42"/>
      <c r="T2" s="30" t="s">
        <v>300</v>
      </c>
    </row>
    <row r="4" spans="1:26" x14ac:dyDescent="0.25">
      <c r="A4" s="1" t="s">
        <v>167</v>
      </c>
      <c r="E4" s="1" t="s">
        <v>189</v>
      </c>
      <c r="J4" s="1" t="s">
        <v>236</v>
      </c>
      <c r="O4" s="1" t="s">
        <v>274</v>
      </c>
      <c r="T4" s="1" t="s">
        <v>301</v>
      </c>
      <c r="Z4" s="1" t="s">
        <v>326</v>
      </c>
    </row>
    <row r="5" spans="1:26" x14ac:dyDescent="0.25">
      <c r="A5" s="1" t="s">
        <v>204</v>
      </c>
      <c r="E5" s="2" t="s">
        <v>190</v>
      </c>
      <c r="J5" s="2" t="s">
        <v>237</v>
      </c>
      <c r="O5" s="2" t="s">
        <v>275</v>
      </c>
      <c r="T5" s="2" t="s">
        <v>302</v>
      </c>
      <c r="Z5" s="1" t="s">
        <v>327</v>
      </c>
    </row>
    <row r="6" spans="1:26" x14ac:dyDescent="0.25">
      <c r="A6" s="2" t="s">
        <v>171</v>
      </c>
      <c r="E6" s="1" t="s">
        <v>205</v>
      </c>
      <c r="O6" s="1" t="s">
        <v>276</v>
      </c>
      <c r="T6" s="1" t="s">
        <v>303</v>
      </c>
      <c r="Z6" s="2" t="s">
        <v>328</v>
      </c>
    </row>
    <row r="7" spans="1:26" x14ac:dyDescent="0.25">
      <c r="A7" s="2" t="s">
        <v>172</v>
      </c>
      <c r="E7" s="2" t="s">
        <v>191</v>
      </c>
      <c r="J7" s="1" t="s">
        <v>238</v>
      </c>
      <c r="O7" s="2" t="s">
        <v>277</v>
      </c>
      <c r="T7" s="2" t="s">
        <v>304</v>
      </c>
      <c r="Z7" s="2" t="s">
        <v>214</v>
      </c>
    </row>
    <row r="8" spans="1:26" x14ac:dyDescent="0.25">
      <c r="A8" s="2" t="s">
        <v>173</v>
      </c>
      <c r="E8" s="2" t="s">
        <v>192</v>
      </c>
      <c r="J8" s="2" t="s">
        <v>239</v>
      </c>
      <c r="O8" s="2" t="s">
        <v>199</v>
      </c>
      <c r="T8" s="2" t="s">
        <v>271</v>
      </c>
      <c r="Z8" s="2" t="s">
        <v>329</v>
      </c>
    </row>
    <row r="9" spans="1:26" x14ac:dyDescent="0.25">
      <c r="A9" s="2" t="s">
        <v>174</v>
      </c>
      <c r="E9" s="2" t="s">
        <v>175</v>
      </c>
      <c r="J9" s="2" t="s">
        <v>240</v>
      </c>
      <c r="O9" s="2" t="s">
        <v>278</v>
      </c>
      <c r="T9" s="2" t="s">
        <v>305</v>
      </c>
      <c r="Z9" s="2" t="s">
        <v>330</v>
      </c>
    </row>
    <row r="10" spans="1:26" x14ac:dyDescent="0.25">
      <c r="A10" s="2" t="s">
        <v>175</v>
      </c>
      <c r="J10" s="1" t="s">
        <v>241</v>
      </c>
    </row>
    <row r="11" spans="1:26" x14ac:dyDescent="0.25">
      <c r="E11" s="1" t="s">
        <v>193</v>
      </c>
      <c r="J11" s="2" t="s">
        <v>214</v>
      </c>
      <c r="O11" s="1" t="s">
        <v>279</v>
      </c>
      <c r="T11" s="1" t="s">
        <v>306</v>
      </c>
      <c r="Z11" s="1" t="s">
        <v>331</v>
      </c>
    </row>
    <row r="12" spans="1:26" x14ac:dyDescent="0.25">
      <c r="A12" s="1" t="s">
        <v>168</v>
      </c>
      <c r="E12" s="2" t="s">
        <v>194</v>
      </c>
      <c r="J12" s="2" t="s">
        <v>242</v>
      </c>
      <c r="O12" s="2" t="s">
        <v>280</v>
      </c>
      <c r="T12" s="2" t="s">
        <v>307</v>
      </c>
      <c r="Z12" s="1" t="s">
        <v>332</v>
      </c>
    </row>
    <row r="13" spans="1:26" x14ac:dyDescent="0.25">
      <c r="A13" s="3" t="s">
        <v>176</v>
      </c>
      <c r="E13" s="1" t="s">
        <v>206</v>
      </c>
      <c r="O13" s="2" t="s">
        <v>240</v>
      </c>
      <c r="T13" s="1" t="s">
        <v>308</v>
      </c>
      <c r="Z13" s="2" t="s">
        <v>212</v>
      </c>
    </row>
    <row r="14" spans="1:26" x14ac:dyDescent="0.25">
      <c r="A14" s="1" t="s">
        <v>177</v>
      </c>
      <c r="E14" s="2" t="s">
        <v>195</v>
      </c>
      <c r="J14" s="1" t="s">
        <v>243</v>
      </c>
      <c r="O14" s="1" t="s">
        <v>281</v>
      </c>
      <c r="T14" s="2" t="s">
        <v>309</v>
      </c>
      <c r="Z14" s="2" t="s">
        <v>333</v>
      </c>
    </row>
    <row r="15" spans="1:26" x14ac:dyDescent="0.25">
      <c r="A15" s="2" t="s">
        <v>178</v>
      </c>
      <c r="E15" s="2" t="s">
        <v>196</v>
      </c>
      <c r="J15" s="2" t="s">
        <v>244</v>
      </c>
      <c r="O15" s="2" t="s">
        <v>282</v>
      </c>
      <c r="T15" s="2" t="s">
        <v>247</v>
      </c>
      <c r="Z15" s="2" t="s">
        <v>334</v>
      </c>
    </row>
    <row r="16" spans="1:26" x14ac:dyDescent="0.25">
      <c r="A16" s="2" t="s">
        <v>476</v>
      </c>
      <c r="E16" s="2" t="s">
        <v>175</v>
      </c>
      <c r="J16" s="2" t="s">
        <v>245</v>
      </c>
      <c r="O16" s="2" t="s">
        <v>184</v>
      </c>
      <c r="T16" s="2" t="s">
        <v>310</v>
      </c>
      <c r="Z16" s="2" t="s">
        <v>175</v>
      </c>
    </row>
    <row r="17" spans="1:26" x14ac:dyDescent="0.25">
      <c r="A17" s="2" t="s">
        <v>179</v>
      </c>
      <c r="J17" s="1" t="s">
        <v>246</v>
      </c>
    </row>
    <row r="18" spans="1:26" x14ac:dyDescent="0.25">
      <c r="E18" s="1" t="s">
        <v>197</v>
      </c>
      <c r="J18" s="2" t="s">
        <v>247</v>
      </c>
      <c r="O18" s="1" t="s">
        <v>283</v>
      </c>
      <c r="T18" s="1" t="s">
        <v>311</v>
      </c>
      <c r="Z18" s="1" t="s">
        <v>335</v>
      </c>
    </row>
    <row r="19" spans="1:26" x14ac:dyDescent="0.25">
      <c r="A19" s="1" t="s">
        <v>169</v>
      </c>
      <c r="E19" s="2" t="s">
        <v>198</v>
      </c>
      <c r="J19" s="2" t="s">
        <v>248</v>
      </c>
      <c r="O19" s="2" t="s">
        <v>280</v>
      </c>
      <c r="T19" s="3" t="s">
        <v>176</v>
      </c>
      <c r="Z19" s="1" t="s">
        <v>336</v>
      </c>
    </row>
    <row r="20" spans="1:26" x14ac:dyDescent="0.25">
      <c r="A20" s="1" t="s">
        <v>180</v>
      </c>
      <c r="E20" s="1" t="s">
        <v>207</v>
      </c>
      <c r="O20" s="2" t="s">
        <v>284</v>
      </c>
      <c r="T20" s="2" t="s">
        <v>312</v>
      </c>
      <c r="Z20" s="2" t="s">
        <v>337</v>
      </c>
    </row>
    <row r="21" spans="1:26" x14ac:dyDescent="0.25">
      <c r="A21" s="2" t="s">
        <v>181</v>
      </c>
      <c r="E21" s="2" t="s">
        <v>199</v>
      </c>
      <c r="J21" s="1" t="s">
        <v>249</v>
      </c>
      <c r="O21" s="1" t="s">
        <v>285</v>
      </c>
      <c r="T21" s="1" t="s">
        <v>313</v>
      </c>
      <c r="Z21" s="2" t="s">
        <v>338</v>
      </c>
    </row>
    <row r="22" spans="1:26" x14ac:dyDescent="0.25">
      <c r="A22" s="2" t="s">
        <v>182</v>
      </c>
      <c r="E22" s="2" t="s">
        <v>196</v>
      </c>
      <c r="J22" s="2" t="s">
        <v>255</v>
      </c>
      <c r="O22" s="2" t="s">
        <v>175</v>
      </c>
      <c r="T22" s="2" t="s">
        <v>314</v>
      </c>
      <c r="Z22" s="2" t="s">
        <v>339</v>
      </c>
    </row>
    <row r="23" spans="1:26" x14ac:dyDescent="0.25">
      <c r="A23" s="2" t="s">
        <v>183</v>
      </c>
      <c r="E23" s="2" t="s">
        <v>200</v>
      </c>
      <c r="J23" s="2" t="s">
        <v>250</v>
      </c>
      <c r="O23" s="2" t="s">
        <v>184</v>
      </c>
      <c r="T23" s="2" t="s">
        <v>319</v>
      </c>
      <c r="Z23" s="2" t="s">
        <v>340</v>
      </c>
    </row>
    <row r="24" spans="1:26" x14ac:dyDescent="0.25">
      <c r="A24" s="2" t="s">
        <v>184</v>
      </c>
      <c r="J24" s="1" t="s">
        <v>251</v>
      </c>
      <c r="T24" s="2" t="s">
        <v>474</v>
      </c>
    </row>
    <row r="25" spans="1:26" x14ac:dyDescent="0.25">
      <c r="A25" s="2" t="s">
        <v>185</v>
      </c>
      <c r="E25" s="1" t="s">
        <v>201</v>
      </c>
      <c r="J25" s="2" t="s">
        <v>252</v>
      </c>
      <c r="O25" s="1" t="s">
        <v>286</v>
      </c>
      <c r="Z25" s="1" t="s">
        <v>341</v>
      </c>
    </row>
    <row r="26" spans="1:26" x14ac:dyDescent="0.25">
      <c r="E26" s="2" t="s">
        <v>202</v>
      </c>
      <c r="J26" s="2" t="s">
        <v>253</v>
      </c>
      <c r="O26" s="3" t="s">
        <v>176</v>
      </c>
      <c r="T26" s="1" t="s">
        <v>315</v>
      </c>
      <c r="Z26" s="1" t="s">
        <v>342</v>
      </c>
    </row>
    <row r="27" spans="1:26" x14ac:dyDescent="0.25">
      <c r="A27" s="1" t="s">
        <v>170</v>
      </c>
      <c r="E27" s="1" t="s">
        <v>203</v>
      </c>
      <c r="O27" s="2" t="s">
        <v>288</v>
      </c>
      <c r="T27" s="2" t="s">
        <v>316</v>
      </c>
      <c r="Z27" s="2" t="s">
        <v>245</v>
      </c>
    </row>
    <row r="28" spans="1:26" x14ac:dyDescent="0.25">
      <c r="A28" s="3" t="s">
        <v>176</v>
      </c>
      <c r="E28" s="2" t="s">
        <v>208</v>
      </c>
      <c r="J28" s="1" t="s">
        <v>254</v>
      </c>
      <c r="O28" s="1" t="s">
        <v>287</v>
      </c>
      <c r="T28" s="1" t="s">
        <v>317</v>
      </c>
      <c r="Z28" s="2" t="s">
        <v>343</v>
      </c>
    </row>
    <row r="29" spans="1:26" x14ac:dyDescent="0.25">
      <c r="A29" s="1" t="s">
        <v>186</v>
      </c>
      <c r="E29" s="2" t="s">
        <v>209</v>
      </c>
      <c r="J29" s="2" t="s">
        <v>256</v>
      </c>
      <c r="O29" s="2" t="s">
        <v>175</v>
      </c>
      <c r="T29" s="2" t="s">
        <v>318</v>
      </c>
      <c r="Z29" s="2" t="s">
        <v>344</v>
      </c>
    </row>
    <row r="30" spans="1:26" x14ac:dyDescent="0.25">
      <c r="A30" s="2" t="s">
        <v>187</v>
      </c>
      <c r="E30" s="2" t="s">
        <v>210</v>
      </c>
      <c r="J30" s="2" t="s">
        <v>257</v>
      </c>
      <c r="O30" s="2" t="s">
        <v>475</v>
      </c>
      <c r="T30" s="2" t="s">
        <v>174</v>
      </c>
      <c r="Z30" s="2" t="s">
        <v>175</v>
      </c>
    </row>
    <row r="31" spans="1:26" x14ac:dyDescent="0.25">
      <c r="A31" s="2" t="s">
        <v>477</v>
      </c>
      <c r="J31" s="1" t="s">
        <v>258</v>
      </c>
      <c r="T31" s="2" t="s">
        <v>320</v>
      </c>
    </row>
    <row r="32" spans="1:26" x14ac:dyDescent="0.25">
      <c r="A32" s="2" t="s">
        <v>175</v>
      </c>
      <c r="E32" s="1" t="s">
        <v>211</v>
      </c>
      <c r="J32" s="2" t="s">
        <v>259</v>
      </c>
      <c r="O32" s="1" t="s">
        <v>289</v>
      </c>
      <c r="Z32" s="1" t="s">
        <v>345</v>
      </c>
    </row>
    <row r="33" spans="5:26" x14ac:dyDescent="0.25">
      <c r="E33" s="2" t="s">
        <v>209</v>
      </c>
      <c r="J33" s="2" t="s">
        <v>260</v>
      </c>
      <c r="T33" s="1" t="s">
        <v>321</v>
      </c>
      <c r="Z33" s="1" t="s">
        <v>351</v>
      </c>
    </row>
    <row r="34" spans="5:26" x14ac:dyDescent="0.25">
      <c r="E34" s="2" t="s">
        <v>212</v>
      </c>
      <c r="O34" s="1" t="s">
        <v>290</v>
      </c>
      <c r="T34" s="2" t="s">
        <v>316</v>
      </c>
      <c r="Z34" s="2" t="s">
        <v>346</v>
      </c>
    </row>
    <row r="35" spans="5:26" x14ac:dyDescent="0.25">
      <c r="E35" s="1" t="s">
        <v>213</v>
      </c>
      <c r="F35" s="1"/>
      <c r="J35" s="1" t="s">
        <v>261</v>
      </c>
      <c r="O35" s="2" t="s">
        <v>291</v>
      </c>
      <c r="T35" s="1" t="s">
        <v>322</v>
      </c>
      <c r="Z35" s="2" t="s">
        <v>347</v>
      </c>
    </row>
    <row r="36" spans="5:26" x14ac:dyDescent="0.25">
      <c r="E36" s="2" t="s">
        <v>214</v>
      </c>
      <c r="J36" s="2" t="s">
        <v>262</v>
      </c>
      <c r="O36" s="1" t="s">
        <v>292</v>
      </c>
      <c r="T36" s="2" t="s">
        <v>323</v>
      </c>
      <c r="Z36" s="2" t="s">
        <v>348</v>
      </c>
    </row>
    <row r="37" spans="5:26" x14ac:dyDescent="0.25">
      <c r="E37" s="2" t="s">
        <v>175</v>
      </c>
      <c r="J37" s="2" t="s">
        <v>263</v>
      </c>
      <c r="O37" s="2" t="s">
        <v>478</v>
      </c>
      <c r="T37" s="2" t="s">
        <v>325</v>
      </c>
      <c r="Z37" s="2" t="s">
        <v>349</v>
      </c>
    </row>
    <row r="38" spans="5:26" x14ac:dyDescent="0.25">
      <c r="J38" s="1" t="s">
        <v>264</v>
      </c>
      <c r="T38" s="2" t="s">
        <v>324</v>
      </c>
    </row>
    <row r="39" spans="5:26" x14ac:dyDescent="0.25">
      <c r="E39" s="1" t="s">
        <v>215</v>
      </c>
      <c r="J39" s="2" t="s">
        <v>265</v>
      </c>
      <c r="O39" s="1" t="s">
        <v>293</v>
      </c>
    </row>
    <row r="40" spans="5:26" x14ac:dyDescent="0.25">
      <c r="E40" s="2" t="s">
        <v>216</v>
      </c>
      <c r="J40" s="2" t="s">
        <v>266</v>
      </c>
    </row>
    <row r="41" spans="5:26" x14ac:dyDescent="0.25">
      <c r="E41" s="1" t="s">
        <v>217</v>
      </c>
      <c r="O41" s="1" t="s">
        <v>294</v>
      </c>
    </row>
    <row r="42" spans="5:26" x14ac:dyDescent="0.25">
      <c r="E42" s="2" t="s">
        <v>218</v>
      </c>
      <c r="J42" s="1" t="s">
        <v>267</v>
      </c>
      <c r="O42" s="2" t="s">
        <v>295</v>
      </c>
    </row>
    <row r="43" spans="5:26" x14ac:dyDescent="0.25">
      <c r="E43" s="2" t="s">
        <v>219</v>
      </c>
      <c r="J43" s="2" t="s">
        <v>268</v>
      </c>
      <c r="O43" s="1" t="s">
        <v>296</v>
      </c>
    </row>
    <row r="44" spans="5:26" x14ac:dyDescent="0.25">
      <c r="E44" s="2" t="s">
        <v>220</v>
      </c>
      <c r="J44" s="2" t="s">
        <v>269</v>
      </c>
      <c r="O44" s="2" t="s">
        <v>297</v>
      </c>
    </row>
    <row r="45" spans="5:26" x14ac:dyDescent="0.25">
      <c r="E45" s="2" t="s">
        <v>221</v>
      </c>
      <c r="J45" s="1" t="s">
        <v>270</v>
      </c>
      <c r="O45" s="2" t="s">
        <v>298</v>
      </c>
    </row>
    <row r="46" spans="5:26" x14ac:dyDescent="0.25">
      <c r="J46" s="2" t="s">
        <v>271</v>
      </c>
      <c r="O46" s="2" t="s">
        <v>299</v>
      </c>
    </row>
    <row r="47" spans="5:26" x14ac:dyDescent="0.25">
      <c r="E47" s="1" t="s">
        <v>222</v>
      </c>
      <c r="J47" s="2" t="s">
        <v>272</v>
      </c>
    </row>
    <row r="48" spans="5:26" x14ac:dyDescent="0.25">
      <c r="E48" s="2" t="s">
        <v>223</v>
      </c>
    </row>
    <row r="49" spans="5:5" x14ac:dyDescent="0.25">
      <c r="E49" s="1" t="s">
        <v>224</v>
      </c>
    </row>
    <row r="50" spans="5:5" x14ac:dyDescent="0.25">
      <c r="E50" s="2" t="s">
        <v>225</v>
      </c>
    </row>
    <row r="51" spans="5:5" x14ac:dyDescent="0.25">
      <c r="E51" s="2" t="s">
        <v>226</v>
      </c>
    </row>
    <row r="52" spans="5:5" x14ac:dyDescent="0.25">
      <c r="E52" s="2" t="s">
        <v>227</v>
      </c>
    </row>
    <row r="53" spans="5:5" x14ac:dyDescent="0.25">
      <c r="E53" s="2" t="s">
        <v>228</v>
      </c>
    </row>
    <row r="55" spans="5:5" x14ac:dyDescent="0.25">
      <c r="E55" s="1" t="s">
        <v>231</v>
      </c>
    </row>
    <row r="56" spans="5:5" x14ac:dyDescent="0.25">
      <c r="E56" s="3" t="s">
        <v>176</v>
      </c>
    </row>
    <row r="57" spans="5:5" x14ac:dyDescent="0.25">
      <c r="E57" s="1" t="s">
        <v>229</v>
      </c>
    </row>
    <row r="58" spans="5:5" x14ac:dyDescent="0.25">
      <c r="E58" s="2" t="s">
        <v>479</v>
      </c>
    </row>
    <row r="59" spans="5:5" x14ac:dyDescent="0.25">
      <c r="E59" s="2" t="s">
        <v>230</v>
      </c>
    </row>
    <row r="60" spans="5:5" x14ac:dyDescent="0.25">
      <c r="E60" s="2" t="s">
        <v>175</v>
      </c>
    </row>
    <row r="62" spans="5:5" x14ac:dyDescent="0.25">
      <c r="E62" s="1" t="s">
        <v>350</v>
      </c>
    </row>
    <row r="63" spans="5:5" x14ac:dyDescent="0.25">
      <c r="E63" s="11" t="s">
        <v>232</v>
      </c>
    </row>
    <row r="64" spans="5:5" x14ac:dyDescent="0.25">
      <c r="E64" s="1" t="s">
        <v>233</v>
      </c>
    </row>
    <row r="65" spans="5:5" x14ac:dyDescent="0.25">
      <c r="E65" s="2" t="s">
        <v>234</v>
      </c>
    </row>
    <row r="66" spans="5:5" x14ac:dyDescent="0.25">
      <c r="E66" s="2" t="s">
        <v>235</v>
      </c>
    </row>
    <row r="67" spans="5:5" x14ac:dyDescent="0.25">
      <c r="E67" s="2" t="s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2BAE-9B36-4E45-87F4-EF90FE793B37}">
  <dimension ref="A1"/>
  <sheetViews>
    <sheetView showGridLines="0" workbookViewId="0">
      <selection activeCell="F23" sqref="F23"/>
    </sheetView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5B89-1132-2045-B3A7-E704B4D9DFA0}">
  <dimension ref="A15:I112"/>
  <sheetViews>
    <sheetView showGridLines="0" workbookViewId="0">
      <selection activeCell="O21" sqref="O21"/>
    </sheetView>
  </sheetViews>
  <sheetFormatPr baseColWidth="10" defaultRowHeight="19" x14ac:dyDescent="0.25"/>
  <cols>
    <col min="1" max="2" width="10.83203125" style="2"/>
    <col min="3" max="3" width="12" style="2" customWidth="1"/>
    <col min="4" max="7" width="10.83203125" style="2"/>
    <col min="8" max="8" width="12.33203125" style="2" customWidth="1"/>
    <col min="9" max="16384" width="10.83203125" style="2"/>
  </cols>
  <sheetData>
    <row r="15" spans="1:9" s="35" customFormat="1" x14ac:dyDescent="0.25">
      <c r="A15" s="30" t="s">
        <v>378</v>
      </c>
      <c r="D15" s="30" t="s">
        <v>398</v>
      </c>
      <c r="I15" s="30" t="s">
        <v>403</v>
      </c>
    </row>
    <row r="16" spans="1:9" x14ac:dyDescent="0.25">
      <c r="A16" s="1" t="s">
        <v>383</v>
      </c>
      <c r="C16" s="47"/>
      <c r="D16" s="1" t="s">
        <v>392</v>
      </c>
      <c r="H16" s="47"/>
      <c r="I16" s="1" t="s">
        <v>404</v>
      </c>
    </row>
    <row r="17" spans="1:9" x14ac:dyDescent="0.25">
      <c r="A17" s="2" t="s">
        <v>379</v>
      </c>
      <c r="C17" s="4"/>
      <c r="D17" s="2" t="s">
        <v>176</v>
      </c>
      <c r="H17" s="4"/>
      <c r="I17" s="2" t="s">
        <v>379</v>
      </c>
    </row>
    <row r="18" spans="1:9" x14ac:dyDescent="0.25">
      <c r="A18" s="2" t="s">
        <v>380</v>
      </c>
      <c r="C18" s="4"/>
      <c r="D18" s="1" t="s">
        <v>393</v>
      </c>
      <c r="H18" s="4"/>
      <c r="I18" s="2" t="s">
        <v>405</v>
      </c>
    </row>
    <row r="19" spans="1:9" x14ac:dyDescent="0.25">
      <c r="A19" s="2" t="s">
        <v>381</v>
      </c>
      <c r="C19" s="4"/>
      <c r="D19" s="2" t="s">
        <v>394</v>
      </c>
      <c r="H19" s="4"/>
      <c r="I19" s="1" t="s">
        <v>418</v>
      </c>
    </row>
    <row r="20" spans="1:9" x14ac:dyDescent="0.25">
      <c r="A20" s="1" t="s">
        <v>382</v>
      </c>
      <c r="C20" s="4"/>
      <c r="H20" s="4"/>
      <c r="I20" s="2" t="s">
        <v>226</v>
      </c>
    </row>
    <row r="21" spans="1:9" x14ac:dyDescent="0.25">
      <c r="A21" s="2" t="s">
        <v>226</v>
      </c>
      <c r="C21" s="4"/>
      <c r="D21" s="1" t="s">
        <v>395</v>
      </c>
      <c r="H21" s="4"/>
    </row>
    <row r="22" spans="1:9" x14ac:dyDescent="0.25">
      <c r="C22" s="4"/>
      <c r="D22" s="2" t="s">
        <v>176</v>
      </c>
      <c r="H22" s="4"/>
      <c r="I22" s="1" t="s">
        <v>406</v>
      </c>
    </row>
    <row r="23" spans="1:9" x14ac:dyDescent="0.25">
      <c r="A23" s="1" t="s">
        <v>384</v>
      </c>
      <c r="C23" s="4"/>
      <c r="D23" s="2" t="s">
        <v>396</v>
      </c>
      <c r="H23" s="4"/>
      <c r="I23" s="2" t="s">
        <v>379</v>
      </c>
    </row>
    <row r="24" spans="1:9" x14ac:dyDescent="0.25">
      <c r="A24" s="2" t="s">
        <v>379</v>
      </c>
      <c r="C24" s="4"/>
      <c r="D24" s="1" t="s">
        <v>397</v>
      </c>
      <c r="H24" s="4"/>
      <c r="I24" s="2" t="s">
        <v>407</v>
      </c>
    </row>
    <row r="25" spans="1:9" x14ac:dyDescent="0.25">
      <c r="A25" s="2" t="s">
        <v>385</v>
      </c>
      <c r="C25" s="4"/>
      <c r="D25" s="2" t="s">
        <v>394</v>
      </c>
      <c r="H25" s="4"/>
      <c r="I25" s="1" t="s">
        <v>419</v>
      </c>
    </row>
    <row r="26" spans="1:9" x14ac:dyDescent="0.25">
      <c r="A26" s="2" t="s">
        <v>386</v>
      </c>
      <c r="C26" s="4"/>
      <c r="H26" s="4"/>
      <c r="I26" s="2" t="s">
        <v>184</v>
      </c>
    </row>
    <row r="27" spans="1:9" x14ac:dyDescent="0.25">
      <c r="A27" s="1" t="s">
        <v>387</v>
      </c>
      <c r="C27" s="4"/>
      <c r="D27" s="1" t="s">
        <v>399</v>
      </c>
      <c r="H27" s="4"/>
    </row>
    <row r="28" spans="1:9" x14ac:dyDescent="0.25">
      <c r="A28" s="2" t="s">
        <v>184</v>
      </c>
      <c r="C28" s="4"/>
      <c r="D28" s="2" t="s">
        <v>400</v>
      </c>
      <c r="H28" s="4"/>
      <c r="I28" s="1" t="s">
        <v>408</v>
      </c>
    </row>
    <row r="29" spans="1:9" x14ac:dyDescent="0.25">
      <c r="C29" s="4"/>
      <c r="D29" s="2" t="s">
        <v>401</v>
      </c>
      <c r="H29" s="4"/>
      <c r="I29" s="2" t="s">
        <v>379</v>
      </c>
    </row>
    <row r="30" spans="1:9" x14ac:dyDescent="0.25">
      <c r="A30" s="1" t="s">
        <v>388</v>
      </c>
      <c r="C30" s="4"/>
      <c r="D30" s="1" t="s">
        <v>402</v>
      </c>
      <c r="H30" s="4"/>
      <c r="I30" s="2" t="s">
        <v>409</v>
      </c>
    </row>
    <row r="31" spans="1:9" x14ac:dyDescent="0.25">
      <c r="A31" s="2" t="s">
        <v>379</v>
      </c>
      <c r="C31" s="4"/>
      <c r="D31" s="2" t="s">
        <v>247</v>
      </c>
      <c r="H31" s="4"/>
      <c r="I31" s="1" t="s">
        <v>420</v>
      </c>
    </row>
    <row r="32" spans="1:9" x14ac:dyDescent="0.25">
      <c r="A32" s="1" t="s">
        <v>389</v>
      </c>
      <c r="C32" s="4"/>
      <c r="H32" s="4"/>
      <c r="I32" s="2" t="s">
        <v>184</v>
      </c>
    </row>
    <row r="33" spans="1:9" x14ac:dyDescent="0.25">
      <c r="A33" s="2" t="s">
        <v>325</v>
      </c>
      <c r="C33" s="4"/>
      <c r="H33" s="4"/>
    </row>
    <row r="34" spans="1:9" x14ac:dyDescent="0.25">
      <c r="C34" s="4"/>
      <c r="H34" s="4"/>
      <c r="I34" s="1" t="s">
        <v>410</v>
      </c>
    </row>
    <row r="35" spans="1:9" x14ac:dyDescent="0.25">
      <c r="A35" s="1" t="s">
        <v>390</v>
      </c>
      <c r="C35" s="4"/>
      <c r="H35" s="4"/>
      <c r="I35" s="2" t="s">
        <v>379</v>
      </c>
    </row>
    <row r="36" spans="1:9" x14ac:dyDescent="0.25">
      <c r="A36" s="2" t="s">
        <v>176</v>
      </c>
      <c r="C36" s="4"/>
      <c r="H36" s="4"/>
      <c r="I36" s="2" t="s">
        <v>411</v>
      </c>
    </row>
    <row r="37" spans="1:9" x14ac:dyDescent="0.25">
      <c r="A37" s="1" t="s">
        <v>391</v>
      </c>
      <c r="C37" s="4"/>
      <c r="H37" s="4"/>
      <c r="I37" s="1" t="s">
        <v>421</v>
      </c>
    </row>
    <row r="38" spans="1:9" x14ac:dyDescent="0.25">
      <c r="A38" s="2" t="s">
        <v>325</v>
      </c>
      <c r="C38" s="4"/>
      <c r="H38" s="4"/>
      <c r="I38" s="2" t="s">
        <v>412</v>
      </c>
    </row>
    <row r="39" spans="1:9" x14ac:dyDescent="0.25">
      <c r="C39" s="4"/>
      <c r="H39" s="4"/>
    </row>
    <row r="40" spans="1:9" x14ac:dyDescent="0.25">
      <c r="C40" s="4"/>
      <c r="H40" s="4"/>
      <c r="I40" s="1" t="s">
        <v>413</v>
      </c>
    </row>
    <row r="41" spans="1:9" x14ac:dyDescent="0.25">
      <c r="C41" s="4"/>
      <c r="H41" s="4"/>
      <c r="I41" s="2" t="s">
        <v>379</v>
      </c>
    </row>
    <row r="42" spans="1:9" x14ac:dyDescent="0.25">
      <c r="C42" s="4"/>
      <c r="H42" s="4"/>
      <c r="I42" s="2" t="s">
        <v>414</v>
      </c>
    </row>
    <row r="43" spans="1:9" x14ac:dyDescent="0.25">
      <c r="C43" s="4"/>
      <c r="H43" s="4"/>
      <c r="I43" s="1" t="s">
        <v>422</v>
      </c>
    </row>
    <row r="44" spans="1:9" x14ac:dyDescent="0.25">
      <c r="C44" s="4"/>
      <c r="H44" s="4"/>
      <c r="I44" s="2" t="s">
        <v>415</v>
      </c>
    </row>
    <row r="45" spans="1:9" x14ac:dyDescent="0.25">
      <c r="C45" s="4"/>
      <c r="H45" s="4"/>
    </row>
    <row r="46" spans="1:9" x14ac:dyDescent="0.25">
      <c r="C46" s="4"/>
      <c r="H46" s="4"/>
      <c r="I46" s="1" t="s">
        <v>416</v>
      </c>
    </row>
    <row r="47" spans="1:9" x14ac:dyDescent="0.25">
      <c r="C47" s="4"/>
      <c r="H47" s="4"/>
      <c r="I47" s="2" t="s">
        <v>379</v>
      </c>
    </row>
    <row r="48" spans="1:9" x14ac:dyDescent="0.25">
      <c r="C48" s="4"/>
      <c r="H48" s="4"/>
      <c r="I48" s="2" t="s">
        <v>417</v>
      </c>
    </row>
    <row r="49" spans="3:9" x14ac:dyDescent="0.25">
      <c r="C49" s="4"/>
      <c r="H49" s="4"/>
      <c r="I49" s="1" t="s">
        <v>423</v>
      </c>
    </row>
    <row r="50" spans="3:9" x14ac:dyDescent="0.25">
      <c r="C50" s="4"/>
      <c r="H50" s="4"/>
      <c r="I50" s="2" t="s">
        <v>412</v>
      </c>
    </row>
    <row r="51" spans="3:9" x14ac:dyDescent="0.25">
      <c r="C51" s="4"/>
      <c r="H51" s="4"/>
    </row>
    <row r="52" spans="3:9" x14ac:dyDescent="0.25">
      <c r="C52" s="4"/>
      <c r="H52" s="4"/>
    </row>
    <row r="53" spans="3:9" x14ac:dyDescent="0.25">
      <c r="C53" s="4"/>
      <c r="H53" s="4"/>
    </row>
    <row r="54" spans="3:9" x14ac:dyDescent="0.25">
      <c r="C54" s="4"/>
      <c r="H54" s="4"/>
    </row>
    <row r="55" spans="3:9" x14ac:dyDescent="0.25">
      <c r="C55" s="4"/>
      <c r="H55" s="4"/>
    </row>
    <row r="56" spans="3:9" x14ac:dyDescent="0.25">
      <c r="C56" s="4"/>
      <c r="H56" s="4"/>
    </row>
    <row r="57" spans="3:9" x14ac:dyDescent="0.25">
      <c r="C57" s="4"/>
      <c r="H57" s="4"/>
    </row>
    <row r="58" spans="3:9" x14ac:dyDescent="0.25">
      <c r="C58" s="4"/>
      <c r="H58" s="4"/>
    </row>
    <row r="59" spans="3:9" x14ac:dyDescent="0.25">
      <c r="C59" s="4"/>
      <c r="H59" s="4"/>
    </row>
    <row r="60" spans="3:9" x14ac:dyDescent="0.25">
      <c r="C60" s="4"/>
      <c r="H60" s="4"/>
    </row>
    <row r="61" spans="3:9" x14ac:dyDescent="0.25">
      <c r="C61" s="4"/>
      <c r="H61" s="4"/>
    </row>
    <row r="62" spans="3:9" x14ac:dyDescent="0.25">
      <c r="C62" s="4"/>
      <c r="H62" s="4"/>
    </row>
    <row r="63" spans="3:9" x14ac:dyDescent="0.25">
      <c r="C63" s="4"/>
      <c r="H63" s="4"/>
    </row>
    <row r="64" spans="3:9" x14ac:dyDescent="0.25">
      <c r="C64" s="4"/>
      <c r="H64" s="4"/>
    </row>
    <row r="65" spans="3:8" x14ac:dyDescent="0.25">
      <c r="C65" s="4"/>
      <c r="H65" s="4"/>
    </row>
    <row r="66" spans="3:8" x14ac:dyDescent="0.25">
      <c r="C66" s="4"/>
      <c r="H66" s="4"/>
    </row>
    <row r="67" spans="3:8" x14ac:dyDescent="0.25">
      <c r="C67" s="4"/>
      <c r="H67" s="4"/>
    </row>
    <row r="68" spans="3:8" x14ac:dyDescent="0.25">
      <c r="C68" s="4"/>
      <c r="H68" s="4"/>
    </row>
    <row r="69" spans="3:8" x14ac:dyDescent="0.25">
      <c r="C69" s="4"/>
      <c r="H69" s="4"/>
    </row>
    <row r="70" spans="3:8" x14ac:dyDescent="0.25">
      <c r="C70" s="4"/>
      <c r="H70" s="4"/>
    </row>
    <row r="71" spans="3:8" x14ac:dyDescent="0.25">
      <c r="C71" s="4"/>
      <c r="H71" s="4"/>
    </row>
    <row r="72" spans="3:8" x14ac:dyDescent="0.25">
      <c r="C72" s="4"/>
      <c r="H72" s="4"/>
    </row>
    <row r="73" spans="3:8" x14ac:dyDescent="0.25">
      <c r="C73" s="4"/>
      <c r="H73" s="4"/>
    </row>
    <row r="74" spans="3:8" x14ac:dyDescent="0.25">
      <c r="C74" s="4"/>
      <c r="H74" s="4"/>
    </row>
    <row r="75" spans="3:8" x14ac:dyDescent="0.25">
      <c r="C75" s="4"/>
      <c r="H75" s="4"/>
    </row>
    <row r="76" spans="3:8" x14ac:dyDescent="0.25">
      <c r="C76" s="4"/>
      <c r="H76" s="4"/>
    </row>
    <row r="77" spans="3:8" x14ac:dyDescent="0.25">
      <c r="C77" s="4"/>
      <c r="H77" s="4"/>
    </row>
    <row r="78" spans="3:8" x14ac:dyDescent="0.25">
      <c r="C78" s="4"/>
      <c r="H78" s="4"/>
    </row>
    <row r="79" spans="3:8" x14ac:dyDescent="0.25">
      <c r="C79" s="4"/>
      <c r="H79" s="4"/>
    </row>
    <row r="80" spans="3:8" x14ac:dyDescent="0.25">
      <c r="C80" s="4"/>
      <c r="H80" s="4"/>
    </row>
    <row r="81" spans="3:8" x14ac:dyDescent="0.25">
      <c r="C81" s="4"/>
      <c r="H81" s="4"/>
    </row>
    <row r="82" spans="3:8" x14ac:dyDescent="0.25">
      <c r="C82" s="4"/>
      <c r="H82" s="4"/>
    </row>
    <row r="83" spans="3:8" x14ac:dyDescent="0.25">
      <c r="C83" s="4"/>
      <c r="H83" s="4"/>
    </row>
    <row r="84" spans="3:8" x14ac:dyDescent="0.25">
      <c r="C84" s="4"/>
      <c r="H84" s="4"/>
    </row>
    <row r="85" spans="3:8" x14ac:dyDescent="0.25">
      <c r="C85" s="4"/>
      <c r="H85" s="4"/>
    </row>
    <row r="86" spans="3:8" x14ac:dyDescent="0.25">
      <c r="C86" s="4"/>
      <c r="H86" s="4"/>
    </row>
    <row r="87" spans="3:8" x14ac:dyDescent="0.25">
      <c r="C87" s="4"/>
      <c r="H87" s="4"/>
    </row>
    <row r="88" spans="3:8" x14ac:dyDescent="0.25">
      <c r="C88" s="4"/>
      <c r="H88" s="4"/>
    </row>
    <row r="89" spans="3:8" x14ac:dyDescent="0.25">
      <c r="C89" s="4"/>
      <c r="H89" s="4"/>
    </row>
    <row r="90" spans="3:8" x14ac:dyDescent="0.25">
      <c r="C90" s="4"/>
      <c r="H90" s="4"/>
    </row>
    <row r="91" spans="3:8" x14ac:dyDescent="0.25">
      <c r="C91" s="4"/>
      <c r="H91" s="4"/>
    </row>
    <row r="92" spans="3:8" x14ac:dyDescent="0.25">
      <c r="C92" s="4"/>
      <c r="H92" s="4"/>
    </row>
    <row r="93" spans="3:8" x14ac:dyDescent="0.25">
      <c r="C93" s="4"/>
      <c r="H93" s="4"/>
    </row>
    <row r="94" spans="3:8" x14ac:dyDescent="0.25">
      <c r="C94" s="4"/>
      <c r="H94" s="4"/>
    </row>
    <row r="95" spans="3:8" x14ac:dyDescent="0.25">
      <c r="C95" s="4"/>
      <c r="H95" s="4"/>
    </row>
    <row r="96" spans="3:8" x14ac:dyDescent="0.25">
      <c r="C96" s="4"/>
      <c r="H96" s="4"/>
    </row>
    <row r="97" spans="3:8" x14ac:dyDescent="0.25">
      <c r="C97" s="4"/>
      <c r="H97" s="4"/>
    </row>
    <row r="98" spans="3:8" x14ac:dyDescent="0.25">
      <c r="C98" s="4"/>
      <c r="H98" s="4"/>
    </row>
    <row r="99" spans="3:8" x14ac:dyDescent="0.25">
      <c r="C99" s="4"/>
      <c r="H99" s="4"/>
    </row>
    <row r="100" spans="3:8" x14ac:dyDescent="0.25">
      <c r="C100" s="4"/>
      <c r="H100" s="4"/>
    </row>
    <row r="101" spans="3:8" x14ac:dyDescent="0.25">
      <c r="C101" s="4"/>
      <c r="H101" s="4"/>
    </row>
    <row r="102" spans="3:8" x14ac:dyDescent="0.25">
      <c r="C102" s="4"/>
      <c r="H102" s="4"/>
    </row>
    <row r="103" spans="3:8" x14ac:dyDescent="0.25">
      <c r="C103" s="4"/>
      <c r="H103" s="4"/>
    </row>
    <row r="104" spans="3:8" x14ac:dyDescent="0.25">
      <c r="C104" s="4"/>
      <c r="H104" s="4"/>
    </row>
    <row r="105" spans="3:8" x14ac:dyDescent="0.25">
      <c r="C105" s="4"/>
      <c r="H105" s="4"/>
    </row>
    <row r="106" spans="3:8" x14ac:dyDescent="0.25">
      <c r="C106" s="4"/>
      <c r="H106" s="4"/>
    </row>
    <row r="107" spans="3:8" x14ac:dyDescent="0.25">
      <c r="C107" s="4"/>
      <c r="H107" s="4"/>
    </row>
    <row r="108" spans="3:8" x14ac:dyDescent="0.25">
      <c r="C108" s="4"/>
      <c r="H108" s="4"/>
    </row>
    <row r="109" spans="3:8" x14ac:dyDescent="0.25">
      <c r="C109" s="4"/>
      <c r="H109" s="4"/>
    </row>
    <row r="110" spans="3:8" x14ac:dyDescent="0.25">
      <c r="C110" s="4"/>
      <c r="H110" s="4"/>
    </row>
    <row r="111" spans="3:8" x14ac:dyDescent="0.25">
      <c r="C111" s="4"/>
      <c r="H111" s="4"/>
    </row>
    <row r="112" spans="3:8" x14ac:dyDescent="0.25">
      <c r="H112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Info</vt:lpstr>
      <vt:lpstr>Modell</vt:lpstr>
      <vt:lpstr>Seg_off</vt:lpstr>
      <vt:lpstr>Seg_on</vt:lpstr>
      <vt:lpstr>Seg_Bio</vt:lpstr>
      <vt:lpstr>Nøkkeltall</vt:lpstr>
      <vt:lpstr>Nedsideberegning</vt:lpstr>
      <vt:lpstr>Off wind</vt:lpstr>
      <vt:lpstr>On wind</vt:lpstr>
      <vt:lpstr>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2025-10-07T12:54:53Z</dcterms:modified>
</cp:coreProperties>
</file>