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D2595658-4E72-4440-BE42-E054D1ADCF5E}" xr6:coauthVersionLast="47" xr6:coauthVersionMax="47" xr10:uidLastSave="{00000000-0000-0000-0000-000000000000}"/>
  <bookViews>
    <workbookView xWindow="24220" yWindow="500" windowWidth="26880" windowHeight="26740" activeTab="1" xr2:uid="{5AE0DF26-B7DD-1242-A60E-253C73A930AF}"/>
  </bookViews>
  <sheets>
    <sheet name="Info" sheetId="1" r:id="rId1"/>
    <sheet name="Modell" sheetId="2" r:id="rId2"/>
    <sheet name="Land de selger i" sheetId="4" r:id="rId3"/>
    <sheet name="Nøkkeltall" sheetId="3" r:id="rId4"/>
    <sheet name="Ozempic" sheetId="5" r:id="rId5"/>
    <sheet name="Wegovy" sheetId="6" r:id="rId6"/>
    <sheet name="Rybelsus" sheetId="8" r:id="rId7"/>
    <sheet name="Cagrisema" sheetId="7" r:id="rId8"/>
    <sheet name="Amycreti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" i="2" l="1"/>
  <c r="P54" i="2"/>
  <c r="AA121" i="2"/>
  <c r="AB27" i="2"/>
  <c r="AB26" i="2"/>
  <c r="AB23" i="2"/>
  <c r="AC35" i="2"/>
  <c r="AC5" i="2"/>
  <c r="AG54" i="2"/>
  <c r="AE54" i="2"/>
  <c r="AF54" i="2"/>
  <c r="AH54" i="2"/>
  <c r="AI54" i="2"/>
  <c r="AJ54" i="2"/>
  <c r="AK54" i="2"/>
  <c r="AL54" i="2"/>
  <c r="AM54" i="2"/>
  <c r="AF55" i="2"/>
  <c r="AG55" i="2"/>
  <c r="S34" i="2"/>
  <c r="Q28" i="2"/>
  <c r="Q34" i="2" s="1"/>
  <c r="R28" i="2"/>
  <c r="R34" i="2" s="1"/>
  <c r="S28" i="2"/>
  <c r="P28" i="2"/>
  <c r="Q26" i="2"/>
  <c r="R26" i="2"/>
  <c r="S26" i="2"/>
  <c r="Q17" i="2"/>
  <c r="R17" i="2"/>
  <c r="S17" i="2"/>
  <c r="Q14" i="2"/>
  <c r="R14" i="2"/>
  <c r="S14" i="2"/>
  <c r="Q9" i="2"/>
  <c r="R9" i="2"/>
  <c r="R21" i="2" s="1"/>
  <c r="S9" i="2"/>
  <c r="S21" i="2" s="1"/>
  <c r="S23" i="2" s="1"/>
  <c r="S27" i="2" s="1"/>
  <c r="S8" i="2"/>
  <c r="Q4" i="2"/>
  <c r="Q8" i="2" s="1"/>
  <c r="R4" i="2"/>
  <c r="R8" i="2" s="1"/>
  <c r="R23" i="2" s="1"/>
  <c r="S4" i="2"/>
  <c r="B8" i="2"/>
  <c r="AC30" i="2"/>
  <c r="AC31" i="2"/>
  <c r="AC28" i="2" s="1"/>
  <c r="AC32" i="2"/>
  <c r="AC29" i="2"/>
  <c r="AC25" i="2"/>
  <c r="AC26" i="2" s="1"/>
  <c r="AC24" i="2"/>
  <c r="AC22" i="2"/>
  <c r="AB22" i="2"/>
  <c r="AC19" i="2"/>
  <c r="AC20" i="2"/>
  <c r="AC18" i="2"/>
  <c r="AC17" i="2" s="1"/>
  <c r="AC16" i="2"/>
  <c r="AC15" i="2"/>
  <c r="AC14" i="2" s="1"/>
  <c r="AC11" i="2"/>
  <c r="AC12" i="2"/>
  <c r="AC13" i="2"/>
  <c r="AC10" i="2"/>
  <c r="AC7" i="2"/>
  <c r="AC6" i="2"/>
  <c r="AB20" i="2"/>
  <c r="AB5" i="2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L7" i="4"/>
  <c r="Q7" i="4"/>
  <c r="V7" i="4"/>
  <c r="K7" i="4"/>
  <c r="J7" i="4"/>
  <c r="I7" i="4"/>
  <c r="H7" i="4"/>
  <c r="P7" i="4"/>
  <c r="O7" i="4"/>
  <c r="N7" i="4"/>
  <c r="M7" i="4"/>
  <c r="U7" i="4"/>
  <c r="T7" i="4"/>
  <c r="S7" i="4"/>
  <c r="R7" i="4"/>
  <c r="P9" i="2"/>
  <c r="P53" i="2"/>
  <c r="P26" i="2"/>
  <c r="R27" i="2" l="1"/>
  <c r="Q21" i="2"/>
  <c r="Q23" i="2" s="1"/>
  <c r="Q27" i="2" s="1"/>
  <c r="AC9" i="2"/>
  <c r="AC21" i="2" s="1"/>
  <c r="AC4" i="2"/>
  <c r="AC8" i="2" s="1"/>
  <c r="P112" i="2"/>
  <c r="P108" i="2"/>
  <c r="P36" i="2"/>
  <c r="P33" i="2"/>
  <c r="AC33" i="2" s="1"/>
  <c r="AC34" i="2" s="1"/>
  <c r="P17" i="2"/>
  <c r="P14" i="2"/>
  <c r="P4" i="2"/>
  <c r="P8" i="2" s="1"/>
  <c r="AC23" i="2" l="1"/>
  <c r="AC27" i="2" s="1"/>
  <c r="AD54" i="2"/>
  <c r="O42" i="2"/>
  <c r="P42" i="2"/>
  <c r="O26" i="2"/>
  <c r="P34" i="2"/>
  <c r="P21" i="2"/>
  <c r="P90" i="2"/>
  <c r="P78" i="2"/>
  <c r="P73" i="2"/>
  <c r="P115" i="2"/>
  <c r="P109" i="2"/>
  <c r="P103" i="2"/>
  <c r="P121" i="2" s="1"/>
  <c r="P56" i="2"/>
  <c r="P51" i="2"/>
  <c r="W108" i="2"/>
  <c r="X108" i="2"/>
  <c r="X105" i="2"/>
  <c r="Y108" i="2"/>
  <c r="Z108" i="2"/>
  <c r="AA108" i="2"/>
  <c r="AB108" i="2"/>
  <c r="O114" i="2"/>
  <c r="O113" i="2"/>
  <c r="O112" i="2"/>
  <c r="O111" i="2"/>
  <c r="O106" i="2"/>
  <c r="O105" i="2"/>
  <c r="N108" i="2"/>
  <c r="O108" i="2" s="1"/>
  <c r="O115" i="2" l="1"/>
  <c r="P57" i="2"/>
  <c r="P45" i="2"/>
  <c r="P47" i="2" s="1"/>
  <c r="P23" i="2"/>
  <c r="P119" i="2"/>
  <c r="P91" i="2"/>
  <c r="P27" i="2"/>
  <c r="AC41" i="2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C40" i="2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C39" i="2"/>
  <c r="AC38" i="2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P48" i="2" l="1"/>
  <c r="P94" i="2"/>
  <c r="AD39" i="2"/>
  <c r="AE39" i="2" s="1"/>
  <c r="AF39" i="2" s="1"/>
  <c r="AG39" i="2" l="1"/>
  <c r="AH39" i="2" s="1"/>
  <c r="AI39" i="2" s="1"/>
  <c r="AJ39" i="2" s="1"/>
  <c r="AK39" i="2" s="1"/>
  <c r="AL39" i="2" s="1"/>
  <c r="AM39" i="2" s="1"/>
  <c r="AD53" i="2" l="1"/>
  <c r="AE53" i="2"/>
  <c r="AF53" i="2"/>
  <c r="AG53" i="2"/>
  <c r="AH53" i="2"/>
  <c r="AI53" i="2"/>
  <c r="AJ53" i="2"/>
  <c r="AK53" i="2"/>
  <c r="AL53" i="2"/>
  <c r="AM53" i="2"/>
  <c r="AD55" i="2"/>
  <c r="AE55" i="2"/>
  <c r="AH55" i="2"/>
  <c r="AI55" i="2"/>
  <c r="AJ55" i="2"/>
  <c r="AK55" i="2"/>
  <c r="AL55" i="2"/>
  <c r="AM55" i="2"/>
  <c r="Y53" i="2"/>
  <c r="X28" i="2"/>
  <c r="X34" i="2" s="1"/>
  <c r="Y28" i="2"/>
  <c r="Y34" i="2" s="1"/>
  <c r="X26" i="2"/>
  <c r="Y26" i="2"/>
  <c r="X17" i="2"/>
  <c r="Y17" i="2"/>
  <c r="X14" i="2"/>
  <c r="Y14" i="2"/>
  <c r="X9" i="2"/>
  <c r="Y9" i="2"/>
  <c r="X4" i="2"/>
  <c r="X8" i="2" s="1"/>
  <c r="Y4" i="2"/>
  <c r="Y8" i="2" s="1"/>
  <c r="Y54" i="2" s="1"/>
  <c r="Z30" i="2"/>
  <c r="Z31" i="2"/>
  <c r="Z29" i="2"/>
  <c r="Z25" i="2"/>
  <c r="Z24" i="2"/>
  <c r="Z22" i="2"/>
  <c r="Z19" i="2"/>
  <c r="Z20" i="2"/>
  <c r="Z18" i="2"/>
  <c r="Z16" i="2"/>
  <c r="Z15" i="2"/>
  <c r="Z11" i="2"/>
  <c r="Z12" i="2"/>
  <c r="Z13" i="2"/>
  <c r="Z10" i="2"/>
  <c r="Z7" i="2"/>
  <c r="Z6" i="2"/>
  <c r="Z5" i="2"/>
  <c r="Z53" i="2" s="1"/>
  <c r="AA30" i="2"/>
  <c r="AA31" i="2"/>
  <c r="AA29" i="2"/>
  <c r="AA25" i="2"/>
  <c r="AA24" i="2"/>
  <c r="AA22" i="2"/>
  <c r="AA20" i="2"/>
  <c r="AA19" i="2"/>
  <c r="AA18" i="2"/>
  <c r="AA16" i="2"/>
  <c r="AA15" i="2"/>
  <c r="AA11" i="2"/>
  <c r="AA12" i="2"/>
  <c r="AA13" i="2"/>
  <c r="AA10" i="2"/>
  <c r="AA9" i="2" s="1"/>
  <c r="AA7" i="2"/>
  <c r="AA6" i="2"/>
  <c r="AA5" i="2"/>
  <c r="AB53" i="2" s="1"/>
  <c r="AB30" i="2"/>
  <c r="AB29" i="2"/>
  <c r="AB25" i="2"/>
  <c r="AB24" i="2"/>
  <c r="N26" i="2"/>
  <c r="AB19" i="2"/>
  <c r="AB18" i="2"/>
  <c r="AB16" i="2"/>
  <c r="AB15" i="2"/>
  <c r="Z26" i="2" l="1"/>
  <c r="AC37" i="2"/>
  <c r="AC51" i="2"/>
  <c r="Z14" i="2"/>
  <c r="AA4" i="2"/>
  <c r="AA8" i="2" s="1"/>
  <c r="AA14" i="2"/>
  <c r="AA21" i="2" s="1"/>
  <c r="Z4" i="2"/>
  <c r="Z8" i="2" s="1"/>
  <c r="Z54" i="2" s="1"/>
  <c r="Z17" i="2"/>
  <c r="AA26" i="2"/>
  <c r="AA17" i="2"/>
  <c r="AC36" i="2"/>
  <c r="AC42" i="2"/>
  <c r="AC45" i="2" s="1"/>
  <c r="AA53" i="2"/>
  <c r="AD35" i="2"/>
  <c r="Z9" i="2"/>
  <c r="X21" i="2"/>
  <c r="X23" i="2" s="1"/>
  <c r="X27" i="2" s="1"/>
  <c r="Y21" i="2"/>
  <c r="AA54" i="2" l="1"/>
  <c r="Z21" i="2"/>
  <c r="Z55" i="2"/>
  <c r="AA23" i="2"/>
  <c r="AA27" i="2" s="1"/>
  <c r="Z23" i="2"/>
  <c r="Z27" i="2" s="1"/>
  <c r="AD37" i="2"/>
  <c r="AE35" i="2"/>
  <c r="AE51" i="2" s="1"/>
  <c r="Y23" i="2"/>
  <c r="Y27" i="2" s="1"/>
  <c r="Y55" i="2"/>
  <c r="AC46" i="2"/>
  <c r="AC47" i="2" s="1"/>
  <c r="AA55" i="2"/>
  <c r="AB14" i="2"/>
  <c r="AB13" i="2"/>
  <c r="AB11" i="2"/>
  <c r="AB12" i="2"/>
  <c r="AB10" i="2"/>
  <c r="AB9" i="2" s="1"/>
  <c r="AB17" i="2"/>
  <c r="AB7" i="2"/>
  <c r="AB6" i="2"/>
  <c r="AB4" i="2"/>
  <c r="O33" i="2"/>
  <c r="O32" i="2" s="1"/>
  <c r="N33" i="2"/>
  <c r="N32" i="2" s="1"/>
  <c r="N28" i="2" s="1"/>
  <c r="N34" i="2" s="1"/>
  <c r="M33" i="2"/>
  <c r="M32" i="2" s="1"/>
  <c r="M28" i="2" s="1"/>
  <c r="M34" i="2" s="1"/>
  <c r="L33" i="2"/>
  <c r="AB33" i="2" s="1"/>
  <c r="K33" i="2"/>
  <c r="J33" i="2"/>
  <c r="I33" i="2"/>
  <c r="H33" i="2"/>
  <c r="G33" i="2"/>
  <c r="F33" i="2"/>
  <c r="E33" i="2"/>
  <c r="D33" i="2"/>
  <c r="K32" i="2"/>
  <c r="K28" i="2" s="1"/>
  <c r="J32" i="2"/>
  <c r="J28" i="2" s="1"/>
  <c r="I32" i="2"/>
  <c r="I28" i="2" s="1"/>
  <c r="H32" i="2"/>
  <c r="G32" i="2"/>
  <c r="G28" i="2" s="1"/>
  <c r="F32" i="2"/>
  <c r="F28" i="2" s="1"/>
  <c r="E32" i="2"/>
  <c r="E28" i="2" s="1"/>
  <c r="D32" i="2"/>
  <c r="O31" i="2"/>
  <c r="L17" i="2"/>
  <c r="AB51" i="2"/>
  <c r="L53" i="2"/>
  <c r="H53" i="2"/>
  <c r="I53" i="2"/>
  <c r="J53" i="2"/>
  <c r="K53" i="2"/>
  <c r="M53" i="2"/>
  <c r="N53" i="2"/>
  <c r="O53" i="2"/>
  <c r="L4" i="2"/>
  <c r="L8" i="2" s="1"/>
  <c r="D26" i="2"/>
  <c r="E26" i="2"/>
  <c r="F26" i="2"/>
  <c r="G26" i="2"/>
  <c r="H26" i="2"/>
  <c r="I26" i="2"/>
  <c r="J26" i="2"/>
  <c r="K26" i="2"/>
  <c r="L26" i="2"/>
  <c r="M26" i="2"/>
  <c r="D17" i="2"/>
  <c r="E17" i="2"/>
  <c r="F17" i="2"/>
  <c r="G17" i="2"/>
  <c r="H17" i="2"/>
  <c r="I17" i="2"/>
  <c r="J17" i="2"/>
  <c r="K17" i="2"/>
  <c r="M17" i="2"/>
  <c r="N17" i="2"/>
  <c r="D14" i="2"/>
  <c r="E14" i="2"/>
  <c r="F14" i="2"/>
  <c r="G14" i="2"/>
  <c r="H14" i="2"/>
  <c r="I14" i="2"/>
  <c r="J14" i="2"/>
  <c r="K14" i="2"/>
  <c r="L14" i="2"/>
  <c r="M14" i="2"/>
  <c r="N14" i="2"/>
  <c r="D9" i="2"/>
  <c r="E9" i="2"/>
  <c r="F9" i="2"/>
  <c r="G9" i="2"/>
  <c r="H9" i="2"/>
  <c r="I9" i="2"/>
  <c r="J9" i="2"/>
  <c r="K9" i="2"/>
  <c r="L9" i="2"/>
  <c r="M9" i="2"/>
  <c r="N9" i="2"/>
  <c r="O17" i="2"/>
  <c r="O14" i="2"/>
  <c r="O9" i="2"/>
  <c r="D4" i="2"/>
  <c r="D8" i="2" s="1"/>
  <c r="E4" i="2"/>
  <c r="E8" i="2" s="1"/>
  <c r="F4" i="2"/>
  <c r="F8" i="2" s="1"/>
  <c r="G4" i="2"/>
  <c r="G8" i="2" s="1"/>
  <c r="H4" i="2"/>
  <c r="H8" i="2" s="1"/>
  <c r="I4" i="2"/>
  <c r="I8" i="2" s="1"/>
  <c r="J4" i="2"/>
  <c r="J8" i="2" s="1"/>
  <c r="K4" i="2"/>
  <c r="K8" i="2" s="1"/>
  <c r="M4" i="2"/>
  <c r="M8" i="2" s="1"/>
  <c r="N4" i="2"/>
  <c r="N8" i="2" s="1"/>
  <c r="O4" i="2"/>
  <c r="O8" i="2" s="1"/>
  <c r="AC56" i="2"/>
  <c r="AD56" i="2"/>
  <c r="AC57" i="2"/>
  <c r="AD51" i="2"/>
  <c r="G42" i="2"/>
  <c r="G45" i="2" s="1"/>
  <c r="G47" i="2" s="1"/>
  <c r="G36" i="2"/>
  <c r="F42" i="2"/>
  <c r="F45" i="2" s="1"/>
  <c r="F47" i="2" s="1"/>
  <c r="F36" i="2"/>
  <c r="E42" i="2"/>
  <c r="E45" i="2" s="1"/>
  <c r="E47" i="2" s="1"/>
  <c r="E36" i="2"/>
  <c r="D114" i="2"/>
  <c r="D113" i="2"/>
  <c r="D42" i="2"/>
  <c r="D45" i="2" s="1"/>
  <c r="D47" i="2" s="1"/>
  <c r="D36" i="2"/>
  <c r="K42" i="2"/>
  <c r="K45" i="2" s="1"/>
  <c r="K47" i="2" s="1"/>
  <c r="K36" i="2"/>
  <c r="O45" i="2"/>
  <c r="O47" i="2" s="1"/>
  <c r="O36" i="2"/>
  <c r="J42" i="2"/>
  <c r="J45" i="2" s="1"/>
  <c r="J47" i="2" s="1"/>
  <c r="J36" i="2"/>
  <c r="N42" i="2"/>
  <c r="N36" i="2"/>
  <c r="M102" i="2"/>
  <c r="O102" i="2" s="1"/>
  <c r="M101" i="2"/>
  <c r="O101" i="2" s="1"/>
  <c r="M100" i="2"/>
  <c r="O100" i="2" s="1"/>
  <c r="M99" i="2"/>
  <c r="O99" i="2" s="1"/>
  <c r="M98" i="2"/>
  <c r="O98" i="2" s="1"/>
  <c r="M97" i="2"/>
  <c r="O97" i="2" s="1"/>
  <c r="M96" i="2"/>
  <c r="O96" i="2" s="1"/>
  <c r="L32" i="2" l="1"/>
  <c r="E34" i="2"/>
  <c r="G34" i="2"/>
  <c r="AA33" i="2"/>
  <c r="AB8" i="2"/>
  <c r="F34" i="2"/>
  <c r="K34" i="2"/>
  <c r="Z33" i="2"/>
  <c r="N54" i="2"/>
  <c r="J34" i="2"/>
  <c r="M54" i="2"/>
  <c r="I34" i="2"/>
  <c r="AC48" i="2"/>
  <c r="D6" i="3" s="1"/>
  <c r="L28" i="2"/>
  <c r="L34" i="2" s="1"/>
  <c r="J54" i="2"/>
  <c r="L54" i="2"/>
  <c r="H28" i="2"/>
  <c r="H34" i="2" s="1"/>
  <c r="AA32" i="2"/>
  <c r="AA28" i="2" s="1"/>
  <c r="AB31" i="2"/>
  <c r="K54" i="2"/>
  <c r="I54" i="2"/>
  <c r="AC53" i="2"/>
  <c r="AE37" i="2"/>
  <c r="AF35" i="2"/>
  <c r="O54" i="2"/>
  <c r="Z32" i="2"/>
  <c r="Z28" i="2" s="1"/>
  <c r="D28" i="2"/>
  <c r="D34" i="2" s="1"/>
  <c r="H54" i="2"/>
  <c r="AD42" i="2"/>
  <c r="AD36" i="2"/>
  <c r="AB21" i="2"/>
  <c r="AB55" i="2" s="1"/>
  <c r="AB32" i="2"/>
  <c r="H21" i="2"/>
  <c r="H23" i="2" s="1"/>
  <c r="H27" i="2" s="1"/>
  <c r="J21" i="2"/>
  <c r="N21" i="2"/>
  <c r="I21" i="2"/>
  <c r="I23" i="2" s="1"/>
  <c r="I27" i="2" s="1"/>
  <c r="F21" i="2"/>
  <c r="F23" i="2" s="1"/>
  <c r="F27" i="2" s="1"/>
  <c r="M21" i="2"/>
  <c r="E21" i="2"/>
  <c r="E23" i="2" s="1"/>
  <c r="E27" i="2" s="1"/>
  <c r="K21" i="2"/>
  <c r="K23" i="2" s="1"/>
  <c r="D21" i="2"/>
  <c r="D23" i="2" s="1"/>
  <c r="D27" i="2" s="1"/>
  <c r="G21" i="2"/>
  <c r="G23" i="2" s="1"/>
  <c r="G27" i="2" s="1"/>
  <c r="O21" i="2"/>
  <c r="L21" i="2"/>
  <c r="P55" i="2" s="1"/>
  <c r="N45" i="2"/>
  <c r="N47" i="2" s="1"/>
  <c r="AB54" i="2" l="1"/>
  <c r="AC54" i="2"/>
  <c r="O55" i="2"/>
  <c r="AB28" i="2"/>
  <c r="Z34" i="2"/>
  <c r="AA34" i="2"/>
  <c r="O23" i="2"/>
  <c r="O27" i="2"/>
  <c r="O28" i="2"/>
  <c r="O34" i="2" s="1"/>
  <c r="AE42" i="2"/>
  <c r="AE36" i="2"/>
  <c r="AE56" i="2"/>
  <c r="AC55" i="2"/>
  <c r="AB34" i="2"/>
  <c r="AD45" i="2"/>
  <c r="AD46" i="2" s="1"/>
  <c r="AD47" i="2" s="1"/>
  <c r="AD57" i="2"/>
  <c r="AG35" i="2"/>
  <c r="AH35" i="2" s="1"/>
  <c r="AI35" i="2" s="1"/>
  <c r="AF37" i="2"/>
  <c r="AF51" i="2"/>
  <c r="J55" i="2"/>
  <c r="K27" i="2"/>
  <c r="K55" i="2"/>
  <c r="L23" i="2"/>
  <c r="L27" i="2" s="1"/>
  <c r="L55" i="2"/>
  <c r="J23" i="2"/>
  <c r="J27" i="2" s="1"/>
  <c r="I55" i="2"/>
  <c r="M23" i="2"/>
  <c r="M27" i="2" s="1"/>
  <c r="M55" i="2"/>
  <c r="N23" i="2"/>
  <c r="N27" i="2" s="1"/>
  <c r="N55" i="2"/>
  <c r="H55" i="2"/>
  <c r="AI51" i="2" l="1"/>
  <c r="AJ35" i="2"/>
  <c r="AF36" i="2"/>
  <c r="AF42" i="2"/>
  <c r="AF56" i="2"/>
  <c r="AG37" i="2"/>
  <c r="AG51" i="2"/>
  <c r="AE45" i="2"/>
  <c r="AE57" i="2"/>
  <c r="AD48" i="2"/>
  <c r="E6" i="3" s="1"/>
  <c r="I42" i="2"/>
  <c r="I45" i="2" s="1"/>
  <c r="I47" i="2" s="1"/>
  <c r="I36" i="2"/>
  <c r="M42" i="2"/>
  <c r="M45" i="2" s="1"/>
  <c r="M47" i="2" s="1"/>
  <c r="M36" i="2"/>
  <c r="O57" i="2"/>
  <c r="D78" i="2"/>
  <c r="E78" i="2"/>
  <c r="F78" i="2"/>
  <c r="G78" i="2"/>
  <c r="H78" i="2"/>
  <c r="I78" i="2"/>
  <c r="J78" i="2"/>
  <c r="K78" i="2"/>
  <c r="D73" i="2"/>
  <c r="E73" i="2"/>
  <c r="F73" i="2"/>
  <c r="G73" i="2"/>
  <c r="H73" i="2"/>
  <c r="I73" i="2"/>
  <c r="J73" i="2"/>
  <c r="K73" i="2"/>
  <c r="M73" i="2"/>
  <c r="N73" i="2"/>
  <c r="O73" i="2"/>
  <c r="M78" i="2"/>
  <c r="N78" i="2"/>
  <c r="O78" i="2"/>
  <c r="D90" i="2"/>
  <c r="E90" i="2"/>
  <c r="F90" i="2"/>
  <c r="G90" i="2"/>
  <c r="H90" i="2"/>
  <c r="I90" i="2"/>
  <c r="J90" i="2"/>
  <c r="K90" i="2"/>
  <c r="M90" i="2"/>
  <c r="N90" i="2"/>
  <c r="O90" i="2"/>
  <c r="D115" i="2"/>
  <c r="E115" i="2"/>
  <c r="F115" i="2"/>
  <c r="G115" i="2"/>
  <c r="H115" i="2"/>
  <c r="I115" i="2"/>
  <c r="J115" i="2"/>
  <c r="K115" i="2"/>
  <c r="M115" i="2"/>
  <c r="N115" i="2"/>
  <c r="D109" i="2"/>
  <c r="E109" i="2"/>
  <c r="F109" i="2"/>
  <c r="G109" i="2"/>
  <c r="H109" i="2"/>
  <c r="I109" i="2"/>
  <c r="J109" i="2"/>
  <c r="K109" i="2"/>
  <c r="M109" i="2"/>
  <c r="N109" i="2"/>
  <c r="O109" i="2"/>
  <c r="M103" i="2"/>
  <c r="M121" i="2" s="1"/>
  <c r="N103" i="2"/>
  <c r="N121" i="2" s="1"/>
  <c r="O103" i="2"/>
  <c r="O121" i="2" s="1"/>
  <c r="D103" i="2"/>
  <c r="D121" i="2" s="1"/>
  <c r="E103" i="2"/>
  <c r="E121" i="2" s="1"/>
  <c r="F103" i="2"/>
  <c r="F121" i="2" s="1"/>
  <c r="G103" i="2"/>
  <c r="G121" i="2" s="1"/>
  <c r="H103" i="2"/>
  <c r="H121" i="2" s="1"/>
  <c r="I103" i="2"/>
  <c r="I121" i="2" s="1"/>
  <c r="J103" i="2"/>
  <c r="J121" i="2" s="1"/>
  <c r="K103" i="2"/>
  <c r="K121" i="2" s="1"/>
  <c r="L115" i="2"/>
  <c r="L109" i="2"/>
  <c r="L103" i="2"/>
  <c r="L121" i="2" s="1"/>
  <c r="D94" i="2"/>
  <c r="E94" i="2"/>
  <c r="F94" i="2"/>
  <c r="G94" i="2"/>
  <c r="J94" i="2"/>
  <c r="K94" i="2"/>
  <c r="N94" i="2"/>
  <c r="L90" i="2"/>
  <c r="L78" i="2"/>
  <c r="L73" i="2"/>
  <c r="H42" i="2"/>
  <c r="H45" i="2" s="1"/>
  <c r="H47" i="2" s="1"/>
  <c r="H48" i="2" s="1"/>
  <c r="H36" i="2"/>
  <c r="M56" i="2"/>
  <c r="N56" i="2"/>
  <c r="O56" i="2"/>
  <c r="N57" i="2"/>
  <c r="D56" i="2"/>
  <c r="E56" i="2"/>
  <c r="F56" i="2"/>
  <c r="G56" i="2"/>
  <c r="H56" i="2"/>
  <c r="I56" i="2"/>
  <c r="J56" i="2"/>
  <c r="K56" i="2"/>
  <c r="D57" i="2"/>
  <c r="E57" i="2"/>
  <c r="F57" i="2"/>
  <c r="G57" i="2"/>
  <c r="J57" i="2"/>
  <c r="K57" i="2"/>
  <c r="L56" i="2"/>
  <c r="M51" i="2"/>
  <c r="H51" i="2"/>
  <c r="I51" i="2"/>
  <c r="J51" i="2"/>
  <c r="K51" i="2"/>
  <c r="N51" i="2"/>
  <c r="O51" i="2"/>
  <c r="L51" i="2"/>
  <c r="D48" i="2"/>
  <c r="E48" i="2"/>
  <c r="F48" i="2"/>
  <c r="G48" i="2"/>
  <c r="J48" i="2"/>
  <c r="K48" i="2"/>
  <c r="N48" i="2"/>
  <c r="L42" i="2"/>
  <c r="L57" i="2" s="1"/>
  <c r="L36" i="2"/>
  <c r="AK35" i="2" l="1"/>
  <c r="AJ51" i="2"/>
  <c r="AG42" i="2"/>
  <c r="AG36" i="2"/>
  <c r="AG56" i="2"/>
  <c r="AF45" i="2"/>
  <c r="AF57" i="2"/>
  <c r="AE46" i="2"/>
  <c r="AE47" i="2" s="1"/>
  <c r="AH37" i="2"/>
  <c r="AH51" i="2"/>
  <c r="N91" i="2"/>
  <c r="M91" i="2"/>
  <c r="I57" i="2"/>
  <c r="L91" i="2"/>
  <c r="J119" i="2"/>
  <c r="K119" i="2"/>
  <c r="O119" i="2"/>
  <c r="I119" i="2"/>
  <c r="N119" i="2"/>
  <c r="L119" i="2"/>
  <c r="E119" i="2"/>
  <c r="L45" i="2"/>
  <c r="L47" i="2" s="1"/>
  <c r="H94" i="2"/>
  <c r="G91" i="2"/>
  <c r="F91" i="2"/>
  <c r="E91" i="2"/>
  <c r="D119" i="2"/>
  <c r="G119" i="2"/>
  <c r="F119" i="2"/>
  <c r="D91" i="2"/>
  <c r="K91" i="2"/>
  <c r="O91" i="2"/>
  <c r="J91" i="2"/>
  <c r="M119" i="2"/>
  <c r="I94" i="2"/>
  <c r="I48" i="2"/>
  <c r="M94" i="2"/>
  <c r="M48" i="2"/>
  <c r="M57" i="2"/>
  <c r="H91" i="2"/>
  <c r="H119" i="2"/>
  <c r="I91" i="2"/>
  <c r="H57" i="2"/>
  <c r="AL35" i="2" l="1"/>
  <c r="AK51" i="2"/>
  <c r="AI37" i="2"/>
  <c r="AE48" i="2"/>
  <c r="F6" i="3" s="1"/>
  <c r="AF46" i="2"/>
  <c r="AF47" i="2"/>
  <c r="AF48" i="2" s="1"/>
  <c r="AH36" i="2"/>
  <c r="AH42" i="2"/>
  <c r="AH56" i="2"/>
  <c r="AG45" i="2"/>
  <c r="AG46" i="2" s="1"/>
  <c r="AG47" i="2" s="1"/>
  <c r="AG48" i="2" s="1"/>
  <c r="AG57" i="2"/>
  <c r="L48" i="2"/>
  <c r="L94" i="2"/>
  <c r="O48" i="2"/>
  <c r="O94" i="2"/>
  <c r="AM35" i="2" l="1"/>
  <c r="AM51" i="2" s="1"/>
  <c r="AL51" i="2"/>
  <c r="AI36" i="2"/>
  <c r="AI42" i="2"/>
  <c r="AI56" i="2"/>
  <c r="AH45" i="2"/>
  <c r="AH46" i="2" s="1"/>
  <c r="AH47" i="2" s="1"/>
  <c r="AH48" i="2" s="1"/>
  <c r="AH57" i="2"/>
  <c r="AJ37" i="2"/>
  <c r="W103" i="2"/>
  <c r="W121" i="2" s="1"/>
  <c r="X103" i="2"/>
  <c r="X121" i="2" s="1"/>
  <c r="W109" i="2"/>
  <c r="X109" i="2"/>
  <c r="W115" i="2"/>
  <c r="X115" i="2"/>
  <c r="Z115" i="2"/>
  <c r="AA115" i="2"/>
  <c r="AB115" i="2"/>
  <c r="Z109" i="2"/>
  <c r="AA109" i="2"/>
  <c r="AB109" i="2"/>
  <c r="Z103" i="2"/>
  <c r="Z121" i="2" s="1"/>
  <c r="AA103" i="2"/>
  <c r="AB103" i="2"/>
  <c r="AB121" i="2" s="1"/>
  <c r="Y115" i="2"/>
  <c r="Y109" i="2"/>
  <c r="Y103" i="2"/>
  <c r="Y121" i="2" s="1"/>
  <c r="W37" i="2"/>
  <c r="W42" i="2" s="1"/>
  <c r="X37" i="2"/>
  <c r="X42" i="2" s="1"/>
  <c r="Y37" i="2"/>
  <c r="Y42" i="2" s="1"/>
  <c r="X51" i="2"/>
  <c r="Y51" i="2"/>
  <c r="Z51" i="2"/>
  <c r="AA51" i="2"/>
  <c r="Z37" i="2"/>
  <c r="Z42" i="2" s="1"/>
  <c r="Z45" i="2" s="1"/>
  <c r="Z47" i="2" s="1"/>
  <c r="Z48" i="2" s="1"/>
  <c r="AA37" i="2"/>
  <c r="AA42" i="2" s="1"/>
  <c r="AA45" i="2" s="1"/>
  <c r="AA47" i="2" s="1"/>
  <c r="AA48" i="2" s="1"/>
  <c r="AB37" i="2"/>
  <c r="AB42" i="2" s="1"/>
  <c r="AB45" i="2" s="1"/>
  <c r="AB47" i="2" s="1"/>
  <c r="B6" i="2"/>
  <c r="B9" i="2" s="1"/>
  <c r="AB48" i="2" l="1"/>
  <c r="AB94" i="2"/>
  <c r="AB119" i="2"/>
  <c r="AI45" i="2"/>
  <c r="AI46" i="2" s="1"/>
  <c r="AI47" i="2" s="1"/>
  <c r="AI48" i="2" s="1"/>
  <c r="AI57" i="2"/>
  <c r="AJ36" i="2"/>
  <c r="AJ42" i="2"/>
  <c r="AJ56" i="2"/>
  <c r="AK37" i="2"/>
  <c r="F5" i="3"/>
  <c r="E5" i="3"/>
  <c r="D5" i="3"/>
  <c r="Y119" i="2"/>
  <c r="X56" i="2"/>
  <c r="Z119" i="2"/>
  <c r="AA119" i="2"/>
  <c r="W119" i="2"/>
  <c r="X119" i="2"/>
  <c r="AA94" i="2"/>
  <c r="Y56" i="2"/>
  <c r="Z94" i="2"/>
  <c r="AB56" i="2"/>
  <c r="AA56" i="2"/>
  <c r="Z56" i="2"/>
  <c r="W56" i="2"/>
  <c r="W45" i="2"/>
  <c r="W47" i="2" s="1"/>
  <c r="W57" i="2"/>
  <c r="X45" i="2"/>
  <c r="X47" i="2" s="1"/>
  <c r="X57" i="2"/>
  <c r="Y45" i="2"/>
  <c r="Y47" i="2" s="1"/>
  <c r="Y57" i="2"/>
  <c r="AB57" i="2"/>
  <c r="AA57" i="2"/>
  <c r="Z57" i="2"/>
  <c r="AJ45" i="2" l="1"/>
  <c r="AJ46" i="2" s="1"/>
  <c r="AJ47" i="2" s="1"/>
  <c r="AJ48" i="2" s="1"/>
  <c r="AJ57" i="2"/>
  <c r="AK36" i="2"/>
  <c r="AK42" i="2"/>
  <c r="AK56" i="2"/>
  <c r="AL37" i="2"/>
  <c r="Y48" i="2"/>
  <c r="Y94" i="2"/>
  <c r="X48" i="2"/>
  <c r="X94" i="2"/>
  <c r="W48" i="2"/>
  <c r="W94" i="2"/>
  <c r="AL36" i="2" l="1"/>
  <c r="AL42" i="2"/>
  <c r="AL56" i="2"/>
  <c r="AM37" i="2"/>
  <c r="AK45" i="2"/>
  <c r="AK46" i="2" s="1"/>
  <c r="AK47" i="2" s="1"/>
  <c r="AK48" i="2" s="1"/>
  <c r="AK57" i="2"/>
  <c r="AL45" i="2" l="1"/>
  <c r="AL46" i="2" s="1"/>
  <c r="AL47" i="2" s="1"/>
  <c r="AL48" i="2" s="1"/>
  <c r="AL57" i="2"/>
  <c r="AM36" i="2"/>
  <c r="AM42" i="2"/>
  <c r="AM56" i="2"/>
  <c r="AM45" i="2" l="1"/>
  <c r="AM46" i="2" s="1"/>
  <c r="AM47" i="2" s="1"/>
  <c r="AM57" i="2"/>
  <c r="AM48" i="2" l="1"/>
  <c r="AN47" i="2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DL47" i="2" s="1"/>
  <c r="DM47" i="2" s="1"/>
  <c r="DN47" i="2" s="1"/>
  <c r="DO47" i="2" s="1"/>
  <c r="DP47" i="2" s="1"/>
  <c r="DQ47" i="2" s="1"/>
  <c r="DR47" i="2" s="1"/>
  <c r="DS47" i="2" s="1"/>
  <c r="DT47" i="2" s="1"/>
  <c r="DU47" i="2" s="1"/>
  <c r="DV47" i="2" s="1"/>
  <c r="DW47" i="2" s="1"/>
  <c r="DX47" i="2" s="1"/>
  <c r="DY47" i="2" s="1"/>
  <c r="DZ47" i="2" s="1"/>
  <c r="EA47" i="2" s="1"/>
  <c r="EB47" i="2" s="1"/>
  <c r="EC47" i="2" s="1"/>
  <c r="ED47" i="2" s="1"/>
  <c r="EE47" i="2" s="1"/>
  <c r="EF47" i="2" s="1"/>
  <c r="EG47" i="2" s="1"/>
  <c r="EH47" i="2" s="1"/>
  <c r="EI47" i="2" s="1"/>
  <c r="EJ47" i="2" s="1"/>
  <c r="EK47" i="2" s="1"/>
  <c r="EL47" i="2" s="1"/>
  <c r="EM47" i="2" s="1"/>
  <c r="AP54" i="2" s="1"/>
  <c r="AP56" i="2" s="1"/>
  <c r="AP57" i="2" s="1"/>
</calcChain>
</file>

<file path=xl/sharedStrings.xml><?xml version="1.0" encoding="utf-8"?>
<sst xmlns="http://schemas.openxmlformats.org/spreadsheetml/2006/main" count="297" uniqueCount="259">
  <si>
    <t>Kapitalstruktur</t>
  </si>
  <si>
    <t>Price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</si>
  <si>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</si>
  <si>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</si>
  <si>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</si>
  <si>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</si>
  <si>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</si>
  <si>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</si>
  <si>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</si>
  <si>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</si>
  <si>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</si>
  <si>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</si>
  <si>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</si>
  <si>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</si>
  <si>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</si>
  <si>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</si>
  <si>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</si>
  <si>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</si>
  <si>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</si>
  <si>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</si>
  <si>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</si>
  <si>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</si>
  <si>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</si>
  <si>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</si>
  <si>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</si>
  <si>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</si>
  <si>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</si>
  <si>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</si>
  <si>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</si>
  <si>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</si>
  <si>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CFFO</t>
  </si>
  <si>
    <t>CFFF</t>
  </si>
  <si>
    <t>CFFI</t>
  </si>
  <si>
    <t>EV/EBIT</t>
  </si>
  <si>
    <t>P/E</t>
  </si>
  <si>
    <t>DKK million</t>
  </si>
  <si>
    <t>MC DKKm</t>
  </si>
  <si>
    <t>Cash DKKm</t>
  </si>
  <si>
    <t>Debt DKKm</t>
  </si>
  <si>
    <t>EV DKKm</t>
  </si>
  <si>
    <t>Balanse DKKm</t>
  </si>
  <si>
    <t>Cash flow DKKm</t>
  </si>
  <si>
    <t>Revenue</t>
  </si>
  <si>
    <t>COGS</t>
  </si>
  <si>
    <t>Gross profit</t>
  </si>
  <si>
    <t>Sales and distribution costs</t>
  </si>
  <si>
    <t>R&amp;D</t>
  </si>
  <si>
    <t>Admin cost</t>
  </si>
  <si>
    <t>Other operating income/expense</t>
  </si>
  <si>
    <t>Operating profit EBIT</t>
  </si>
  <si>
    <t>Financial income</t>
  </si>
  <si>
    <t>Financial expense</t>
  </si>
  <si>
    <t>PTP</t>
  </si>
  <si>
    <t>Tax</t>
  </si>
  <si>
    <t>Net income</t>
  </si>
  <si>
    <t>EPS</t>
  </si>
  <si>
    <t>Shares</t>
  </si>
  <si>
    <t>Q125</t>
  </si>
  <si>
    <t>Q225</t>
  </si>
  <si>
    <t>Q325</t>
  </si>
  <si>
    <t>Q425</t>
  </si>
  <si>
    <t>S/O (m)</t>
  </si>
  <si>
    <t>FY 2019</t>
  </si>
  <si>
    <t>FY 2020</t>
  </si>
  <si>
    <t>FY 2021</t>
  </si>
  <si>
    <t>Gross margin</t>
  </si>
  <si>
    <t>Model NI</t>
  </si>
  <si>
    <t>Reported NI</t>
  </si>
  <si>
    <t>Orange book kan brukes for å søke opp patenter</t>
  </si>
  <si>
    <t>tax</t>
  </si>
  <si>
    <t>D/A/I</t>
  </si>
  <si>
    <t>Other non-cash items</t>
  </si>
  <si>
    <t>WC</t>
  </si>
  <si>
    <t>Interst received</t>
  </si>
  <si>
    <t>Interst paid</t>
  </si>
  <si>
    <t>Income tax paid</t>
  </si>
  <si>
    <t>Purchase of intangible assets</t>
  </si>
  <si>
    <t>Purchase of PP&amp;E</t>
  </si>
  <si>
    <t>Purchase of treasury shares</t>
  </si>
  <si>
    <t>Dividend paid</t>
  </si>
  <si>
    <t>Proceeds from borrowings</t>
  </si>
  <si>
    <t>Repayment of borrowings</t>
  </si>
  <si>
    <t>FX</t>
  </si>
  <si>
    <t>CIC</t>
  </si>
  <si>
    <t>FCF</t>
  </si>
  <si>
    <t>Intangible assets</t>
  </si>
  <si>
    <t>PP&amp;E</t>
  </si>
  <si>
    <t>Investments in associated companies</t>
  </si>
  <si>
    <t>Deferred income tax assets</t>
  </si>
  <si>
    <t>Other receivables and prepayments</t>
  </si>
  <si>
    <t>Other financial assets</t>
  </si>
  <si>
    <t>Inventories</t>
  </si>
  <si>
    <t>Trade receivables</t>
  </si>
  <si>
    <t>Tax receivables</t>
  </si>
  <si>
    <t>Marketable securities</t>
  </si>
  <si>
    <t xml:space="preserve">Derivative financial instruments </t>
  </si>
  <si>
    <t>Cash</t>
  </si>
  <si>
    <t>Total Assets</t>
  </si>
  <si>
    <t>Share capital</t>
  </si>
  <si>
    <t>Treasury shares</t>
  </si>
  <si>
    <t xml:space="preserve">Retained earnings </t>
  </si>
  <si>
    <t>Other reserves</t>
  </si>
  <si>
    <t>Total equity</t>
  </si>
  <si>
    <t>Borrowings</t>
  </si>
  <si>
    <t>Deferred income tax liabilties</t>
  </si>
  <si>
    <t>Retirement benefit obligations</t>
  </si>
  <si>
    <t>Other liabilties</t>
  </si>
  <si>
    <t>Provisions</t>
  </si>
  <si>
    <t>Trade payable</t>
  </si>
  <si>
    <t>Tax payable</t>
  </si>
  <si>
    <t>Derivate financial insttruments</t>
  </si>
  <si>
    <t>Provisons</t>
  </si>
  <si>
    <t>Total Debt</t>
  </si>
  <si>
    <t>Total E/D</t>
  </si>
  <si>
    <t>Injectable GLP-1</t>
  </si>
  <si>
    <t xml:space="preserve">Ozempic </t>
  </si>
  <si>
    <t>Victoza</t>
  </si>
  <si>
    <t>Rybelsus</t>
  </si>
  <si>
    <t>Total GLP-1</t>
  </si>
  <si>
    <t>Long-acting insulin</t>
  </si>
  <si>
    <t>Tresiba</t>
  </si>
  <si>
    <t>Xultophy</t>
  </si>
  <si>
    <t>Levemir</t>
  </si>
  <si>
    <t>Awiqli</t>
  </si>
  <si>
    <t>Premix insulin</t>
  </si>
  <si>
    <t>Ryzodeg</t>
  </si>
  <si>
    <t>Novomix</t>
  </si>
  <si>
    <t>Fast-acting insulin</t>
  </si>
  <si>
    <t>Fiasp</t>
  </si>
  <si>
    <t>NovoRapid</t>
  </si>
  <si>
    <t>Human insulin</t>
  </si>
  <si>
    <t>Total insulin</t>
  </si>
  <si>
    <t>Other diabetes care</t>
  </si>
  <si>
    <t>Total diabetes care</t>
  </si>
  <si>
    <t>Wegovy</t>
  </si>
  <si>
    <t>Saxenda</t>
  </si>
  <si>
    <t>Total obesity care</t>
  </si>
  <si>
    <t>Diabetes and obesity care total</t>
  </si>
  <si>
    <t>Rare blood disorders</t>
  </si>
  <si>
    <t>Rare disease total</t>
  </si>
  <si>
    <t>Ozempic y/y</t>
  </si>
  <si>
    <t>GLP y/y</t>
  </si>
  <si>
    <t>Insulin y/y</t>
  </si>
  <si>
    <t>Revenue LC</t>
  </si>
  <si>
    <t>Haemophilia A</t>
  </si>
  <si>
    <t>Haemophilia B</t>
  </si>
  <si>
    <t>NovoSeven</t>
  </si>
  <si>
    <t>Other rare blood</t>
  </si>
  <si>
    <t>Rare endocrine disorders + other rare</t>
  </si>
  <si>
    <t>GLP-1:</t>
  </si>
  <si>
    <t>Øker insulinutskillelse når blodsukkeret er høyt</t>
  </si>
  <si>
    <t>Dette er medisiner som etterligner kroppens eget GLP-1 hormon:</t>
  </si>
  <si>
    <t>Senker appetitten</t>
  </si>
  <si>
    <t>Produktene her:</t>
  </si>
  <si>
    <r>
      <t xml:space="preserve">Victoza: </t>
    </r>
    <r>
      <rPr>
        <sz val="14"/>
        <color theme="1"/>
        <rFont val="Calibri"/>
        <family val="2"/>
        <scheme val="minor"/>
      </rPr>
      <t>Også en GLP-1 medisin mot type 2, men en litt eldre versjon</t>
    </r>
  </si>
  <si>
    <t>Insulin:</t>
  </si>
  <si>
    <t xml:space="preserve">Dette er tradisjonelle insulinprodukter for folk med diabetes </t>
  </si>
  <si>
    <r>
      <t xml:space="preserve">Long-acting insulin: </t>
    </r>
    <r>
      <rPr>
        <sz val="14"/>
        <color theme="1"/>
        <rFont val="Calibri"/>
        <family val="2"/>
        <scheme val="minor"/>
      </rPr>
      <t>Gir en jevn insulinfrigjøring hele døgnet (Levemir, Tresiba)</t>
    </r>
  </si>
  <si>
    <r>
      <rPr>
        <b/>
        <sz val="14"/>
        <color theme="1"/>
        <rFont val="Calibri"/>
        <family val="2"/>
        <scheme val="minor"/>
      </rPr>
      <t xml:space="preserve">Premix insulin: </t>
    </r>
    <r>
      <rPr>
        <sz val="14"/>
        <color theme="1"/>
        <rFont val="Calibri"/>
        <family val="2"/>
        <scheme val="minor"/>
      </rPr>
      <t>Blanding av rask- og langtidsvirkende insulin i en sprøyte, for enklere behandling</t>
    </r>
  </si>
  <si>
    <r>
      <t xml:space="preserve">Fast-acting insulin: </t>
    </r>
    <r>
      <rPr>
        <sz val="14"/>
        <color theme="1"/>
        <rFont val="Calibri"/>
        <family val="2"/>
        <scheme val="minor"/>
      </rPr>
      <t>tas rett før måltider for å håndtere blodsukkerstigningen som skjer når dub spsier</t>
    </r>
  </si>
  <si>
    <r>
      <rPr>
        <b/>
        <sz val="14"/>
        <color theme="1"/>
        <rFont val="Calibri"/>
        <family val="2"/>
        <scheme val="minor"/>
      </rPr>
      <t xml:space="preserve">Human insulin: </t>
    </r>
    <r>
      <rPr>
        <sz val="14"/>
        <color theme="1"/>
        <rFont val="Calibri"/>
        <family val="2"/>
        <scheme val="minor"/>
      </rPr>
      <t>Insulin som er identisk med det naturlige menneskeinsulinet, brukt før de nyere insulin-typene</t>
    </r>
  </si>
  <si>
    <t>Obesity care:</t>
  </si>
  <si>
    <t>Her handler alt om fedmebehandling, altså medisner laget for vekttap</t>
  </si>
  <si>
    <r>
      <rPr>
        <b/>
        <sz val="14"/>
        <color theme="1"/>
        <rFont val="Calibri"/>
        <family val="2"/>
        <scheme val="minor"/>
      </rPr>
      <t xml:space="preserve">Saxenda: </t>
    </r>
    <r>
      <rPr>
        <sz val="14"/>
        <color theme="1"/>
        <rFont val="Calibri"/>
        <family val="2"/>
        <scheme val="minor"/>
      </rPr>
      <t>Et eldre vekttapsmiddel basert på et annet GLP-1 hormon (liraglutid)</t>
    </r>
  </si>
  <si>
    <t>Discount</t>
  </si>
  <si>
    <t>TV</t>
  </si>
  <si>
    <t>NPV</t>
  </si>
  <si>
    <t>S/O</t>
  </si>
  <si>
    <t>NPV/Share</t>
  </si>
  <si>
    <t>Opp/nedside</t>
  </si>
  <si>
    <t>Brand</t>
  </si>
  <si>
    <t>Ozempic, fka NN9535</t>
  </si>
  <si>
    <t>Generic</t>
  </si>
  <si>
    <t>semaglutide</t>
  </si>
  <si>
    <t>IP</t>
  </si>
  <si>
    <t>7762994 needle delivery expires 2024</t>
  </si>
  <si>
    <t>8114833 formulation expires 2025</t>
  </si>
  <si>
    <t>8129343 acylated GLP-1 expires 2031</t>
  </si>
  <si>
    <t>8536122 acylated GLP-1 expires 2026</t>
  </si>
  <si>
    <t>8579869 needle mounting expired 2023</t>
  </si>
  <si>
    <t>8684969 injection device expires 2025</t>
  </si>
  <si>
    <t>8920383 injection device expires 2026</t>
  </si>
  <si>
    <t>9108002 injection device expires 2026</t>
  </si>
  <si>
    <t>9132239 injection device expires 2032</t>
  </si>
  <si>
    <t>9457154 injection device expires 2027</t>
  </si>
  <si>
    <t>9616180 injection device expires 2026</t>
  </si>
  <si>
    <t>9687611 injection device expires 2027</t>
  </si>
  <si>
    <t>10335462 MOU 2033</t>
  </si>
  <si>
    <t xml:space="preserve">Press release: </t>
  </si>
  <si>
    <t>29.03.25: Rybelsus demonstrates superior reduction in cardiovascular events in SOUL-trial at ACC 2025</t>
  </si>
  <si>
    <t>Wegovy, fka NN9535</t>
  </si>
  <si>
    <t>Administration</t>
  </si>
  <si>
    <t>subcutaneous once-weekly</t>
  </si>
  <si>
    <t>Dosage</t>
  </si>
  <si>
    <t>0.25mg, 0.5mg, 1.0mg, 1.7mg, 2.4mg</t>
  </si>
  <si>
    <t>Indication</t>
  </si>
  <si>
    <t>Obesity, CVOT in overweight/obese with established CV disease</t>
  </si>
  <si>
    <t>MOA</t>
  </si>
  <si>
    <t>GLP-1 agonist</t>
  </si>
  <si>
    <t>Approval</t>
  </si>
  <si>
    <t>6/24/2021 FDA</t>
  </si>
  <si>
    <t>3/2023 Japan</t>
  </si>
  <si>
    <t>6/2024: China</t>
  </si>
  <si>
    <t>15 countries in International as of Q324</t>
  </si>
  <si>
    <t>9/2024: EU label update receives positive CHMP opinion on STEP-HFpEF and STEP-HFpEF-DM</t>
  </si>
  <si>
    <t>Q124: ANDA filed</t>
  </si>
  <si>
    <t>Manufacturing</t>
  </si>
  <si>
    <t>Second CM in April 2023.</t>
  </si>
  <si>
    <t>Clinical Trials</t>
  </si>
  <si>
    <t>Phase III "SELECT" CVOT</t>
  </si>
  <si>
    <t>2.4mg subcut reduced MACE by 20%</t>
  </si>
  <si>
    <t>Positive CHMP opinion</t>
  </si>
  <si>
    <t>Phase III "STEP" 52-week trial n=616 HFpEF, obesity, T2D</t>
  </si>
  <si>
    <t>Dosage: 2.4mg qw</t>
  </si>
  <si>
    <t>November 2023 results: KCCQ 16.6 vs 8.7 for placebo</t>
  </si>
  <si>
    <t xml:space="preserve">  -13.3% weight loss vs. -2.6% for placebo</t>
  </si>
  <si>
    <t>submitted results 1/24 in EU+US, will resubmit in US in 2025 with FLOW data</t>
  </si>
  <si>
    <t>Phase III "STEP 9" n=407 obesity in knee OA - 68-weeks</t>
  </si>
  <si>
    <t>Dosing: 2.4mg qw</t>
  </si>
  <si>
    <t>met WOMAC and weight loss primary endpoints</t>
  </si>
  <si>
    <t>29.03.25:</t>
  </si>
  <si>
    <t>Info</t>
  </si>
  <si>
    <t>Wegovy: Brukes spesifikt for fedmebehanling - inneholder semaglutid</t>
  </si>
  <si>
    <t>24.01.25:</t>
  </si>
  <si>
    <t>24.01.25: Successfully completes phase 1b/2a trial with subcutaneous amycretin in people with overweight or obesity</t>
  </si>
  <si>
    <t>20.12.24: CagriSema demonstrates superior weight loss in adults eith obesity or overweight in the REDEFINE 1 trial. CagriSema nådde et vekttap på 22,7% mot ventet 25% etter 68 uker (Falt 20% på meldingen)</t>
  </si>
  <si>
    <t>10.03.25: CagriSema demonstrates supiror weight loss in adults with obesity or overweight and type 2 diabetes in the REDEFINE 2 trial. CagriSema nådde et vektap på 15,7% (Falt 7% intradag)</t>
  </si>
  <si>
    <t>Målet er å nå et vekttap på mer enn 25% for CagriSema</t>
  </si>
  <si>
    <t>18.12.24: Novo har fullført kjøpe av Catalant som innebærer tre fabrikker fra Novo Holdings</t>
  </si>
  <si>
    <t>05.02.24: Novo Nordisk to acquire three fill-finish sites from Novo holdings basert på oppkjøpet av catalant. Oppkjøpet er forventet å øke Novo sin produskjon fra 26 og utover. Fabrikkene ligger i Italia, Belgia og Indiana (US)</t>
  </si>
  <si>
    <t>16.12.24: Novo invetster 8,5 mrd DKK i en ny fabrikk i Odense, Danmark.</t>
  </si>
  <si>
    <t xml:space="preserve">24.06.24: Novo investerer 4,1 mrd USD for å øke sin produksjonskapasitet i USA. </t>
  </si>
  <si>
    <t>Cash used for acqusition of businesses</t>
  </si>
  <si>
    <t>Financials</t>
  </si>
  <si>
    <r>
      <rPr>
        <b/>
        <u/>
        <sz val="14"/>
        <color theme="10"/>
        <rFont val="Calibri"/>
        <family val="2"/>
        <scheme val="minor"/>
      </rPr>
      <t>Ozempic:</t>
    </r>
    <r>
      <rPr>
        <u/>
        <sz val="14"/>
        <color theme="10"/>
        <rFont val="Calibri"/>
        <family val="2"/>
        <scheme val="minor"/>
      </rPr>
      <t xml:space="preserve"> Brukes primært mot type 2-diabetes, men også kjent for å gi vekttap som bieffekt</t>
    </r>
  </si>
  <si>
    <r>
      <rPr>
        <b/>
        <u/>
        <sz val="14"/>
        <color theme="10"/>
        <rFont val="Calibri"/>
        <family val="2"/>
        <scheme val="minor"/>
      </rPr>
      <t>Rybelsus:</t>
    </r>
    <r>
      <rPr>
        <u/>
        <sz val="14"/>
        <color theme="10"/>
        <rFont val="Calibri"/>
        <family val="2"/>
        <scheme val="minor"/>
      </rPr>
      <t xml:space="preserve"> Dette er en tablettversjon av semaglutid</t>
    </r>
  </si>
  <si>
    <t>Guidance 2025:</t>
  </si>
  <si>
    <t>13% - 21%</t>
  </si>
  <si>
    <t>16% - 24%</t>
  </si>
  <si>
    <t>EBIT y/y:</t>
  </si>
  <si>
    <t xml:space="preserve">Revenue y/y: </t>
  </si>
  <si>
    <t>14.05.25: Septerna og NOVo starter samarbeid innenfor oral molecule medicines for obesity and other cardiometabolic diseases</t>
  </si>
  <si>
    <t>20.12.24: Her falt Novo 20%</t>
  </si>
  <si>
    <t>US operations</t>
  </si>
  <si>
    <t>Revenues</t>
  </si>
  <si>
    <t>y/y %</t>
  </si>
  <si>
    <t>EUCAN</t>
  </si>
  <si>
    <t>Emerging markets</t>
  </si>
  <si>
    <t>APAC</t>
  </si>
  <si>
    <t>Region China</t>
  </si>
  <si>
    <t>16.05.25: Lars Fruergaard Jørgensen går av som CEO</t>
  </si>
  <si>
    <t>10.06.25: Novo skal presentere en sterk portefølje data med nye smaglutide og CagriSema resultater på ADA</t>
  </si>
  <si>
    <t>12.06.25:</t>
  </si>
  <si>
    <t>12.06.25: Novo fortsetter med injectable og oral Amycretin for weightmanagement til fase 3</t>
  </si>
  <si>
    <t>21.06.25: Publiserer Amycretin data på ADA, Se infoside</t>
  </si>
  <si>
    <t>ADA: American Diabetes Association</t>
  </si>
  <si>
    <t xml:space="preserve">21.06.25: </t>
  </si>
  <si>
    <t xml:space="preserve">22.06.25: </t>
  </si>
  <si>
    <t>Halvparten i testgruppen opplevde svimmelhet og 25% opplevde oppkast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</si>
</sst>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kr&quot;\ #,##0.00_);[Red]\(&quot;kr&quot;\ #,##0.00\)"/>
    <numFmt numFmtId="43" formatCode="_(* #,##0.00_);_(* \(#,##0.00\);_(* &quot;-&quot;??_);_(@_)"/>
    <numFmt numFmtId="164" formatCode="#,##0.0"/>
    <numFmt numFmtId="165" formatCode="0.0"/>
    <numFmt numFmtId="166" formatCode="0.0\ %"/>
    <numFmt numFmtId="167" formatCode="0.0%"/>
    <numFmt numFmtId="168" formatCode="#,##0.0000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</font>
    <font>
      <i/>
      <sz val="14"/>
      <name val="Calibri"/>
      <family val="2"/>
    </font>
    <font>
      <b/>
      <sz val="14"/>
      <color rgb="FF222222"/>
      <name val="Calibri"/>
      <family val="2"/>
      <scheme val="minor"/>
    </font>
    <font>
      <sz val="18"/>
      <name val="Arial"/>
      <family val="2"/>
    </font>
    <font>
      <b/>
      <u/>
      <sz val="18"/>
      <name val="Arial"/>
      <family val="2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72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0" fontId="2" fillId="0" borderId="1" xfId="0" applyNumberFormat="1" applyFont="1" applyBorder="1"/>
    <xf numFmtId="166" fontId="2" fillId="0" borderId="1" xfId="0" applyNumberFormat="1" applyFont="1" applyBorder="1"/>
    <xf numFmtId="166" fontId="1" fillId="0" borderId="0" xfId="0" applyNumberFormat="1" applyFont="1"/>
    <xf numFmtId="166" fontId="1" fillId="0" borderId="1" xfId="0" applyNumberFormat="1" applyFont="1" applyBorder="1"/>
    <xf numFmtId="2" fontId="2" fillId="0" borderId="0" xfId="0" applyNumberFormat="1" applyFont="1"/>
    <xf numFmtId="3" fontId="4" fillId="0" borderId="1" xfId="0" applyNumberFormat="1" applyFont="1" applyBorder="1"/>
    <xf numFmtId="0" fontId="7" fillId="0" borderId="3" xfId="0" applyFont="1" applyBorder="1"/>
    <xf numFmtId="0" fontId="4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" fillId="0" borderId="4" xfId="0" applyFont="1" applyBorder="1"/>
    <xf numFmtId="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2" fillId="0" borderId="5" xfId="0" applyFont="1" applyBorder="1"/>
    <xf numFmtId="9" fontId="8" fillId="0" borderId="0" xfId="1" applyNumberFormat="1" applyFont="1" applyFill="1" applyBorder="1" applyAlignment="1">
      <alignment horizontal="right"/>
    </xf>
    <xf numFmtId="9" fontId="1" fillId="0" borderId="0" xfId="0" applyNumberFormat="1" applyFont="1"/>
    <xf numFmtId="9" fontId="8" fillId="0" borderId="1" xfId="1" applyNumberFormat="1" applyFont="1" applyFill="1" applyBorder="1" applyAlignment="1">
      <alignment horizontal="right"/>
    </xf>
    <xf numFmtId="3" fontId="9" fillId="0" borderId="0" xfId="1" applyNumberFormat="1" applyFont="1" applyFill="1" applyBorder="1" applyAlignment="1">
      <alignment horizontal="right"/>
    </xf>
    <xf numFmtId="3" fontId="10" fillId="0" borderId="0" xfId="1" applyNumberFormat="1" applyFont="1" applyFill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1" fillId="0" borderId="0" xfId="1" applyNumberFormat="1" applyFont="1" applyFill="1" applyBorder="1" applyAlignment="1">
      <alignment horizontal="right"/>
    </xf>
    <xf numFmtId="3" fontId="12" fillId="0" borderId="0" xfId="1" applyNumberFormat="1" applyFont="1" applyFill="1" applyBorder="1" applyAlignment="1">
      <alignment horizontal="right"/>
    </xf>
    <xf numFmtId="0" fontId="2" fillId="0" borderId="7" xfId="0" applyFont="1" applyBorder="1"/>
    <xf numFmtId="167" fontId="8" fillId="0" borderId="0" xfId="1" applyNumberFormat="1" applyFont="1" applyFill="1" applyBorder="1" applyAlignment="1">
      <alignment horizontal="right"/>
    </xf>
    <xf numFmtId="9" fontId="2" fillId="0" borderId="0" xfId="0" applyNumberFormat="1" applyFont="1"/>
    <xf numFmtId="10" fontId="1" fillId="0" borderId="0" xfId="0" applyNumberFormat="1" applyFont="1"/>
    <xf numFmtId="8" fontId="2" fillId="0" borderId="5" xfId="0" applyNumberFormat="1" applyFont="1" applyBorder="1"/>
    <xf numFmtId="3" fontId="1" fillId="0" borderId="5" xfId="0" applyNumberFormat="1" applyFont="1" applyBorder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9" fillId="0" borderId="0" xfId="0" quotePrefix="1" applyFont="1"/>
    <xf numFmtId="3" fontId="1" fillId="0" borderId="7" xfId="0" applyNumberFormat="1" applyFont="1" applyBorder="1"/>
    <xf numFmtId="0" fontId="14" fillId="0" borderId="0" xfId="0" applyFont="1"/>
    <xf numFmtId="0" fontId="15" fillId="0" borderId="0" xfId="0" applyFont="1"/>
    <xf numFmtId="0" fontId="14" fillId="0" borderId="0" xfId="0" quotePrefix="1" applyFont="1"/>
    <xf numFmtId="14" fontId="1" fillId="0" borderId="0" xfId="0" applyNumberFormat="1" applyFont="1"/>
    <xf numFmtId="0" fontId="16" fillId="0" borderId="0" xfId="2"/>
    <xf numFmtId="0" fontId="17" fillId="0" borderId="0" xfId="2" applyFont="1"/>
    <xf numFmtId="3" fontId="11" fillId="0" borderId="0" xfId="1" applyNumberFormat="1" applyFont="1" applyBorder="1" applyAlignment="1">
      <alignment horizontal="right"/>
    </xf>
    <xf numFmtId="165" fontId="18" fillId="0" borderId="3" xfId="0" applyNumberFormat="1" applyFont="1" applyBorder="1"/>
    <xf numFmtId="0" fontId="1" fillId="0" borderId="1" xfId="0" applyFont="1" applyBorder="1"/>
    <xf numFmtId="3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8" fontId="1" fillId="0" borderId="0" xfId="0" applyNumberFormat="1" applyFont="1"/>
    <xf numFmtId="0" fontId="20" fillId="0" borderId="5" xfId="0" applyFont="1" applyBorder="1"/>
    <xf numFmtId="0" fontId="22" fillId="0" borderId="0" xfId="0" applyFont="1"/>
    <xf numFmtId="0" fontId="23" fillId="0" borderId="0" xfId="0" applyFont="1"/>
    <xf numFmtId="3" fontId="23" fillId="0" borderId="0" xfId="0" applyNumberFormat="1" applyFont="1"/>
    <xf numFmtId="0" fontId="24" fillId="0" borderId="5" xfId="0" applyFont="1" applyBorder="1"/>
    <xf numFmtId="166" fontId="20" fillId="0" borderId="5" xfId="0" applyNumberFormat="1" applyFont="1" applyBorder="1"/>
    <xf numFmtId="0" fontId="1" fillId="0" borderId="11" xfId="0" applyFont="1" applyBorder="1" applyAlignment="1">
      <alignment horizontal="right"/>
    </xf>
    <xf numFmtId="0" fontId="2" fillId="0" borderId="11" xfId="0" applyFont="1" applyBorder="1"/>
    <xf numFmtId="3" fontId="2" fillId="0" borderId="11" xfId="0" applyNumberFormat="1" applyFont="1" applyBorder="1"/>
    <xf numFmtId="0" fontId="20" fillId="0" borderId="10" xfId="0" applyFont="1" applyBorder="1"/>
    <xf numFmtId="0" fontId="23" fillId="0" borderId="11" xfId="0" applyFont="1" applyBorder="1"/>
    <xf numFmtId="3" fontId="23" fillId="0" borderId="11" xfId="0" applyNumberFormat="1" applyFont="1" applyBorder="1"/>
    <xf numFmtId="0" fontId="24" fillId="0" borderId="10" xfId="0" applyFont="1" applyBorder="1"/>
    <xf numFmtId="0" fontId="1" fillId="0" borderId="11" xfId="0" applyFont="1" applyBorder="1"/>
    <xf numFmtId="3" fontId="1" fillId="0" borderId="11" xfId="0" applyNumberFormat="1" applyFont="1" applyBorder="1"/>
    <xf numFmtId="166" fontId="21" fillId="0" borderId="10" xfId="0" applyNumberFormat="1" applyFont="1" applyBorder="1"/>
    <xf numFmtId="0" fontId="22" fillId="0" borderId="11" xfId="0" applyFont="1" applyBorder="1"/>
    <xf numFmtId="3" fontId="22" fillId="0" borderId="11" xfId="0" applyNumberFormat="1" applyFont="1" applyBorder="1"/>
    <xf numFmtId="168" fontId="4" fillId="0" borderId="0" xfId="0" applyNumberFormat="1" applyFont="1" applyAlignment="1">
      <alignment horizontal="right"/>
    </xf>
    <xf numFmtId="3" fontId="2" fillId="0" borderId="12" xfId="0" applyNumberFormat="1" applyFont="1" applyBorder="1" applyAlignment="1">
      <alignment horizontal="right"/>
    </xf>
  </cellXfs>
  <cellStyles count="3">
    <cellStyle name="Hyperkobling" xfId="2" builtinId="8"/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0</xdr:row>
      <xdr:rowOff>139700</xdr:rowOff>
    </xdr:from>
    <xdr:to>
      <xdr:col>10</xdr:col>
      <xdr:colOff>160270</xdr:colOff>
      <xdr:row>11</xdr:row>
      <xdr:rowOff>38100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BA14AD2-A595-0A2A-C7BE-49358A166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39700"/>
          <a:ext cx="327177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88899</xdr:colOff>
      <xdr:row>10</xdr:row>
      <xdr:rowOff>139700</xdr:rowOff>
    </xdr:from>
    <xdr:to>
      <xdr:col>21</xdr:col>
      <xdr:colOff>92844</xdr:colOff>
      <xdr:row>22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3A8849A-56DC-1660-8C8C-9EDEC0A57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9399" y="2552700"/>
          <a:ext cx="8474845" cy="283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0</xdr:row>
      <xdr:rowOff>38100</xdr:rowOff>
    </xdr:from>
    <xdr:to>
      <xdr:col>10</xdr:col>
      <xdr:colOff>508000</xdr:colOff>
      <xdr:row>20</xdr:row>
      <xdr:rowOff>6109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F54436FC-69FE-CB4A-7F75-0B080DA4A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" y="38100"/>
          <a:ext cx="7772400" cy="5708409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1</xdr:row>
      <xdr:rowOff>114300</xdr:rowOff>
    </xdr:from>
    <xdr:to>
      <xdr:col>19</xdr:col>
      <xdr:colOff>0</xdr:colOff>
      <xdr:row>18</xdr:row>
      <xdr:rowOff>97076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C6CC8E38-72F3-D6E4-DDBB-51E629414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4200" y="355600"/>
          <a:ext cx="7772400" cy="4897676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21</xdr:row>
      <xdr:rowOff>0</xdr:rowOff>
    </xdr:from>
    <xdr:to>
      <xdr:col>9</xdr:col>
      <xdr:colOff>217814</xdr:colOff>
      <xdr:row>60</xdr:row>
      <xdr:rowOff>190500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1EF604CE-59C9-2712-32C6-5AAC2C10B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6032500"/>
          <a:ext cx="713931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139700</xdr:rowOff>
    </xdr:from>
    <xdr:to>
      <xdr:col>9</xdr:col>
      <xdr:colOff>800100</xdr:colOff>
      <xdr:row>84</xdr:row>
      <xdr:rowOff>37334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C0B5391B-0C7C-6BCB-C6AB-A557557D6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40100"/>
          <a:ext cx="7772400" cy="5688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25400</xdr:rowOff>
    </xdr:from>
    <xdr:to>
      <xdr:col>11</xdr:col>
      <xdr:colOff>663004</xdr:colOff>
      <xdr:row>10</xdr:row>
      <xdr:rowOff>165100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948D53F-54B3-0F35-9F47-3EF0DCDC1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25400"/>
          <a:ext cx="8879904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0</xdr:row>
      <xdr:rowOff>76200</xdr:rowOff>
    </xdr:from>
    <xdr:to>
      <xdr:col>18</xdr:col>
      <xdr:colOff>213246</xdr:colOff>
      <xdr:row>14</xdr:row>
      <xdr:rowOff>88900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38235BB-B136-D6B6-2840-848236656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76200"/>
          <a:ext cx="5229746" cy="3390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17</xdr:row>
      <xdr:rowOff>25400</xdr:rowOff>
    </xdr:from>
    <xdr:to>
      <xdr:col>6</xdr:col>
      <xdr:colOff>800418</xdr:colOff>
      <xdr:row>38</xdr:row>
      <xdr:rowOff>88900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D7AAF634-3263-5814-B097-AEA260441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4127500"/>
          <a:ext cx="4953318" cy="513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95826</xdr:colOff>
      <xdr:row>11</xdr:row>
      <xdr:rowOff>58882</xdr:rowOff>
    </xdr:from>
    <xdr:to>
      <xdr:col>14</xdr:col>
      <xdr:colOff>223981</xdr:colOff>
      <xdr:row>43</xdr:row>
      <xdr:rowOff>144988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56C0993-6848-3974-A224-A72AF921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5281" y="2725882"/>
          <a:ext cx="6027882" cy="7844651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0</xdr:row>
      <xdr:rowOff>25400</xdr:rowOff>
    </xdr:from>
    <xdr:to>
      <xdr:col>10</xdr:col>
      <xdr:colOff>513202</xdr:colOff>
      <xdr:row>8</xdr:row>
      <xdr:rowOff>25400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7197F889-1DA5-A3D5-C1CF-A5358A5F0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0" y="25400"/>
          <a:ext cx="8099720" cy="1930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34637</xdr:colOff>
      <xdr:row>11</xdr:row>
      <xdr:rowOff>93518</xdr:rowOff>
    </xdr:from>
    <xdr:to>
      <xdr:col>21</xdr:col>
      <xdr:colOff>488443</xdr:colOff>
      <xdr:row>42</xdr:row>
      <xdr:rowOff>169718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0154CB7-AD14-16B3-CED6-0B68B62D0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4273" y="2760518"/>
          <a:ext cx="5441442" cy="7592291"/>
        </a:xfrm>
        <a:prstGeom prst="rect">
          <a:avLst/>
        </a:prstGeom>
      </xdr:spPr>
    </xdr:pic>
    <xdr:clientData/>
  </xdr:twoCellAnchor>
  <xdr:twoCellAnchor editAs="oneCell">
    <xdr:from>
      <xdr:col>1</xdr:col>
      <xdr:colOff>23091</xdr:colOff>
      <xdr:row>10</xdr:row>
      <xdr:rowOff>219364</xdr:rowOff>
    </xdr:from>
    <xdr:to>
      <xdr:col>6</xdr:col>
      <xdr:colOff>478447</xdr:colOff>
      <xdr:row>22</xdr:row>
      <xdr:rowOff>115455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B6AA0BA6-06E9-9844-821D-A10AD8016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5636" y="2643909"/>
          <a:ext cx="4680993" cy="2805546"/>
        </a:xfrm>
        <a:prstGeom prst="rect">
          <a:avLst/>
        </a:prstGeom>
      </xdr:spPr>
    </xdr:pic>
    <xdr:clientData/>
  </xdr:twoCellAnchor>
  <xdr:twoCellAnchor editAs="oneCell">
    <xdr:from>
      <xdr:col>1</xdr:col>
      <xdr:colOff>80819</xdr:colOff>
      <xdr:row>22</xdr:row>
      <xdr:rowOff>80818</xdr:rowOff>
    </xdr:from>
    <xdr:to>
      <xdr:col>6</xdr:col>
      <xdr:colOff>754539</xdr:colOff>
      <xdr:row>46</xdr:row>
      <xdr:rowOff>69956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70C6332E-C4B2-61EA-6466-235F01D0A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4" y="5414818"/>
          <a:ext cx="4899357" cy="5808047"/>
        </a:xfrm>
        <a:prstGeom prst="rect">
          <a:avLst/>
        </a:prstGeom>
      </xdr:spPr>
    </xdr:pic>
    <xdr:clientData/>
  </xdr:twoCellAnchor>
  <xdr:twoCellAnchor editAs="oneCell">
    <xdr:from>
      <xdr:col>1</xdr:col>
      <xdr:colOff>92365</xdr:colOff>
      <xdr:row>46</xdr:row>
      <xdr:rowOff>1412</xdr:rowOff>
    </xdr:from>
    <xdr:to>
      <xdr:col>6</xdr:col>
      <xdr:colOff>761999</xdr:colOff>
      <xdr:row>77</xdr:row>
      <xdr:rowOff>140855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984B4EA8-0AF8-0B69-F149-BD1B2D9C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4910" y="11154321"/>
          <a:ext cx="4895271" cy="7655534"/>
        </a:xfrm>
        <a:prstGeom prst="rect">
          <a:avLst/>
        </a:prstGeom>
      </xdr:spPr>
    </xdr:pic>
    <xdr:clientData/>
  </xdr:twoCellAnchor>
  <xdr:twoCellAnchor editAs="oneCell">
    <xdr:from>
      <xdr:col>1</xdr:col>
      <xdr:colOff>57728</xdr:colOff>
      <xdr:row>77</xdr:row>
      <xdr:rowOff>92363</xdr:rowOff>
    </xdr:from>
    <xdr:to>
      <xdr:col>6</xdr:col>
      <xdr:colOff>359099</xdr:colOff>
      <xdr:row>84</xdr:row>
      <xdr:rowOff>138545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E704E41C-688C-AB99-A1B7-09077247E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0273" y="18761363"/>
          <a:ext cx="4527008" cy="17433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101600</xdr:colOff>
      <xdr:row>22</xdr:row>
      <xdr:rowOff>63499</xdr:rowOff>
    </xdr:from>
    <xdr:to>
      <xdr:col>19</xdr:col>
      <xdr:colOff>800100</xdr:colOff>
      <xdr:row>60</xdr:row>
      <xdr:rowOff>214903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D2975FAD-B98F-729F-E04B-68A2633A1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3000" y="5372099"/>
          <a:ext cx="4826000" cy="932080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0</xdr:row>
      <xdr:rowOff>228600</xdr:rowOff>
    </xdr:from>
    <xdr:to>
      <xdr:col>6</xdr:col>
      <xdr:colOff>426834</xdr:colOff>
      <xdr:row>19</xdr:row>
      <xdr:rowOff>50800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1D092443-B09E-37E7-79F3-CB80BE066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228600"/>
          <a:ext cx="4605134" cy="4406900"/>
        </a:xfrm>
        <a:prstGeom prst="rect">
          <a:avLst/>
        </a:prstGeom>
      </xdr:spPr>
    </xdr:pic>
    <xdr:clientData/>
  </xdr:twoCellAnchor>
  <xdr:twoCellAnchor editAs="oneCell">
    <xdr:from>
      <xdr:col>7</xdr:col>
      <xdr:colOff>177799</xdr:colOff>
      <xdr:row>22</xdr:row>
      <xdr:rowOff>177800</xdr:rowOff>
    </xdr:from>
    <xdr:to>
      <xdr:col>13</xdr:col>
      <xdr:colOff>555394</xdr:colOff>
      <xdr:row>49</xdr:row>
      <xdr:rowOff>203200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F526CCEC-B00F-7105-C746-FEB9F5012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0699" y="5486400"/>
          <a:ext cx="5330595" cy="654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215900</xdr:rowOff>
    </xdr:from>
    <xdr:to>
      <xdr:col>6</xdr:col>
      <xdr:colOff>685015</xdr:colOff>
      <xdr:row>51</xdr:row>
      <xdr:rowOff>228600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6C71ABF2-ED43-CE60-E340-B10FB2E2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283200"/>
          <a:ext cx="5282415" cy="7251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215900</xdr:rowOff>
    </xdr:from>
    <xdr:to>
      <xdr:col>7</xdr:col>
      <xdr:colOff>401389</xdr:colOff>
      <xdr:row>87</xdr:row>
      <xdr:rowOff>139700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FCE401C0-CE58-82A3-A9F9-2BD219ADD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522200"/>
          <a:ext cx="5824289" cy="861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2:P46"/>
  <sheetViews>
    <sheetView showGridLines="0" workbookViewId="0">
      <selection activeCell="K29" sqref="K29"/>
    </sheetView>
  </sheetViews>
  <sheetFormatPr baseColWidth="10" defaultRowHeight="19" x14ac:dyDescent="0.25"/>
  <cols>
    <col min="1" max="14" width="10.83203125" style="2"/>
    <col min="15" max="15" width="13.6640625" style="2" customWidth="1"/>
    <col min="16" max="16384" width="10.83203125" style="2"/>
  </cols>
  <sheetData>
    <row r="2" spans="1:16" x14ac:dyDescent="0.25">
      <c r="A2" s="2" t="s">
        <v>68</v>
      </c>
    </row>
    <row r="4" spans="1:16" x14ac:dyDescent="0.25">
      <c r="A4" s="2" t="s">
        <v>255</v>
      </c>
    </row>
    <row r="5" spans="1:16" x14ac:dyDescent="0.25">
      <c r="A5" s="1"/>
      <c r="O5" s="1" t="s">
        <v>236</v>
      </c>
    </row>
    <row r="6" spans="1:16" x14ac:dyDescent="0.25">
      <c r="A6" s="1"/>
      <c r="O6" s="1" t="s">
        <v>240</v>
      </c>
      <c r="P6" s="2" t="s">
        <v>237</v>
      </c>
    </row>
    <row r="7" spans="1:16" x14ac:dyDescent="0.25">
      <c r="A7" s="1" t="s">
        <v>149</v>
      </c>
      <c r="O7" s="1" t="s">
        <v>239</v>
      </c>
      <c r="P7" s="2" t="s">
        <v>238</v>
      </c>
    </row>
    <row r="8" spans="1:16" x14ac:dyDescent="0.25">
      <c r="A8" s="2" t="s">
        <v>151</v>
      </c>
    </row>
    <row r="9" spans="1:16" x14ac:dyDescent="0.25">
      <c r="A9" s="2" t="s">
        <v>150</v>
      </c>
    </row>
    <row r="10" spans="1:16" x14ac:dyDescent="0.25">
      <c r="A10" s="2" t="s">
        <v>152</v>
      </c>
    </row>
    <row r="12" spans="1:16" x14ac:dyDescent="0.25">
      <c r="A12" s="2" t="s">
        <v>153</v>
      </c>
    </row>
    <row r="13" spans="1:16" x14ac:dyDescent="0.25">
      <c r="A13" s="62" t="s">
        <v>234</v>
      </c>
    </row>
    <row r="14" spans="1:16" x14ac:dyDescent="0.25">
      <c r="A14" s="1" t="s">
        <v>154</v>
      </c>
    </row>
    <row r="15" spans="1:16" x14ac:dyDescent="0.25">
      <c r="A15" s="62" t="s">
        <v>235</v>
      </c>
    </row>
    <row r="17" spans="1:1" x14ac:dyDescent="0.25">
      <c r="A17" s="1" t="s">
        <v>155</v>
      </c>
    </row>
    <row r="18" spans="1:1" x14ac:dyDescent="0.25">
      <c r="A18" s="2" t="s">
        <v>156</v>
      </c>
    </row>
    <row r="19" spans="1:1" x14ac:dyDescent="0.25">
      <c r="A19" s="1" t="s">
        <v>157</v>
      </c>
    </row>
    <row r="20" spans="1:1" x14ac:dyDescent="0.25">
      <c r="A20" s="2" t="s">
        <v>158</v>
      </c>
    </row>
    <row r="21" spans="1:1" x14ac:dyDescent="0.25">
      <c r="A21" s="1" t="s">
        <v>159</v>
      </c>
    </row>
    <row r="22" spans="1:1" x14ac:dyDescent="0.25">
      <c r="A22" s="2" t="s">
        <v>160</v>
      </c>
    </row>
    <row r="24" spans="1:1" x14ac:dyDescent="0.25">
      <c r="A24" s="1" t="s">
        <v>161</v>
      </c>
    </row>
    <row r="25" spans="1:1" x14ac:dyDescent="0.25">
      <c r="A25" s="2" t="s">
        <v>162</v>
      </c>
    </row>
    <row r="27" spans="1:1" x14ac:dyDescent="0.25">
      <c r="A27" s="2" t="s">
        <v>153</v>
      </c>
    </row>
    <row r="28" spans="1:1" x14ac:dyDescent="0.25">
      <c r="A28" s="62" t="s">
        <v>222</v>
      </c>
    </row>
    <row r="29" spans="1:1" x14ac:dyDescent="0.25">
      <c r="A29" s="2" t="s">
        <v>163</v>
      </c>
    </row>
    <row r="32" spans="1:1" x14ac:dyDescent="0.25">
      <c r="A32" s="1" t="s">
        <v>188</v>
      </c>
    </row>
    <row r="33" spans="1:1" x14ac:dyDescent="0.25">
      <c r="A33" s="1"/>
    </row>
    <row r="34" spans="1:1" x14ac:dyDescent="0.25">
      <c r="A34" s="2" t="s">
        <v>254</v>
      </c>
    </row>
    <row r="35" spans="1:1" x14ac:dyDescent="0.25">
      <c r="A35" s="2" t="s">
        <v>253</v>
      </c>
    </row>
    <row r="36" spans="1:1" x14ac:dyDescent="0.25">
      <c r="A36" s="2" t="s">
        <v>251</v>
      </c>
    </row>
    <row r="37" spans="1:1" x14ac:dyDescent="0.25">
      <c r="A37" s="2" t="s">
        <v>250</v>
      </c>
    </row>
    <row r="38" spans="1:1" x14ac:dyDescent="0.25">
      <c r="A38" s="2" t="s">
        <v>241</v>
      </c>
    </row>
    <row r="39" spans="1:1" x14ac:dyDescent="0.25">
      <c r="A39" s="2" t="s">
        <v>189</v>
      </c>
    </row>
    <row r="40" spans="1:1" x14ac:dyDescent="0.25">
      <c r="A40" s="2" t="s">
        <v>226</v>
      </c>
    </row>
    <row r="41" spans="1:1" x14ac:dyDescent="0.25">
      <c r="A41" s="2" t="s">
        <v>224</v>
      </c>
    </row>
    <row r="42" spans="1:1" x14ac:dyDescent="0.25">
      <c r="A42" s="2" t="s">
        <v>225</v>
      </c>
    </row>
    <row r="43" spans="1:1" x14ac:dyDescent="0.25">
      <c r="A43" s="2" t="s">
        <v>228</v>
      </c>
    </row>
    <row r="44" spans="1:1" x14ac:dyDescent="0.25">
      <c r="A44" s="2" t="s">
        <v>230</v>
      </c>
    </row>
    <row r="45" spans="1:1" x14ac:dyDescent="0.25">
      <c r="A45" s="2" t="s">
        <v>231</v>
      </c>
    </row>
    <row r="46" spans="1:1" x14ac:dyDescent="0.25">
      <c r="A46" s="2" t="s">
        <v>229</v>
      </c>
    </row>
  </sheetData>
  <hyperlinks>
    <hyperlink ref="A15" location="Rybelsus!A1" display="Rybelsus: Dette er en tablettversjon av semaglutid" xr:uid="{5772CDA8-04E8-9540-B149-2BFBC10CB686}"/>
    <hyperlink ref="A13" location="Ozempic!A1" display="Ozempic: Brukes primært mot type 2-diabetes, men også kjent for å gi vekttap som bieffekt" xr:uid="{A0CA0AB9-90FC-0046-8CD8-E107F630ED54}"/>
    <hyperlink ref="A28" location="Wegovy!A1" display="Wegovy: Brukes spesifikt for fedmebehanling - inneholder semaglutid" xr:uid="{A827C859-8231-DF4D-8876-1A27EC27484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EM142"/>
  <sheetViews>
    <sheetView showGridLines="0" tabSelected="1" zoomScaleNormal="100" workbookViewId="0">
      <pane xSplit="3" ySplit="3" topLeftCell="U4" activePane="bottomRight" state="frozen"/>
      <selection pane="topRight" activeCell="D1" sqref="D1"/>
      <selection pane="bottomLeft" activeCell="A4" sqref="A4"/>
      <selection pane="bottomRight" activeCell="T111" sqref="T111"/>
    </sheetView>
  </sheetViews>
  <sheetFormatPr baseColWidth="10" defaultRowHeight="19" x14ac:dyDescent="0.25"/>
  <cols>
    <col min="1" max="1" width="16.33203125" style="2" bestFit="1" customWidth="1"/>
    <col min="2" max="2" width="14" style="4" bestFit="1" customWidth="1"/>
    <col min="3" max="3" width="39.832031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9.83203125" style="2" customWidth="1"/>
    <col min="9" max="9" width="10.1640625" style="2" bestFit="1" customWidth="1"/>
    <col min="10" max="10" width="10.33203125" style="2" bestFit="1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4"/>
    <col min="17" max="28" width="10.83203125" style="2"/>
    <col min="29" max="29" width="10.83203125" style="4"/>
    <col min="30" max="36" width="10.83203125" style="2"/>
    <col min="37" max="37" width="10.83203125" style="2" customWidth="1"/>
    <col min="38" max="39" width="11.5" style="2" bestFit="1" customWidth="1"/>
    <col min="40" max="40" width="9.6640625" style="2" bestFit="1" customWidth="1"/>
    <col min="41" max="41" width="14.6640625" style="2" bestFit="1" customWidth="1"/>
    <col min="42" max="42" width="18.1640625" style="2" customWidth="1"/>
    <col min="43" max="16384" width="10.83203125" style="2"/>
  </cols>
  <sheetData>
    <row r="1" spans="1:39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Y1" s="1"/>
    </row>
    <row r="3" spans="1:39" x14ac:dyDescent="0.25">
      <c r="A3" s="1" t="s">
        <v>0</v>
      </c>
      <c r="C3" s="2" t="s">
        <v>35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8" t="s">
        <v>57</v>
      </c>
      <c r="Q3" s="7" t="s">
        <v>58</v>
      </c>
      <c r="R3" s="7" t="s">
        <v>59</v>
      </c>
      <c r="S3" s="7" t="s">
        <v>60</v>
      </c>
      <c r="T3" s="7"/>
      <c r="W3" s="7" t="s">
        <v>62</v>
      </c>
      <c r="X3" s="7" t="s">
        <v>63</v>
      </c>
      <c r="Y3" s="7" t="s">
        <v>64</v>
      </c>
      <c r="Z3" s="7" t="s">
        <v>14</v>
      </c>
      <c r="AA3" s="7" t="s">
        <v>15</v>
      </c>
      <c r="AB3" s="7" t="s">
        <v>16</v>
      </c>
      <c r="AC3" s="8" t="s">
        <v>17</v>
      </c>
      <c r="AD3" s="7" t="s">
        <v>18</v>
      </c>
      <c r="AE3" s="7" t="s">
        <v>19</v>
      </c>
      <c r="AF3" s="7" t="s">
        <v>20</v>
      </c>
      <c r="AG3" s="7" t="s">
        <v>21</v>
      </c>
      <c r="AH3" s="7" t="s">
        <v>22</v>
      </c>
      <c r="AI3" s="7" t="s">
        <v>23</v>
      </c>
      <c r="AJ3" s="7" t="s">
        <v>24</v>
      </c>
      <c r="AK3" s="7" t="s">
        <v>25</v>
      </c>
      <c r="AL3" s="7" t="s">
        <v>26</v>
      </c>
      <c r="AM3" s="7" t="s">
        <v>27</v>
      </c>
    </row>
    <row r="4" spans="1:39" x14ac:dyDescent="0.25">
      <c r="A4" s="2" t="s">
        <v>1</v>
      </c>
      <c r="B4" s="4">
        <v>450.65</v>
      </c>
      <c r="C4" s="2" t="s">
        <v>114</v>
      </c>
      <c r="D4" s="30">
        <f t="shared" ref="D4:N4" si="0">D5+D6</f>
        <v>15357</v>
      </c>
      <c r="E4" s="30">
        <f t="shared" si="0"/>
        <v>17059</v>
      </c>
      <c r="F4" s="30">
        <f t="shared" si="0"/>
        <v>19357</v>
      </c>
      <c r="G4" s="30">
        <f t="shared" si="0"/>
        <v>20299</v>
      </c>
      <c r="H4" s="30">
        <f t="shared" si="0"/>
        <v>22455</v>
      </c>
      <c r="I4" s="30">
        <f t="shared" si="0"/>
        <v>23937</v>
      </c>
      <c r="J4" s="30">
        <f t="shared" si="0"/>
        <v>26139</v>
      </c>
      <c r="K4" s="30">
        <f t="shared" si="0"/>
        <v>31851</v>
      </c>
      <c r="L4" s="30">
        <f>L5+L6</f>
        <v>29969</v>
      </c>
      <c r="M4" s="30">
        <f t="shared" si="0"/>
        <v>31117</v>
      </c>
      <c r="N4" s="30">
        <f t="shared" si="0"/>
        <v>29482</v>
      </c>
      <c r="O4" s="30">
        <f>O5+O6</f>
        <v>35256</v>
      </c>
      <c r="P4" s="66">
        <f>P5+P6</f>
        <v>33879</v>
      </c>
      <c r="Q4" s="30">
        <f t="shared" ref="Q4:S4" si="1">Q5+Q6</f>
        <v>0</v>
      </c>
      <c r="R4" s="30">
        <f t="shared" si="1"/>
        <v>0</v>
      </c>
      <c r="S4" s="30">
        <f t="shared" si="1"/>
        <v>0</v>
      </c>
      <c r="T4" s="7"/>
      <c r="X4" s="30">
        <f t="shared" ref="X4" si="2">X5+X6</f>
        <v>39958</v>
      </c>
      <c r="Y4" s="30">
        <f t="shared" ref="Y4" si="3">Y5+Y6</f>
        <v>48759</v>
      </c>
      <c r="Z4" s="30">
        <f t="shared" ref="Z4:AA4" si="4">Z5+Z6</f>
        <v>72072</v>
      </c>
      <c r="AA4" s="30">
        <f t="shared" si="4"/>
        <v>104382</v>
      </c>
      <c r="AB4" s="30">
        <f>AB5+AB6</f>
        <v>125824</v>
      </c>
      <c r="AC4" s="66">
        <f>AC5+AC6</f>
        <v>33879</v>
      </c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2" t="s">
        <v>61</v>
      </c>
      <c r="B5" s="5">
        <v>4455.5</v>
      </c>
      <c r="C5" s="27" t="s">
        <v>115</v>
      </c>
      <c r="D5" s="37">
        <v>12035</v>
      </c>
      <c r="E5" s="37">
        <v>14349</v>
      </c>
      <c r="F5" s="37">
        <v>16390</v>
      </c>
      <c r="G5" s="37">
        <v>16976</v>
      </c>
      <c r="H5" s="37">
        <v>19640</v>
      </c>
      <c r="I5" s="37">
        <v>22101</v>
      </c>
      <c r="J5" s="37">
        <v>23912</v>
      </c>
      <c r="K5" s="37">
        <v>30065</v>
      </c>
      <c r="L5" s="37">
        <v>27810</v>
      </c>
      <c r="M5" s="37">
        <v>28875</v>
      </c>
      <c r="N5" s="37">
        <v>29804</v>
      </c>
      <c r="O5" s="37">
        <v>33853</v>
      </c>
      <c r="P5" s="68">
        <v>32721</v>
      </c>
      <c r="Q5" s="31"/>
      <c r="R5" s="31"/>
      <c r="S5" s="31"/>
      <c r="T5" s="7"/>
      <c r="W5" s="12"/>
      <c r="X5" s="17">
        <v>21211</v>
      </c>
      <c r="Y5" s="17">
        <v>33705</v>
      </c>
      <c r="Z5" s="17">
        <f>SUM(D5:G5)</f>
        <v>59750</v>
      </c>
      <c r="AA5" s="17">
        <f>SUM(H5:K5)</f>
        <v>95718</v>
      </c>
      <c r="AB5" s="17">
        <f>SUM(L5:O5)</f>
        <v>120342</v>
      </c>
      <c r="AC5" s="25">
        <f>SUM(P5:S5)</f>
        <v>32721</v>
      </c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:39" x14ac:dyDescent="0.25">
      <c r="A6" s="2" t="s">
        <v>36</v>
      </c>
      <c r="B6" s="5">
        <f>B4*B5</f>
        <v>2007871.075</v>
      </c>
      <c r="C6" s="27" t="s">
        <v>116</v>
      </c>
      <c r="D6" s="37">
        <v>3322</v>
      </c>
      <c r="E6" s="37">
        <v>2710</v>
      </c>
      <c r="F6" s="37">
        <v>2967</v>
      </c>
      <c r="G6" s="37">
        <v>3323</v>
      </c>
      <c r="H6" s="37">
        <v>2815</v>
      </c>
      <c r="I6" s="37">
        <v>1836</v>
      </c>
      <c r="J6" s="37">
        <v>2227</v>
      </c>
      <c r="K6" s="37">
        <v>1786</v>
      </c>
      <c r="L6" s="37">
        <v>2159</v>
      </c>
      <c r="M6" s="37">
        <v>2242</v>
      </c>
      <c r="N6" s="37">
        <v>-322</v>
      </c>
      <c r="O6" s="37">
        <v>1403</v>
      </c>
      <c r="P6" s="68">
        <v>1158</v>
      </c>
      <c r="Q6" s="88"/>
      <c r="R6" s="31"/>
      <c r="S6" s="31"/>
      <c r="T6" s="7"/>
      <c r="W6" s="12"/>
      <c r="X6" s="17">
        <v>18747</v>
      </c>
      <c r="Y6" s="17">
        <v>15054</v>
      </c>
      <c r="Z6" s="17">
        <f t="shared" ref="Z6" si="5">SUM(D6:G6)</f>
        <v>12322</v>
      </c>
      <c r="AA6" s="17">
        <f>SUM(H6:K6)</f>
        <v>8664</v>
      </c>
      <c r="AB6" s="17">
        <f>SUM(L6:O6)</f>
        <v>5482</v>
      </c>
      <c r="AC6" s="25">
        <f>SUM(P6:S6)</f>
        <v>1158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x14ac:dyDescent="0.25">
      <c r="A7" s="2" t="s">
        <v>37</v>
      </c>
      <c r="B7" s="5">
        <v>38938</v>
      </c>
      <c r="C7" s="2" t="s">
        <v>117</v>
      </c>
      <c r="D7" s="36">
        <v>2063</v>
      </c>
      <c r="E7" s="36">
        <v>2172</v>
      </c>
      <c r="F7" s="36">
        <v>3011</v>
      </c>
      <c r="G7" s="36">
        <v>4053</v>
      </c>
      <c r="H7" s="36">
        <v>4356</v>
      </c>
      <c r="I7" s="36">
        <v>3988</v>
      </c>
      <c r="J7" s="36">
        <v>4496</v>
      </c>
      <c r="K7" s="36">
        <v>5910</v>
      </c>
      <c r="L7" s="36">
        <v>5013</v>
      </c>
      <c r="M7" s="36">
        <v>5918</v>
      </c>
      <c r="N7" s="36">
        <v>5453</v>
      </c>
      <c r="O7" s="36">
        <v>6917</v>
      </c>
      <c r="P7" s="66">
        <v>5695</v>
      </c>
      <c r="Q7" s="30"/>
      <c r="R7" s="30"/>
      <c r="S7" s="30"/>
      <c r="T7" s="7"/>
      <c r="X7" s="15">
        <v>1873</v>
      </c>
      <c r="Y7" s="15">
        <v>4838</v>
      </c>
      <c r="Z7" s="15">
        <f>SUM(D7:G7)</f>
        <v>11299</v>
      </c>
      <c r="AA7" s="15">
        <f>SUM(H7:K7)</f>
        <v>18750</v>
      </c>
      <c r="AB7" s="15">
        <f>SUM(L7:O7)</f>
        <v>23301</v>
      </c>
      <c r="AC7" s="16">
        <f>SUM(P7:S7)</f>
        <v>5695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25">
      <c r="A8" s="2" t="s">
        <v>38</v>
      </c>
      <c r="B8" s="5">
        <f>P79+P84</f>
        <v>118723</v>
      </c>
      <c r="C8" s="29" t="s">
        <v>118</v>
      </c>
      <c r="D8" s="38">
        <f t="shared" ref="D8:M8" si="6">D4+D7</f>
        <v>17420</v>
      </c>
      <c r="E8" s="38">
        <f t="shared" si="6"/>
        <v>19231</v>
      </c>
      <c r="F8" s="38">
        <f t="shared" si="6"/>
        <v>22368</v>
      </c>
      <c r="G8" s="38">
        <f t="shared" si="6"/>
        <v>24352</v>
      </c>
      <c r="H8" s="38">
        <f t="shared" si="6"/>
        <v>26811</v>
      </c>
      <c r="I8" s="38">
        <f t="shared" si="6"/>
        <v>27925</v>
      </c>
      <c r="J8" s="38">
        <f t="shared" si="6"/>
        <v>30635</v>
      </c>
      <c r="K8" s="38">
        <f t="shared" si="6"/>
        <v>37761</v>
      </c>
      <c r="L8" s="38">
        <f t="shared" si="6"/>
        <v>34982</v>
      </c>
      <c r="M8" s="38">
        <f t="shared" si="6"/>
        <v>37035</v>
      </c>
      <c r="N8" s="38">
        <f>N4+N7</f>
        <v>34935</v>
      </c>
      <c r="O8" s="38">
        <f>O4+O7</f>
        <v>42173</v>
      </c>
      <c r="P8" s="39">
        <f>P4+P7</f>
        <v>39574</v>
      </c>
      <c r="Q8" s="38">
        <f t="shared" ref="Q8:S8" si="7">Q4+Q7</f>
        <v>0</v>
      </c>
      <c r="R8" s="38">
        <f t="shared" si="7"/>
        <v>0</v>
      </c>
      <c r="S8" s="38">
        <f t="shared" si="7"/>
        <v>0</v>
      </c>
      <c r="T8" s="7"/>
      <c r="W8" s="32"/>
      <c r="X8" s="38">
        <f t="shared" ref="X8" si="8">X4+X7</f>
        <v>41831</v>
      </c>
      <c r="Y8" s="38">
        <f t="shared" ref="Y8" si="9">Y4+Y7</f>
        <v>53597</v>
      </c>
      <c r="Z8" s="38">
        <f t="shared" ref="Z8:AA8" si="10">Z4+Z7</f>
        <v>83371</v>
      </c>
      <c r="AA8" s="38">
        <f t="shared" si="10"/>
        <v>123132</v>
      </c>
      <c r="AB8" s="38">
        <f>AB4+AB7</f>
        <v>149125</v>
      </c>
      <c r="AC8" s="39">
        <f>AC4+AC7</f>
        <v>39574</v>
      </c>
      <c r="AD8" s="51"/>
      <c r="AE8" s="51"/>
      <c r="AF8" s="51"/>
      <c r="AG8" s="51"/>
      <c r="AH8" s="51"/>
      <c r="AI8" s="51"/>
      <c r="AJ8" s="51"/>
      <c r="AK8" s="51"/>
      <c r="AL8" s="51"/>
      <c r="AM8" s="51"/>
    </row>
    <row r="9" spans="1:39" x14ac:dyDescent="0.25">
      <c r="A9" s="3" t="s">
        <v>39</v>
      </c>
      <c r="B9" s="6">
        <f>B6-B7+B8</f>
        <v>2087656.075</v>
      </c>
      <c r="C9" s="2" t="s">
        <v>119</v>
      </c>
      <c r="D9" s="30">
        <f t="shared" ref="D9:N9" si="11">SUM(D10:D13)</f>
        <v>4796</v>
      </c>
      <c r="E9" s="30">
        <f t="shared" si="11"/>
        <v>4104</v>
      </c>
      <c r="F9" s="30">
        <f t="shared" si="11"/>
        <v>3939</v>
      </c>
      <c r="G9" s="30">
        <f t="shared" si="11"/>
        <v>3902</v>
      </c>
      <c r="H9" s="30">
        <f t="shared" si="11"/>
        <v>4133</v>
      </c>
      <c r="I9" s="30">
        <f t="shared" si="11"/>
        <v>3354</v>
      </c>
      <c r="J9" s="30">
        <f t="shared" si="11"/>
        <v>3692</v>
      </c>
      <c r="K9" s="30">
        <f t="shared" si="11"/>
        <v>3726</v>
      </c>
      <c r="L9" s="30">
        <f t="shared" si="11"/>
        <v>5165</v>
      </c>
      <c r="M9" s="30">
        <f t="shared" si="11"/>
        <v>4737</v>
      </c>
      <c r="N9" s="30">
        <f t="shared" si="11"/>
        <v>4035</v>
      </c>
      <c r="O9" s="30">
        <f>SUM(O10:O13)</f>
        <v>5158</v>
      </c>
      <c r="P9" s="67">
        <f>SUM(P10:P13)</f>
        <v>5388</v>
      </c>
      <c r="Q9" s="89">
        <f t="shared" ref="Q9:S9" si="12">SUM(Q10:Q13)</f>
        <v>0</v>
      </c>
      <c r="R9" s="30">
        <f t="shared" si="12"/>
        <v>0</v>
      </c>
      <c r="S9" s="30">
        <f t="shared" si="12"/>
        <v>0</v>
      </c>
      <c r="T9" s="7"/>
      <c r="X9" s="30">
        <f t="shared" ref="X9" si="13">SUM(X10:X13)</f>
        <v>18439</v>
      </c>
      <c r="Y9" s="30">
        <f t="shared" ref="Y9" si="14">SUM(Y10:Y13)</f>
        <v>18064</v>
      </c>
      <c r="Z9" s="30">
        <f t="shared" ref="Z9" si="15">SUM(Z10:Z13)</f>
        <v>16741</v>
      </c>
      <c r="AA9" s="30">
        <f t="shared" ref="AA9" si="16">SUM(AA10:AA13)</f>
        <v>14905</v>
      </c>
      <c r="AB9" s="30">
        <f t="shared" ref="AB9:AC9" si="17">SUM(AB10:AB13)</f>
        <v>19095</v>
      </c>
      <c r="AC9" s="66">
        <f t="shared" si="17"/>
        <v>5388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25">
      <c r="C10" s="27" t="s">
        <v>120</v>
      </c>
      <c r="D10" s="37">
        <v>2564</v>
      </c>
      <c r="E10" s="37">
        <v>2269</v>
      </c>
      <c r="F10" s="37">
        <v>2273</v>
      </c>
      <c r="G10" s="37">
        <v>2247</v>
      </c>
      <c r="H10" s="37">
        <v>2179</v>
      </c>
      <c r="I10" s="37">
        <v>1747</v>
      </c>
      <c r="J10" s="37">
        <v>1910</v>
      </c>
      <c r="K10" s="37">
        <v>1916</v>
      </c>
      <c r="L10" s="37">
        <v>2763</v>
      </c>
      <c r="M10" s="37">
        <v>2297</v>
      </c>
      <c r="N10" s="37">
        <v>2110</v>
      </c>
      <c r="O10" s="37">
        <v>2735</v>
      </c>
      <c r="P10" s="68">
        <v>3577</v>
      </c>
      <c r="Q10" s="31"/>
      <c r="R10" s="31"/>
      <c r="S10" s="31"/>
      <c r="T10" s="7"/>
      <c r="W10" s="12"/>
      <c r="X10" s="17">
        <v>8968</v>
      </c>
      <c r="Y10" s="17">
        <v>9729</v>
      </c>
      <c r="Z10" s="17">
        <f>SUM(D10:G10)</f>
        <v>9353</v>
      </c>
      <c r="AA10" s="17">
        <f>SUM(H10:K10)</f>
        <v>7752</v>
      </c>
      <c r="AB10" s="17">
        <f>SUM(L10:O10)</f>
        <v>9905</v>
      </c>
      <c r="AC10" s="25">
        <f>SUM(P10:S10)</f>
        <v>3577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25">
      <c r="C11" s="27" t="s">
        <v>121</v>
      </c>
      <c r="D11" s="37">
        <v>717</v>
      </c>
      <c r="E11" s="37">
        <v>691</v>
      </c>
      <c r="F11" s="37">
        <v>705</v>
      </c>
      <c r="G11" s="37">
        <v>696</v>
      </c>
      <c r="H11" s="37">
        <v>781</v>
      </c>
      <c r="I11" s="37">
        <v>854</v>
      </c>
      <c r="J11" s="37">
        <v>798</v>
      </c>
      <c r="K11" s="37">
        <v>786</v>
      </c>
      <c r="L11" s="37">
        <v>1123</v>
      </c>
      <c r="M11" s="37">
        <v>1067</v>
      </c>
      <c r="N11" s="37">
        <v>1039</v>
      </c>
      <c r="O11" s="37">
        <v>1274</v>
      </c>
      <c r="P11" s="68">
        <v>1209</v>
      </c>
      <c r="Q11" s="31"/>
      <c r="R11" s="31"/>
      <c r="S11" s="31"/>
      <c r="T11" s="7"/>
      <c r="W11" s="12"/>
      <c r="X11" s="17">
        <v>2444</v>
      </c>
      <c r="Y11" s="17">
        <v>2657</v>
      </c>
      <c r="Z11" s="17">
        <f t="shared" ref="Z11:Z13" si="18">SUM(D11:G11)</f>
        <v>2809</v>
      </c>
      <c r="AA11" s="17">
        <f t="shared" ref="AA11:AA13" si="19">SUM(H11:K11)</f>
        <v>3219</v>
      </c>
      <c r="AB11" s="17">
        <f t="shared" ref="AB11:AB12" si="20">SUM(L11:O11)</f>
        <v>4503</v>
      </c>
      <c r="AC11" s="25">
        <f t="shared" ref="AC11:AC13" si="21">SUM(P11:S11)</f>
        <v>1209</v>
      </c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25">
      <c r="C12" s="27" t="s">
        <v>122</v>
      </c>
      <c r="D12" s="37">
        <v>1515</v>
      </c>
      <c r="E12" s="37">
        <v>1144</v>
      </c>
      <c r="F12" s="37">
        <v>961</v>
      </c>
      <c r="G12" s="37">
        <v>959</v>
      </c>
      <c r="H12" s="37">
        <v>1173</v>
      </c>
      <c r="I12" s="37">
        <v>753</v>
      </c>
      <c r="J12" s="37">
        <v>984</v>
      </c>
      <c r="K12" s="37">
        <v>1024</v>
      </c>
      <c r="L12" s="37">
        <v>1279</v>
      </c>
      <c r="M12" s="37">
        <v>1371</v>
      </c>
      <c r="N12" s="37">
        <v>879</v>
      </c>
      <c r="O12" s="37">
        <v>1139</v>
      </c>
      <c r="P12" s="68">
        <v>543</v>
      </c>
      <c r="Q12" s="31"/>
      <c r="R12" s="31"/>
      <c r="S12" s="31"/>
      <c r="T12" s="7"/>
      <c r="W12" s="12"/>
      <c r="X12" s="17">
        <v>7027</v>
      </c>
      <c r="Y12" s="17">
        <v>5678</v>
      </c>
      <c r="Z12" s="17">
        <f t="shared" si="18"/>
        <v>4579</v>
      </c>
      <c r="AA12" s="17">
        <f t="shared" si="19"/>
        <v>3934</v>
      </c>
      <c r="AB12" s="17">
        <f t="shared" si="20"/>
        <v>4668</v>
      </c>
      <c r="AC12" s="25">
        <f t="shared" si="21"/>
        <v>543</v>
      </c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25">
      <c r="C13" s="27" t="s">
        <v>123</v>
      </c>
      <c r="D13" s="31"/>
      <c r="E13" s="31"/>
      <c r="F13" s="31"/>
      <c r="G13" s="31"/>
      <c r="H13" s="31"/>
      <c r="I13" s="31"/>
      <c r="J13" s="31"/>
      <c r="K13" s="31"/>
      <c r="L13" s="31"/>
      <c r="M13" s="37">
        <v>2</v>
      </c>
      <c r="N13" s="37">
        <v>7</v>
      </c>
      <c r="O13" s="37">
        <v>10</v>
      </c>
      <c r="P13" s="68">
        <v>59</v>
      </c>
      <c r="Q13" s="31"/>
      <c r="R13" s="31"/>
      <c r="S13" s="31"/>
      <c r="T13" s="7"/>
      <c r="W13" s="12"/>
      <c r="X13" s="17">
        <v>0</v>
      </c>
      <c r="Y13" s="17">
        <v>0</v>
      </c>
      <c r="Z13" s="17">
        <f t="shared" si="18"/>
        <v>0</v>
      </c>
      <c r="AA13" s="17">
        <f t="shared" si="19"/>
        <v>0</v>
      </c>
      <c r="AB13" s="17">
        <f>SUM(L13:O13)</f>
        <v>19</v>
      </c>
      <c r="AC13" s="25">
        <f t="shared" si="21"/>
        <v>59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25">
      <c r="C14" s="2" t="s">
        <v>124</v>
      </c>
      <c r="D14" s="30">
        <f t="shared" ref="D14:N14" si="22">SUM(D15:D16)</f>
        <v>3012</v>
      </c>
      <c r="E14" s="30">
        <f t="shared" si="22"/>
        <v>2501</v>
      </c>
      <c r="F14" s="30">
        <f t="shared" si="22"/>
        <v>2706</v>
      </c>
      <c r="G14" s="30">
        <f t="shared" si="22"/>
        <v>2343</v>
      </c>
      <c r="H14" s="30">
        <f t="shared" si="22"/>
        <v>2776</v>
      </c>
      <c r="I14" s="30">
        <f t="shared" si="22"/>
        <v>2456</v>
      </c>
      <c r="J14" s="30">
        <f t="shared" si="22"/>
        <v>2219</v>
      </c>
      <c r="K14" s="30">
        <f t="shared" si="22"/>
        <v>2123</v>
      </c>
      <c r="L14" s="30">
        <f t="shared" si="22"/>
        <v>2968</v>
      </c>
      <c r="M14" s="30">
        <f t="shared" si="22"/>
        <v>2436</v>
      </c>
      <c r="N14" s="30">
        <f t="shared" si="22"/>
        <v>2518</v>
      </c>
      <c r="O14" s="30">
        <f>SUM(O15:O16)</f>
        <v>2867</v>
      </c>
      <c r="P14" s="66">
        <f>SUM(P15:P16)</f>
        <v>2813</v>
      </c>
      <c r="Q14" s="30">
        <f t="shared" ref="Q14:S14" si="23">SUM(Q15:Q16)</f>
        <v>0</v>
      </c>
      <c r="R14" s="30">
        <f t="shared" si="23"/>
        <v>0</v>
      </c>
      <c r="S14" s="30">
        <f t="shared" si="23"/>
        <v>0</v>
      </c>
      <c r="T14" s="7"/>
      <c r="X14" s="30">
        <f t="shared" ref="X14" si="24">SUM(X15:X16)</f>
        <v>10925</v>
      </c>
      <c r="Y14" s="30">
        <f t="shared" ref="Y14" si="25">SUM(Y15:Y16)</f>
        <v>11203</v>
      </c>
      <c r="Z14" s="30">
        <f t="shared" ref="Z14:AA14" si="26">SUM(Z15:Z16)</f>
        <v>10562</v>
      </c>
      <c r="AA14" s="30">
        <f t="shared" si="26"/>
        <v>9574</v>
      </c>
      <c r="AB14" s="30">
        <f>SUM(AB15:AB16)</f>
        <v>10789</v>
      </c>
      <c r="AC14" s="66">
        <f>SUM(AC15:AC16)</f>
        <v>2813</v>
      </c>
      <c r="AD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5">
      <c r="C15" s="27" t="s">
        <v>125</v>
      </c>
      <c r="D15" s="37">
        <v>637</v>
      </c>
      <c r="E15" s="37">
        <v>715</v>
      </c>
      <c r="F15" s="37">
        <v>807</v>
      </c>
      <c r="G15" s="37">
        <v>730</v>
      </c>
      <c r="H15" s="37">
        <v>971</v>
      </c>
      <c r="I15" s="37">
        <v>986</v>
      </c>
      <c r="J15" s="37">
        <v>864</v>
      </c>
      <c r="K15" s="37">
        <v>909</v>
      </c>
      <c r="L15" s="37">
        <v>1267</v>
      </c>
      <c r="M15" s="37">
        <v>1163</v>
      </c>
      <c r="N15" s="37">
        <v>1153</v>
      </c>
      <c r="O15" s="37">
        <v>1346</v>
      </c>
      <c r="P15" s="68">
        <v>1432</v>
      </c>
      <c r="Q15" s="31"/>
      <c r="R15" s="31"/>
      <c r="S15" s="31"/>
      <c r="T15" s="7"/>
      <c r="W15" s="12"/>
      <c r="X15" s="17">
        <v>1291</v>
      </c>
      <c r="Y15" s="17">
        <v>1711</v>
      </c>
      <c r="Z15" s="17">
        <f>SUM(D15:G15)</f>
        <v>2889</v>
      </c>
      <c r="AA15" s="17">
        <f>SUM(H15:K15)</f>
        <v>3730</v>
      </c>
      <c r="AB15" s="17">
        <f>SUM(L15:O15)</f>
        <v>4929</v>
      </c>
      <c r="AC15" s="25">
        <f>SUM(P15:S15)</f>
        <v>1432</v>
      </c>
      <c r="AD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5">
      <c r="C16" s="27" t="s">
        <v>126</v>
      </c>
      <c r="D16" s="37">
        <v>2375</v>
      </c>
      <c r="E16" s="37">
        <v>1786</v>
      </c>
      <c r="F16" s="37">
        <v>1899</v>
      </c>
      <c r="G16" s="37">
        <v>1613</v>
      </c>
      <c r="H16" s="37">
        <v>1805</v>
      </c>
      <c r="I16" s="37">
        <v>1470</v>
      </c>
      <c r="J16" s="37">
        <v>1355</v>
      </c>
      <c r="K16" s="37">
        <v>1214</v>
      </c>
      <c r="L16" s="37">
        <v>1701</v>
      </c>
      <c r="M16" s="37">
        <v>1273</v>
      </c>
      <c r="N16" s="37">
        <v>1365</v>
      </c>
      <c r="O16" s="37">
        <v>1521</v>
      </c>
      <c r="P16" s="68">
        <v>1381</v>
      </c>
      <c r="Q16" s="31"/>
      <c r="R16" s="31"/>
      <c r="S16" s="31"/>
      <c r="T16" s="7"/>
      <c r="W16" s="12"/>
      <c r="X16" s="17">
        <v>9634</v>
      </c>
      <c r="Y16" s="17">
        <v>9492</v>
      </c>
      <c r="Z16" s="17">
        <f>SUM(D16:G16)</f>
        <v>7673</v>
      </c>
      <c r="AA16" s="17">
        <f>SUM(H16:K16)</f>
        <v>5844</v>
      </c>
      <c r="AB16" s="17">
        <f>SUM(L16:O16)</f>
        <v>5860</v>
      </c>
      <c r="AC16" s="25">
        <f>SUM(P16:S16)</f>
        <v>1381</v>
      </c>
      <c r="AD16" s="15"/>
      <c r="AF16" s="15"/>
      <c r="AG16" s="15"/>
      <c r="AH16" s="15"/>
      <c r="AI16" s="15"/>
      <c r="AJ16" s="15"/>
      <c r="AK16" s="15"/>
      <c r="AL16" s="15"/>
      <c r="AM16" s="15"/>
    </row>
    <row r="17" spans="3:40" x14ac:dyDescent="0.25">
      <c r="C17" s="28" t="s">
        <v>127</v>
      </c>
      <c r="D17" s="30">
        <f t="shared" ref="D17:N17" si="27">SUM(D18:D19)</f>
        <v>4842</v>
      </c>
      <c r="E17" s="30">
        <f t="shared" si="27"/>
        <v>3887</v>
      </c>
      <c r="F17" s="30">
        <f t="shared" si="27"/>
        <v>4263</v>
      </c>
      <c r="G17" s="30">
        <f t="shared" si="27"/>
        <v>4471</v>
      </c>
      <c r="H17" s="30">
        <f t="shared" si="27"/>
        <v>4488</v>
      </c>
      <c r="I17" s="30">
        <f t="shared" si="27"/>
        <v>3511</v>
      </c>
      <c r="J17" s="30">
        <f t="shared" si="27"/>
        <v>3808</v>
      </c>
      <c r="K17" s="30">
        <f t="shared" si="27"/>
        <v>4142</v>
      </c>
      <c r="L17" s="30">
        <f>SUM(L18:L19)</f>
        <v>4487</v>
      </c>
      <c r="M17" s="30">
        <f t="shared" si="27"/>
        <v>3868</v>
      </c>
      <c r="N17" s="30">
        <f t="shared" si="27"/>
        <v>4150</v>
      </c>
      <c r="O17" s="30">
        <f>SUM(O18:O19)</f>
        <v>6017</v>
      </c>
      <c r="P17" s="66">
        <f>SUM(P18:P19)</f>
        <v>5052</v>
      </c>
      <c r="Q17" s="30">
        <f t="shared" ref="Q17:S17" si="28">SUM(Q18:Q19)</f>
        <v>0</v>
      </c>
      <c r="R17" s="30">
        <f t="shared" si="28"/>
        <v>0</v>
      </c>
      <c r="S17" s="30">
        <f t="shared" si="28"/>
        <v>0</v>
      </c>
      <c r="T17" s="7"/>
      <c r="X17" s="30">
        <f t="shared" ref="X17" si="29">SUM(X18:X19)</f>
        <v>18313</v>
      </c>
      <c r="Y17" s="30">
        <f t="shared" ref="Y17" si="30">SUM(Y18:Y19)</f>
        <v>17687</v>
      </c>
      <c r="Z17" s="30">
        <f t="shared" ref="Z17" si="31">SUM(Z18:Z19)</f>
        <v>17463</v>
      </c>
      <c r="AA17" s="30">
        <f t="shared" ref="AA17" si="32">SUM(AA18:AA19)</f>
        <v>15949</v>
      </c>
      <c r="AB17" s="30">
        <f t="shared" ref="AB17:AC17" si="33">SUM(AB18:AB19)</f>
        <v>18522</v>
      </c>
      <c r="AC17" s="66">
        <f t="shared" si="33"/>
        <v>5052</v>
      </c>
      <c r="AD17" s="15"/>
      <c r="AF17" s="15"/>
      <c r="AG17" s="15"/>
      <c r="AH17" s="15"/>
      <c r="AI17" s="15"/>
      <c r="AJ17" s="15"/>
      <c r="AK17" s="15"/>
      <c r="AL17" s="15"/>
      <c r="AM17" s="15"/>
    </row>
    <row r="18" spans="3:40" x14ac:dyDescent="0.25">
      <c r="C18" s="27" t="s">
        <v>128</v>
      </c>
      <c r="D18" s="37">
        <v>497</v>
      </c>
      <c r="E18" s="37">
        <v>516</v>
      </c>
      <c r="F18" s="37">
        <v>485</v>
      </c>
      <c r="G18" s="37">
        <v>505</v>
      </c>
      <c r="H18" s="37">
        <v>518</v>
      </c>
      <c r="I18" s="37">
        <v>447</v>
      </c>
      <c r="J18" s="37">
        <v>574</v>
      </c>
      <c r="K18" s="37">
        <v>634</v>
      </c>
      <c r="L18" s="37">
        <v>567</v>
      </c>
      <c r="M18" s="37">
        <v>565</v>
      </c>
      <c r="N18" s="37">
        <v>394</v>
      </c>
      <c r="O18" s="37">
        <v>343</v>
      </c>
      <c r="P18" s="68">
        <v>834</v>
      </c>
      <c r="Q18" s="31"/>
      <c r="R18" s="31"/>
      <c r="S18" s="31"/>
      <c r="T18" s="7"/>
      <c r="X18" s="17">
        <v>1385</v>
      </c>
      <c r="Y18" s="17">
        <v>1748</v>
      </c>
      <c r="Z18" s="17">
        <f>SUM(D18:G18)</f>
        <v>2003</v>
      </c>
      <c r="AA18" s="17">
        <f>SUM(H18:K18)</f>
        <v>2173</v>
      </c>
      <c r="AB18" s="17">
        <f>SUM(L18:O18)</f>
        <v>1869</v>
      </c>
      <c r="AC18" s="25">
        <f>SUM(P18:S18)</f>
        <v>834</v>
      </c>
      <c r="AD18" s="15"/>
      <c r="AF18" s="15"/>
      <c r="AG18" s="15"/>
      <c r="AH18" s="15"/>
      <c r="AI18" s="15"/>
      <c r="AJ18" s="15"/>
      <c r="AK18" s="15"/>
      <c r="AL18" s="15"/>
      <c r="AM18" s="15"/>
    </row>
    <row r="19" spans="3:40" x14ac:dyDescent="0.25">
      <c r="C19" s="27" t="s">
        <v>129</v>
      </c>
      <c r="D19" s="37">
        <v>4345</v>
      </c>
      <c r="E19" s="37">
        <v>3371</v>
      </c>
      <c r="F19" s="37">
        <v>3778</v>
      </c>
      <c r="G19" s="37">
        <v>3966</v>
      </c>
      <c r="H19" s="37">
        <v>3970</v>
      </c>
      <c r="I19" s="37">
        <v>3064</v>
      </c>
      <c r="J19" s="37">
        <v>3234</v>
      </c>
      <c r="K19" s="37">
        <v>3508</v>
      </c>
      <c r="L19" s="37">
        <v>3920</v>
      </c>
      <c r="M19" s="37">
        <v>3303</v>
      </c>
      <c r="N19" s="37">
        <v>3756</v>
      </c>
      <c r="O19" s="37">
        <v>5674</v>
      </c>
      <c r="P19" s="68">
        <v>4218</v>
      </c>
      <c r="Q19" s="31"/>
      <c r="R19" s="31"/>
      <c r="S19" s="31"/>
      <c r="T19" s="7"/>
      <c r="X19" s="17">
        <v>16928</v>
      </c>
      <c r="Y19" s="17">
        <v>15939</v>
      </c>
      <c r="Z19" s="17">
        <f t="shared" ref="Z19:Z20" si="34">SUM(D19:G19)</f>
        <v>15460</v>
      </c>
      <c r="AA19" s="17">
        <f t="shared" ref="AA19" si="35">SUM(H19:K19)</f>
        <v>13776</v>
      </c>
      <c r="AB19" s="17">
        <f>SUM(L19:O19)</f>
        <v>16653</v>
      </c>
      <c r="AC19" s="25">
        <f t="shared" ref="AC19:AC20" si="36">SUM(P19:S19)</f>
        <v>4218</v>
      </c>
      <c r="AD19" s="15"/>
      <c r="AF19" s="15"/>
      <c r="AG19" s="15"/>
      <c r="AH19" s="15"/>
      <c r="AI19" s="15"/>
      <c r="AJ19" s="15"/>
      <c r="AK19" s="15"/>
      <c r="AL19" s="15"/>
      <c r="AM19" s="15"/>
    </row>
    <row r="20" spans="3:40" x14ac:dyDescent="0.25">
      <c r="C20" s="28" t="s">
        <v>130</v>
      </c>
      <c r="D20" s="44">
        <v>2312</v>
      </c>
      <c r="E20" s="44">
        <v>1851</v>
      </c>
      <c r="F20" s="44">
        <v>2053</v>
      </c>
      <c r="G20" s="44">
        <v>1970</v>
      </c>
      <c r="H20" s="44">
        <v>2012</v>
      </c>
      <c r="I20" s="44">
        <v>1967</v>
      </c>
      <c r="J20" s="44">
        <v>1626</v>
      </c>
      <c r="K20" s="44">
        <v>1989</v>
      </c>
      <c r="L20" s="44">
        <v>1745</v>
      </c>
      <c r="M20" s="44">
        <v>1571</v>
      </c>
      <c r="N20" s="44">
        <v>1806</v>
      </c>
      <c r="O20" s="44">
        <v>1845</v>
      </c>
      <c r="P20" s="66">
        <v>1744</v>
      </c>
      <c r="Q20" s="30"/>
      <c r="R20" s="30"/>
      <c r="S20" s="30"/>
      <c r="T20" s="7"/>
      <c r="X20" s="15"/>
      <c r="Y20" s="15">
        <v>9052</v>
      </c>
      <c r="Z20" s="15">
        <f t="shared" si="34"/>
        <v>8186</v>
      </c>
      <c r="AA20" s="15">
        <f>SUM(H20:K20)</f>
        <v>7594</v>
      </c>
      <c r="AB20" s="15">
        <f>SUM(L20:O20)</f>
        <v>6967</v>
      </c>
      <c r="AC20" s="16">
        <f t="shared" si="36"/>
        <v>1744</v>
      </c>
      <c r="AD20" s="15"/>
      <c r="AF20" s="15"/>
      <c r="AG20" s="15"/>
      <c r="AH20" s="15"/>
      <c r="AI20" s="15"/>
      <c r="AJ20" s="15"/>
      <c r="AK20" s="15"/>
      <c r="AL20" s="15"/>
      <c r="AM20" s="15"/>
    </row>
    <row r="21" spans="3:40" x14ac:dyDescent="0.25">
      <c r="C21" s="40" t="s">
        <v>131</v>
      </c>
      <c r="D21" s="38">
        <f t="shared" ref="D21:N21" si="37">D9+D14+D17+D20</f>
        <v>14962</v>
      </c>
      <c r="E21" s="38">
        <f t="shared" si="37"/>
        <v>12343</v>
      </c>
      <c r="F21" s="38">
        <f t="shared" si="37"/>
        <v>12961</v>
      </c>
      <c r="G21" s="38">
        <f t="shared" si="37"/>
        <v>12686</v>
      </c>
      <c r="H21" s="38">
        <f>H9+H14+H17+H20</f>
        <v>13409</v>
      </c>
      <c r="I21" s="38">
        <f t="shared" si="37"/>
        <v>11288</v>
      </c>
      <c r="J21" s="38">
        <f t="shared" si="37"/>
        <v>11345</v>
      </c>
      <c r="K21" s="38">
        <f t="shared" si="37"/>
        <v>11980</v>
      </c>
      <c r="L21" s="38">
        <f t="shared" si="37"/>
        <v>14365</v>
      </c>
      <c r="M21" s="38">
        <f t="shared" si="37"/>
        <v>12612</v>
      </c>
      <c r="N21" s="38">
        <f t="shared" si="37"/>
        <v>12509</v>
      </c>
      <c r="O21" s="38">
        <f>O9+O14+O17+O20</f>
        <v>15887</v>
      </c>
      <c r="P21" s="39">
        <f>P9+P14+P17+P20</f>
        <v>14997</v>
      </c>
      <c r="Q21" s="38">
        <f t="shared" ref="Q21:S21" si="38">Q9+Q14+Q17+Q20</f>
        <v>0</v>
      </c>
      <c r="R21" s="38">
        <f t="shared" si="38"/>
        <v>0</v>
      </c>
      <c r="S21" s="38">
        <f t="shared" si="38"/>
        <v>0</v>
      </c>
      <c r="T21" s="7"/>
      <c r="W21" s="32"/>
      <c r="X21" s="38">
        <f t="shared" ref="X21" si="39">X9+X14+X17+X20</f>
        <v>47677</v>
      </c>
      <c r="Y21" s="38">
        <f t="shared" ref="Y21" si="40">Y9+Y14+Y17+Y20</f>
        <v>56006</v>
      </c>
      <c r="Z21" s="38">
        <f t="shared" ref="Z21" si="41">Z9+Z14+Z17+Z20</f>
        <v>52952</v>
      </c>
      <c r="AA21" s="38">
        <f>AA9+AA14+AA17+AA20</f>
        <v>48022</v>
      </c>
      <c r="AB21" s="38">
        <f t="shared" ref="AB21" si="42">AB9+AB14+AB17+AB20</f>
        <v>55373</v>
      </c>
      <c r="AC21" s="39">
        <f>AC9+AC14+AC17+AC20</f>
        <v>14997</v>
      </c>
      <c r="AD21" s="51"/>
      <c r="AE21" s="32"/>
      <c r="AF21" s="51"/>
      <c r="AG21" s="51"/>
      <c r="AH21" s="51"/>
      <c r="AI21" s="51"/>
      <c r="AJ21" s="51"/>
      <c r="AK21" s="51"/>
      <c r="AL21" s="51"/>
      <c r="AM21" s="51"/>
    </row>
    <row r="22" spans="3:40" x14ac:dyDescent="0.25">
      <c r="C22" s="28" t="s">
        <v>132</v>
      </c>
      <c r="D22" s="44">
        <v>884</v>
      </c>
      <c r="E22" s="44">
        <v>830</v>
      </c>
      <c r="F22" s="44">
        <v>798</v>
      </c>
      <c r="G22" s="44">
        <v>713</v>
      </c>
      <c r="H22" s="44">
        <v>729</v>
      </c>
      <c r="I22" s="44">
        <v>667</v>
      </c>
      <c r="J22" s="44">
        <v>594</v>
      </c>
      <c r="K22" s="44">
        <v>322</v>
      </c>
      <c r="L22" s="44">
        <v>583</v>
      </c>
      <c r="M22" s="44">
        <v>533</v>
      </c>
      <c r="N22" s="44">
        <v>492</v>
      </c>
      <c r="O22" s="44">
        <v>512</v>
      </c>
      <c r="P22" s="66">
        <v>473</v>
      </c>
      <c r="Q22" s="30"/>
      <c r="R22" s="30"/>
      <c r="S22" s="30"/>
      <c r="T22" s="7"/>
      <c r="X22" s="15">
        <v>4031</v>
      </c>
      <c r="Y22" s="15">
        <v>3594</v>
      </c>
      <c r="Z22" s="15">
        <f>SUM(D22:G22)</f>
        <v>3225</v>
      </c>
      <c r="AA22" s="15">
        <f>SUM(H22:K22)</f>
        <v>2312</v>
      </c>
      <c r="AB22" s="15">
        <f>SUM(L22:O22)</f>
        <v>2120</v>
      </c>
      <c r="AC22" s="16">
        <f>SUM(P22:S22)</f>
        <v>473</v>
      </c>
      <c r="AD22" s="15"/>
      <c r="AF22" s="15"/>
      <c r="AG22" s="15"/>
      <c r="AH22" s="15"/>
      <c r="AI22" s="15"/>
      <c r="AJ22" s="15"/>
      <c r="AK22" s="15"/>
      <c r="AL22" s="15"/>
      <c r="AM22" s="15"/>
    </row>
    <row r="23" spans="3:40" x14ac:dyDescent="0.25">
      <c r="C23" s="40" t="s">
        <v>133</v>
      </c>
      <c r="D23" s="38">
        <f t="shared" ref="D23:N23" si="43">D8+D21+D22</f>
        <v>33266</v>
      </c>
      <c r="E23" s="38">
        <f t="shared" si="43"/>
        <v>32404</v>
      </c>
      <c r="F23" s="38">
        <f t="shared" si="43"/>
        <v>36127</v>
      </c>
      <c r="G23" s="38">
        <f t="shared" si="43"/>
        <v>37751</v>
      </c>
      <c r="H23" s="38">
        <f>H8+H21+H22</f>
        <v>40949</v>
      </c>
      <c r="I23" s="38">
        <f t="shared" si="43"/>
        <v>39880</v>
      </c>
      <c r="J23" s="38">
        <f t="shared" si="43"/>
        <v>42574</v>
      </c>
      <c r="K23" s="38">
        <f>K8+K21+K22</f>
        <v>50063</v>
      </c>
      <c r="L23" s="38">
        <f t="shared" si="43"/>
        <v>49930</v>
      </c>
      <c r="M23" s="38">
        <f t="shared" si="43"/>
        <v>50180</v>
      </c>
      <c r="N23" s="38">
        <f t="shared" si="43"/>
        <v>47936</v>
      </c>
      <c r="O23" s="38">
        <f>O8+O21+O22</f>
        <v>58572</v>
      </c>
      <c r="P23" s="39">
        <f>P8+P21+P22</f>
        <v>55044</v>
      </c>
      <c r="Q23" s="38">
        <f t="shared" ref="Q23:S23" si="44">Q8+Q21+Q22</f>
        <v>0</v>
      </c>
      <c r="R23" s="38">
        <f t="shared" si="44"/>
        <v>0</v>
      </c>
      <c r="S23" s="38">
        <f t="shared" si="44"/>
        <v>0</v>
      </c>
      <c r="T23" s="7"/>
      <c r="W23" s="32"/>
      <c r="X23" s="38">
        <f t="shared" ref="X23" si="45">X8+X21+X22</f>
        <v>93539</v>
      </c>
      <c r="Y23" s="38">
        <f t="shared" ref="Y23" si="46">Y8+Y21+Y22</f>
        <v>113197</v>
      </c>
      <c r="Z23" s="38">
        <f t="shared" ref="Z23" si="47">Z8+Z21+Z22</f>
        <v>139548</v>
      </c>
      <c r="AA23" s="38">
        <f t="shared" ref="AA23" si="48">AA8+AA21+AA22</f>
        <v>173466</v>
      </c>
      <c r="AB23" s="38">
        <f>AB8+AB21+AB22</f>
        <v>206618</v>
      </c>
      <c r="AC23" s="39">
        <f>AC8+AC21+AC22</f>
        <v>55044</v>
      </c>
      <c r="AD23" s="51"/>
      <c r="AE23" s="32"/>
      <c r="AF23" s="51"/>
      <c r="AG23" s="51"/>
      <c r="AH23" s="51"/>
      <c r="AI23" s="51"/>
      <c r="AJ23" s="51"/>
      <c r="AK23" s="51"/>
      <c r="AL23" s="51"/>
      <c r="AM23" s="51"/>
    </row>
    <row r="24" spans="3:40" x14ac:dyDescent="0.25">
      <c r="C24" s="28" t="s">
        <v>134</v>
      </c>
      <c r="D24" s="36">
        <v>1404</v>
      </c>
      <c r="E24" s="36">
        <v>1181</v>
      </c>
      <c r="F24" s="36">
        <v>1157</v>
      </c>
      <c r="G24" s="36">
        <v>2446</v>
      </c>
      <c r="H24" s="36">
        <v>4563</v>
      </c>
      <c r="I24" s="36">
        <v>7518</v>
      </c>
      <c r="J24" s="36">
        <v>9648</v>
      </c>
      <c r="K24" s="36">
        <v>9614</v>
      </c>
      <c r="L24" s="36">
        <v>9377</v>
      </c>
      <c r="M24" s="36">
        <v>11659</v>
      </c>
      <c r="N24" s="36">
        <v>17304</v>
      </c>
      <c r="O24" s="36">
        <v>19866</v>
      </c>
      <c r="P24" s="66">
        <v>17360</v>
      </c>
      <c r="Q24" s="30"/>
      <c r="R24" s="30"/>
      <c r="S24" s="30"/>
      <c r="T24" s="7"/>
      <c r="X24" s="15">
        <v>0</v>
      </c>
      <c r="Y24" s="15">
        <v>0</v>
      </c>
      <c r="Z24" s="15">
        <f>SUM(D24:G24)</f>
        <v>6188</v>
      </c>
      <c r="AA24" s="15">
        <f>SUM(H24:K24)</f>
        <v>31343</v>
      </c>
      <c r="AB24" s="15">
        <f>SUM(L24:O24)</f>
        <v>58206</v>
      </c>
      <c r="AC24" s="16">
        <f>SUM(P24:S24)</f>
        <v>17360</v>
      </c>
      <c r="AD24" s="15"/>
      <c r="AF24" s="15"/>
      <c r="AG24" s="15"/>
      <c r="AH24" s="15"/>
      <c r="AI24" s="15"/>
      <c r="AJ24" s="15"/>
      <c r="AK24" s="15"/>
      <c r="AL24" s="15"/>
      <c r="AM24" s="15"/>
    </row>
    <row r="25" spans="3:40" x14ac:dyDescent="0.25">
      <c r="C25" s="28" t="s">
        <v>135</v>
      </c>
      <c r="D25" s="36">
        <v>1998</v>
      </c>
      <c r="E25" s="36">
        <v>2462</v>
      </c>
      <c r="F25" s="36">
        <v>3174</v>
      </c>
      <c r="G25" s="36">
        <v>3042</v>
      </c>
      <c r="H25" s="36">
        <v>3279</v>
      </c>
      <c r="I25" s="36">
        <v>2788</v>
      </c>
      <c r="J25" s="36">
        <v>2607</v>
      </c>
      <c r="K25" s="36">
        <v>1615</v>
      </c>
      <c r="L25" s="36">
        <v>1658</v>
      </c>
      <c r="M25" s="36">
        <v>2245</v>
      </c>
      <c r="N25" s="36">
        <v>1497</v>
      </c>
      <c r="O25" s="36">
        <v>1540</v>
      </c>
      <c r="P25" s="66">
        <v>1064</v>
      </c>
      <c r="Q25" s="30"/>
      <c r="R25" s="30"/>
      <c r="S25" s="30"/>
      <c r="T25" s="7"/>
      <c r="X25" s="15">
        <v>5608</v>
      </c>
      <c r="Y25" s="15">
        <v>8400</v>
      </c>
      <c r="Z25" s="15">
        <f>SUM(D25:G25)</f>
        <v>10676</v>
      </c>
      <c r="AA25" s="15">
        <f>SUM(H25:K25)</f>
        <v>10289</v>
      </c>
      <c r="AB25" s="15">
        <f>SUM(L25:O25)</f>
        <v>6940</v>
      </c>
      <c r="AC25" s="16">
        <f>SUM(P25:S25)</f>
        <v>1064</v>
      </c>
      <c r="AD25" s="15"/>
      <c r="AF25" s="15"/>
      <c r="AG25" s="15"/>
      <c r="AH25" s="15"/>
      <c r="AI25" s="15"/>
      <c r="AJ25" s="15"/>
      <c r="AK25" s="15"/>
      <c r="AL25" s="15"/>
      <c r="AM25" s="15"/>
    </row>
    <row r="26" spans="3:40" x14ac:dyDescent="0.25">
      <c r="C26" s="40" t="s">
        <v>136</v>
      </c>
      <c r="D26" s="38">
        <f t="shared" ref="D26:M26" si="49">SUM(D24:D25)</f>
        <v>3402</v>
      </c>
      <c r="E26" s="38">
        <f t="shared" si="49"/>
        <v>3643</v>
      </c>
      <c r="F26" s="38">
        <f t="shared" si="49"/>
        <v>4331</v>
      </c>
      <c r="G26" s="38">
        <f t="shared" si="49"/>
        <v>5488</v>
      </c>
      <c r="H26" s="38">
        <f t="shared" si="49"/>
        <v>7842</v>
      </c>
      <c r="I26" s="38">
        <f t="shared" si="49"/>
        <v>10306</v>
      </c>
      <c r="J26" s="38">
        <f t="shared" si="49"/>
        <v>12255</v>
      </c>
      <c r="K26" s="38">
        <f t="shared" si="49"/>
        <v>11229</v>
      </c>
      <c r="L26" s="38">
        <f t="shared" si="49"/>
        <v>11035</v>
      </c>
      <c r="M26" s="38">
        <f t="shared" si="49"/>
        <v>13904</v>
      </c>
      <c r="N26" s="38">
        <f>SUM(N24:N25)</f>
        <v>18801</v>
      </c>
      <c r="O26" s="38">
        <f>SUM(O24:O25)</f>
        <v>21406</v>
      </c>
      <c r="P26" s="39">
        <f>SUM(P24:P25)</f>
        <v>18424</v>
      </c>
      <c r="Q26" s="38">
        <f t="shared" ref="Q26:S26" si="50">SUM(Q24:Q25)</f>
        <v>0</v>
      </c>
      <c r="R26" s="38">
        <f t="shared" si="50"/>
        <v>0</v>
      </c>
      <c r="S26" s="38">
        <f t="shared" si="50"/>
        <v>0</v>
      </c>
      <c r="T26" s="7"/>
      <c r="W26" s="32"/>
      <c r="X26" s="38">
        <f t="shared" ref="X26" si="51">SUM(X24:X25)</f>
        <v>5608</v>
      </c>
      <c r="Y26" s="38">
        <f t="shared" ref="Y26" si="52">SUM(Y24:Y25)</f>
        <v>8400</v>
      </c>
      <c r="Z26" s="38">
        <f t="shared" ref="Z26:AA26" si="53">SUM(Z24:Z25)</f>
        <v>16864</v>
      </c>
      <c r="AA26" s="38">
        <f t="shared" si="53"/>
        <v>41632</v>
      </c>
      <c r="AB26" s="38">
        <f>SUM(AB24:AB25)</f>
        <v>65146</v>
      </c>
      <c r="AC26" s="39">
        <f>SUM(AC24:AC25)</f>
        <v>18424</v>
      </c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1"/>
    </row>
    <row r="27" spans="3:40" x14ac:dyDescent="0.25">
      <c r="C27" s="41" t="s">
        <v>137</v>
      </c>
      <c r="D27" s="42">
        <f t="shared" ref="D27:M27" si="54">D23+D26</f>
        <v>36668</v>
      </c>
      <c r="E27" s="42">
        <f t="shared" si="54"/>
        <v>36047</v>
      </c>
      <c r="F27" s="42">
        <f t="shared" si="54"/>
        <v>40458</v>
      </c>
      <c r="G27" s="42">
        <f t="shared" si="54"/>
        <v>43239</v>
      </c>
      <c r="H27" s="42">
        <f t="shared" si="54"/>
        <v>48791</v>
      </c>
      <c r="I27" s="42">
        <f t="shared" si="54"/>
        <v>50186</v>
      </c>
      <c r="J27" s="42">
        <f t="shared" si="54"/>
        <v>54829</v>
      </c>
      <c r="K27" s="42">
        <f t="shared" si="54"/>
        <v>61292</v>
      </c>
      <c r="L27" s="42">
        <f t="shared" si="54"/>
        <v>60965</v>
      </c>
      <c r="M27" s="42">
        <f t="shared" si="54"/>
        <v>64084</v>
      </c>
      <c r="N27" s="42">
        <f>N23+N26</f>
        <v>66737</v>
      </c>
      <c r="O27" s="42">
        <f>O23+O26</f>
        <v>79978</v>
      </c>
      <c r="P27" s="43">
        <f>P23+P26</f>
        <v>73468</v>
      </c>
      <c r="Q27" s="42">
        <f t="shared" ref="Q27:S27" si="55">Q23+Q26</f>
        <v>0</v>
      </c>
      <c r="R27" s="38">
        <f t="shared" si="55"/>
        <v>0</v>
      </c>
      <c r="S27" s="38">
        <f t="shared" si="55"/>
        <v>0</v>
      </c>
      <c r="T27" s="7"/>
      <c r="W27" s="46"/>
      <c r="X27" s="42">
        <f t="shared" ref="X27" si="56">X23+X26</f>
        <v>99147</v>
      </c>
      <c r="Y27" s="42">
        <f t="shared" ref="Y27" si="57">Y23+Y26</f>
        <v>121597</v>
      </c>
      <c r="Z27" s="42">
        <f t="shared" ref="Z27:AA27" si="58">Z23+Z26</f>
        <v>156412</v>
      </c>
      <c r="AA27" s="42">
        <f t="shared" si="58"/>
        <v>215098</v>
      </c>
      <c r="AB27" s="42">
        <f>AB23+AB26</f>
        <v>271764</v>
      </c>
      <c r="AC27" s="43">
        <f>AC23+AC26</f>
        <v>73468</v>
      </c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spans="3:40" x14ac:dyDescent="0.25">
      <c r="C28" s="28" t="s">
        <v>138</v>
      </c>
      <c r="D28" s="30">
        <f t="shared" ref="D28:K28" si="59">SUM(D29:D32)</f>
        <v>3077</v>
      </c>
      <c r="E28" s="30">
        <f t="shared" si="59"/>
        <v>2863</v>
      </c>
      <c r="F28" s="30">
        <f t="shared" si="59"/>
        <v>2885</v>
      </c>
      <c r="G28" s="30">
        <f t="shared" si="59"/>
        <v>2881</v>
      </c>
      <c r="H28" s="30">
        <f t="shared" si="59"/>
        <v>3049</v>
      </c>
      <c r="I28" s="30">
        <f t="shared" si="59"/>
        <v>2836</v>
      </c>
      <c r="J28" s="30">
        <f t="shared" si="59"/>
        <v>2957</v>
      </c>
      <c r="K28" s="30">
        <f t="shared" si="59"/>
        <v>2934</v>
      </c>
      <c r="L28" s="30">
        <f>SUM(L29:L32)</f>
        <v>2888</v>
      </c>
      <c r="M28" s="30">
        <f t="shared" ref="M28:O28" si="60">SUM(M29:M32)</f>
        <v>2864</v>
      </c>
      <c r="N28" s="30">
        <f t="shared" si="60"/>
        <v>2988</v>
      </c>
      <c r="O28" s="30">
        <f t="shared" si="60"/>
        <v>3398</v>
      </c>
      <c r="P28" s="67">
        <f>SUM(P29:P32)</f>
        <v>2921</v>
      </c>
      <c r="Q28" s="89">
        <f t="shared" ref="Q28:S28" si="61">SUM(Q29:Q32)</f>
        <v>0</v>
      </c>
      <c r="R28" s="30">
        <f t="shared" si="61"/>
        <v>0</v>
      </c>
      <c r="S28" s="30">
        <f t="shared" si="61"/>
        <v>0</v>
      </c>
      <c r="T28" s="7"/>
      <c r="X28" s="30">
        <f t="shared" ref="X28" si="62">SUM(X29:X32)</f>
        <v>9662</v>
      </c>
      <c r="Y28" s="30">
        <f t="shared" ref="Y28" si="63">SUM(Y29:Y32)</f>
        <v>10217</v>
      </c>
      <c r="Z28" s="30">
        <f t="shared" ref="Z28:AA28" si="64">SUM(Z29:Z32)</f>
        <v>11706</v>
      </c>
      <c r="AA28" s="30">
        <f t="shared" si="64"/>
        <v>11776</v>
      </c>
      <c r="AB28" s="30">
        <f>SUM(AB29:AB32)</f>
        <v>12138</v>
      </c>
      <c r="AC28" s="66">
        <f>SUM(AC29:AC32)</f>
        <v>2921</v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9"/>
    </row>
    <row r="29" spans="3:40" x14ac:dyDescent="0.25">
      <c r="C29" s="27" t="s">
        <v>144</v>
      </c>
      <c r="D29" s="37">
        <v>565</v>
      </c>
      <c r="E29" s="37">
        <v>619</v>
      </c>
      <c r="F29" s="37">
        <v>512</v>
      </c>
      <c r="G29" s="37">
        <v>642</v>
      </c>
      <c r="H29" s="37">
        <v>660</v>
      </c>
      <c r="I29" s="37">
        <v>688</v>
      </c>
      <c r="J29" s="37">
        <v>549</v>
      </c>
      <c r="K29" s="37">
        <v>525</v>
      </c>
      <c r="L29" s="37">
        <v>603</v>
      </c>
      <c r="M29" s="37">
        <v>613</v>
      </c>
      <c r="N29" s="37">
        <v>568</v>
      </c>
      <c r="O29" s="37">
        <v>670</v>
      </c>
      <c r="P29" s="68">
        <v>554</v>
      </c>
      <c r="Q29" s="31"/>
      <c r="R29" s="31"/>
      <c r="S29" s="31"/>
      <c r="T29" s="7"/>
      <c r="X29" s="15">
        <v>0</v>
      </c>
      <c r="Y29" s="15">
        <v>2112</v>
      </c>
      <c r="Z29" s="17">
        <f>SUM(D29:G29)</f>
        <v>2338</v>
      </c>
      <c r="AA29" s="17">
        <f>SUM(H29:K29)</f>
        <v>2422</v>
      </c>
      <c r="AB29" s="17">
        <f>SUM(L29:O29)</f>
        <v>2454</v>
      </c>
      <c r="AC29" s="25">
        <f>SUM(P29:S29)</f>
        <v>554</v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3:40" x14ac:dyDescent="0.25">
      <c r="C30" s="27" t="s">
        <v>145</v>
      </c>
      <c r="D30" s="45">
        <v>177</v>
      </c>
      <c r="E30" s="45">
        <v>162</v>
      </c>
      <c r="F30" s="45">
        <v>194</v>
      </c>
      <c r="G30" s="45">
        <v>226</v>
      </c>
      <c r="H30" s="45">
        <v>197</v>
      </c>
      <c r="I30" s="45">
        <v>250</v>
      </c>
      <c r="J30" s="45">
        <v>285</v>
      </c>
      <c r="K30" s="45">
        <v>329</v>
      </c>
      <c r="L30" s="45">
        <v>262</v>
      </c>
      <c r="M30" s="45">
        <v>361</v>
      </c>
      <c r="N30" s="45">
        <v>305</v>
      </c>
      <c r="O30" s="45">
        <v>378</v>
      </c>
      <c r="P30" s="68">
        <v>342</v>
      </c>
      <c r="Q30" s="31"/>
      <c r="R30" s="31"/>
      <c r="S30" s="31"/>
      <c r="T30" s="7"/>
      <c r="X30" s="15">
        <v>1462</v>
      </c>
      <c r="Y30" s="15">
        <v>637</v>
      </c>
      <c r="Z30" s="17">
        <f t="shared" ref="Z30:Z32" si="65">SUM(D30:G30)</f>
        <v>759</v>
      </c>
      <c r="AA30" s="17">
        <f t="shared" ref="AA30:AA31" si="66">SUM(H30:K30)</f>
        <v>1061</v>
      </c>
      <c r="AB30" s="17">
        <f t="shared" ref="AB30:AB32" si="67">SUM(L30:O30)</f>
        <v>1306</v>
      </c>
      <c r="AC30" s="25">
        <f t="shared" ref="AC30:AC32" si="68">SUM(P30:S30)</f>
        <v>342</v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3:40" x14ac:dyDescent="0.25">
      <c r="C31" s="27" t="s">
        <v>146</v>
      </c>
      <c r="D31" s="37">
        <v>2271</v>
      </c>
      <c r="E31" s="37">
        <v>2018</v>
      </c>
      <c r="F31" s="37">
        <v>2108</v>
      </c>
      <c r="G31" s="37">
        <v>1911</v>
      </c>
      <c r="H31" s="37">
        <v>2101</v>
      </c>
      <c r="I31" s="37">
        <v>1794</v>
      </c>
      <c r="J31" s="37">
        <v>2078</v>
      </c>
      <c r="K31" s="37">
        <v>1985</v>
      </c>
      <c r="L31" s="37">
        <v>1952</v>
      </c>
      <c r="M31" s="37">
        <v>1802</v>
      </c>
      <c r="N31" s="37">
        <v>2003</v>
      </c>
      <c r="O31" s="37">
        <f t="shared" ref="O31" si="69">+N31</f>
        <v>2003</v>
      </c>
      <c r="P31" s="68">
        <v>1879</v>
      </c>
      <c r="Q31" s="31"/>
      <c r="R31" s="31"/>
      <c r="S31" s="31"/>
      <c r="T31" s="7"/>
      <c r="X31" s="15">
        <v>7203</v>
      </c>
      <c r="Y31" s="15">
        <v>7221</v>
      </c>
      <c r="Z31" s="17">
        <f t="shared" si="65"/>
        <v>8308</v>
      </c>
      <c r="AA31" s="17">
        <f t="shared" si="66"/>
        <v>7958</v>
      </c>
      <c r="AB31" s="17">
        <f t="shared" si="67"/>
        <v>7760</v>
      </c>
      <c r="AC31" s="25">
        <f t="shared" si="68"/>
        <v>1879</v>
      </c>
      <c r="AD31" s="15"/>
      <c r="AE31" s="15"/>
      <c r="AG31" s="15"/>
      <c r="AH31" s="15"/>
      <c r="AI31" s="15"/>
      <c r="AJ31" s="15"/>
      <c r="AK31" s="15"/>
      <c r="AL31" s="15"/>
      <c r="AM31" s="15"/>
    </row>
    <row r="32" spans="3:40" x14ac:dyDescent="0.25">
      <c r="C32" s="27" t="s">
        <v>147</v>
      </c>
      <c r="D32" s="45">
        <f>3077-SUM(D29:D31)</f>
        <v>64</v>
      </c>
      <c r="E32" s="45">
        <f>2863-E31-E30-E29</f>
        <v>64</v>
      </c>
      <c r="F32" s="45">
        <f>2885-F31-F30-F29</f>
        <v>71</v>
      </c>
      <c r="G32" s="45">
        <f>2881-G31-G30-G29</f>
        <v>102</v>
      </c>
      <c r="H32" s="45">
        <f>3049-H31-H30-H29</f>
        <v>91</v>
      </c>
      <c r="I32" s="45">
        <f>2836-I31-I30-I29</f>
        <v>104</v>
      </c>
      <c r="J32" s="45">
        <f>2957-J31-J30-J29</f>
        <v>45</v>
      </c>
      <c r="K32" s="45">
        <f>2934-K31-K30-K29</f>
        <v>95</v>
      </c>
      <c r="L32" s="45">
        <f>4384-L33-L31-L30-L29</f>
        <v>71</v>
      </c>
      <c r="M32" s="45">
        <f>3976-M33-M31-M30-M29</f>
        <v>88</v>
      </c>
      <c r="N32" s="45">
        <f>4574-N33-N31-N30-N29</f>
        <v>112</v>
      </c>
      <c r="O32" s="45">
        <f>5705-O33-O31-O30-O29</f>
        <v>347</v>
      </c>
      <c r="P32" s="68">
        <v>146</v>
      </c>
      <c r="Q32" s="31"/>
      <c r="R32" s="31"/>
      <c r="S32" s="31"/>
      <c r="T32" s="7"/>
      <c r="X32" s="15">
        <v>997</v>
      </c>
      <c r="Y32" s="15">
        <v>247</v>
      </c>
      <c r="Z32" s="17">
        <f t="shared" si="65"/>
        <v>301</v>
      </c>
      <c r="AA32" s="17">
        <f>SUM(H32:K32)</f>
        <v>335</v>
      </c>
      <c r="AB32" s="17">
        <f t="shared" si="67"/>
        <v>618</v>
      </c>
      <c r="AC32" s="25">
        <f t="shared" si="68"/>
        <v>146</v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3:143" x14ac:dyDescent="0.25">
      <c r="C33" s="2" t="s">
        <v>148</v>
      </c>
      <c r="D33" s="44">
        <f>1820+466</f>
        <v>2286</v>
      </c>
      <c r="E33" s="44">
        <f>1923+432</f>
        <v>2355</v>
      </c>
      <c r="F33" s="44">
        <f>430+1793</f>
        <v>2223</v>
      </c>
      <c r="G33" s="44">
        <f>370+1602</f>
        <v>1972</v>
      </c>
      <c r="H33" s="44">
        <f>399+1128</f>
        <v>1527</v>
      </c>
      <c r="I33" s="44">
        <f>902+376</f>
        <v>1278</v>
      </c>
      <c r="J33" s="44">
        <f>542+403</f>
        <v>945</v>
      </c>
      <c r="K33" s="44">
        <f>1264+373</f>
        <v>1637</v>
      </c>
      <c r="L33" s="44">
        <f>1113+383</f>
        <v>1496</v>
      </c>
      <c r="M33" s="44">
        <f>730+382</f>
        <v>1112</v>
      </c>
      <c r="N33" s="44">
        <f>1227+359</f>
        <v>1586</v>
      </c>
      <c r="O33" s="44">
        <f>384+1923</f>
        <v>2307</v>
      </c>
      <c r="P33" s="66">
        <f>1312+386</f>
        <v>1698</v>
      </c>
      <c r="Q33" s="30"/>
      <c r="R33" s="30"/>
      <c r="S33" s="30"/>
      <c r="T33" s="7"/>
      <c r="X33" s="15">
        <v>9264</v>
      </c>
      <c r="Y33" s="15">
        <v>8986</v>
      </c>
      <c r="Z33" s="15">
        <f>SUM(D33:G33)</f>
        <v>8836</v>
      </c>
      <c r="AA33" s="15">
        <f>SUM(H33:K33)</f>
        <v>5387</v>
      </c>
      <c r="AB33" s="15">
        <f>SUM(L33:O33)</f>
        <v>6501</v>
      </c>
      <c r="AC33" s="16">
        <f>SUM(P33:S33)</f>
        <v>1698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3:143" x14ac:dyDescent="0.25">
      <c r="C34" s="29" t="s">
        <v>139</v>
      </c>
      <c r="D34" s="38">
        <f t="shared" ref="D34:K34" si="70">D28+D33</f>
        <v>5363</v>
      </c>
      <c r="E34" s="38">
        <f t="shared" si="70"/>
        <v>5218</v>
      </c>
      <c r="F34" s="38">
        <f t="shared" si="70"/>
        <v>5108</v>
      </c>
      <c r="G34" s="38">
        <f t="shared" si="70"/>
        <v>4853</v>
      </c>
      <c r="H34" s="38">
        <f t="shared" si="70"/>
        <v>4576</v>
      </c>
      <c r="I34" s="38">
        <f t="shared" si="70"/>
        <v>4114</v>
      </c>
      <c r="J34" s="38">
        <f t="shared" si="70"/>
        <v>3902</v>
      </c>
      <c r="K34" s="38">
        <f t="shared" si="70"/>
        <v>4571</v>
      </c>
      <c r="L34" s="38">
        <f>L28+L33</f>
        <v>4384</v>
      </c>
      <c r="M34" s="38">
        <f t="shared" ref="M34:S34" si="71">M28+M33</f>
        <v>3976</v>
      </c>
      <c r="N34" s="38">
        <f t="shared" si="71"/>
        <v>4574</v>
      </c>
      <c r="O34" s="38">
        <f t="shared" si="71"/>
        <v>5705</v>
      </c>
      <c r="P34" s="39">
        <f t="shared" si="71"/>
        <v>4619</v>
      </c>
      <c r="Q34" s="38">
        <f t="shared" si="71"/>
        <v>0</v>
      </c>
      <c r="R34" s="38">
        <f t="shared" si="71"/>
        <v>0</v>
      </c>
      <c r="S34" s="38">
        <f t="shared" si="71"/>
        <v>0</v>
      </c>
      <c r="T34" s="7"/>
      <c r="W34" s="32"/>
      <c r="X34" s="38">
        <f t="shared" ref="X34" si="72">X28+X33</f>
        <v>18926</v>
      </c>
      <c r="Y34" s="38">
        <f t="shared" ref="Y34" si="73">Y28+Y33</f>
        <v>19203</v>
      </c>
      <c r="Z34" s="38">
        <f t="shared" ref="Z34" si="74">Z28+Z33</f>
        <v>20542</v>
      </c>
      <c r="AA34" s="38">
        <f t="shared" ref="AA34" si="75">AA28+AA33</f>
        <v>17163</v>
      </c>
      <c r="AB34" s="38">
        <f>AB28+AB33</f>
        <v>18639</v>
      </c>
      <c r="AC34" s="39">
        <f>AC28+AC33</f>
        <v>4619</v>
      </c>
      <c r="AD34" s="51"/>
      <c r="AE34" s="51"/>
      <c r="AF34" s="51"/>
      <c r="AG34" s="51"/>
      <c r="AH34" s="51"/>
      <c r="AI34" s="51"/>
      <c r="AJ34" s="51"/>
      <c r="AK34" s="51"/>
      <c r="AL34" s="51"/>
      <c r="AM34" s="51"/>
    </row>
    <row r="35" spans="3:143" x14ac:dyDescent="0.25">
      <c r="C35" s="1" t="s">
        <v>42</v>
      </c>
      <c r="D35" s="13">
        <v>42031</v>
      </c>
      <c r="E35" s="13">
        <v>41265</v>
      </c>
      <c r="F35" s="13">
        <v>45566</v>
      </c>
      <c r="G35" s="13">
        <v>48092</v>
      </c>
      <c r="H35" s="13">
        <v>53367</v>
      </c>
      <c r="I35" s="13">
        <v>54300</v>
      </c>
      <c r="J35" s="13">
        <v>58731</v>
      </c>
      <c r="K35" s="13">
        <v>65863</v>
      </c>
      <c r="L35" s="13">
        <v>65349</v>
      </c>
      <c r="M35" s="13">
        <v>68060</v>
      </c>
      <c r="N35" s="13">
        <v>71311</v>
      </c>
      <c r="O35" s="13">
        <v>85683</v>
      </c>
      <c r="P35" s="14">
        <v>78087</v>
      </c>
      <c r="Q35" s="13"/>
      <c r="R35" s="69"/>
      <c r="S35" s="13"/>
      <c r="T35" s="13"/>
      <c r="W35" s="13">
        <v>122021</v>
      </c>
      <c r="X35" s="13">
        <v>126946</v>
      </c>
      <c r="Y35" s="13">
        <v>140800</v>
      </c>
      <c r="Z35" s="13">
        <v>176954</v>
      </c>
      <c r="AA35" s="13">
        <v>232261</v>
      </c>
      <c r="AB35" s="13">
        <v>290403</v>
      </c>
      <c r="AC35" s="14">
        <f>AB35*1.19</f>
        <v>345579.57</v>
      </c>
      <c r="AD35" s="13">
        <f>AC35*1.2</f>
        <v>414695.484</v>
      </c>
      <c r="AE35" s="13">
        <f>AD35*1.15</f>
        <v>476899.80659999995</v>
      </c>
      <c r="AF35" s="13">
        <f>AE35*1.15</f>
        <v>548434.77758999995</v>
      </c>
      <c r="AG35" s="13">
        <f>AF35*1.15</f>
        <v>630699.99422849994</v>
      </c>
      <c r="AH35" s="13">
        <f>AG35*1.1</f>
        <v>693769.99365135003</v>
      </c>
      <c r="AI35" s="13">
        <f t="shared" ref="AI35:AM35" si="76">AH35*1.1</f>
        <v>763146.99301648512</v>
      </c>
      <c r="AJ35" s="13">
        <f t="shared" si="76"/>
        <v>839461.69231813366</v>
      </c>
      <c r="AK35" s="13">
        <f t="shared" si="76"/>
        <v>923407.86154994706</v>
      </c>
      <c r="AL35" s="13">
        <f t="shared" si="76"/>
        <v>1015748.6477049418</v>
      </c>
      <c r="AM35" s="13">
        <f t="shared" si="76"/>
        <v>1117323.5124754361</v>
      </c>
    </row>
    <row r="36" spans="3:143" x14ac:dyDescent="0.25">
      <c r="C36" s="2" t="s">
        <v>43</v>
      </c>
      <c r="D36" s="15">
        <f t="shared" ref="D36:P36" si="77">D37-D35</f>
        <v>-6917</v>
      </c>
      <c r="E36" s="15">
        <f t="shared" si="77"/>
        <v>-6069</v>
      </c>
      <c r="F36" s="15">
        <f t="shared" si="77"/>
        <v>-7200</v>
      </c>
      <c r="G36" s="15">
        <f t="shared" si="77"/>
        <v>-8262</v>
      </c>
      <c r="H36" s="15">
        <f t="shared" si="77"/>
        <v>-8182</v>
      </c>
      <c r="I36" s="15">
        <f t="shared" si="77"/>
        <v>-7856</v>
      </c>
      <c r="J36" s="15">
        <f t="shared" si="77"/>
        <v>-9713</v>
      </c>
      <c r="K36" s="15">
        <f t="shared" si="77"/>
        <v>-10014</v>
      </c>
      <c r="L36" s="15">
        <f t="shared" si="77"/>
        <v>-9916</v>
      </c>
      <c r="M36" s="15">
        <f t="shared" si="77"/>
        <v>-10274</v>
      </c>
      <c r="N36" s="15">
        <f t="shared" si="77"/>
        <v>-11308</v>
      </c>
      <c r="O36" s="15">
        <f t="shared" si="77"/>
        <v>-13024</v>
      </c>
      <c r="P36" s="16">
        <f t="shared" si="77"/>
        <v>-12890</v>
      </c>
      <c r="Q36" s="15"/>
      <c r="R36" s="15"/>
      <c r="S36" s="15"/>
      <c r="T36" s="15"/>
      <c r="W36" s="15">
        <v>-20088</v>
      </c>
      <c r="X36" s="15">
        <v>-20932</v>
      </c>
      <c r="Y36" s="15">
        <v>-23658</v>
      </c>
      <c r="Z36" s="15">
        <v>-28448</v>
      </c>
      <c r="AA36" s="15">
        <v>-35765</v>
      </c>
      <c r="AB36" s="15">
        <v>-44522</v>
      </c>
      <c r="AC36" s="16">
        <f>AC37-AC35</f>
        <v>-51836.935500000021</v>
      </c>
      <c r="AD36" s="15">
        <f t="shared" ref="AD36:AM36" si="78">AD37-AD35</f>
        <v>-62204.322600000014</v>
      </c>
      <c r="AE36" s="15">
        <f t="shared" si="78"/>
        <v>-71534.970990000002</v>
      </c>
      <c r="AF36" s="15">
        <f t="shared" si="78"/>
        <v>-82265.216638499987</v>
      </c>
      <c r="AG36" s="15">
        <f t="shared" si="78"/>
        <v>-94604.999134275015</v>
      </c>
      <c r="AH36" s="15">
        <f t="shared" si="78"/>
        <v>-104065.49904770253</v>
      </c>
      <c r="AI36" s="15">
        <f t="shared" si="78"/>
        <v>-114472.04895247275</v>
      </c>
      <c r="AJ36" s="15">
        <f t="shared" si="78"/>
        <v>-125919.2538477201</v>
      </c>
      <c r="AK36" s="15">
        <f t="shared" si="78"/>
        <v>-138511.17923249211</v>
      </c>
      <c r="AL36" s="15">
        <f t="shared" si="78"/>
        <v>-152362.29715574125</v>
      </c>
      <c r="AM36" s="15">
        <f t="shared" si="78"/>
        <v>-167598.52687131544</v>
      </c>
    </row>
    <row r="37" spans="3:143" x14ac:dyDescent="0.25">
      <c r="C37" s="2" t="s">
        <v>44</v>
      </c>
      <c r="D37" s="15">
        <v>35114</v>
      </c>
      <c r="E37" s="15">
        <v>35196</v>
      </c>
      <c r="F37" s="15">
        <v>38366</v>
      </c>
      <c r="G37" s="15">
        <v>39830</v>
      </c>
      <c r="H37" s="15">
        <v>45185</v>
      </c>
      <c r="I37" s="15">
        <v>46444</v>
      </c>
      <c r="J37" s="15">
        <v>49018</v>
      </c>
      <c r="K37" s="15">
        <v>55849</v>
      </c>
      <c r="L37" s="15">
        <v>55433</v>
      </c>
      <c r="M37" s="15">
        <v>57786</v>
      </c>
      <c r="N37" s="15">
        <v>60003</v>
      </c>
      <c r="O37" s="15">
        <v>72659</v>
      </c>
      <c r="P37" s="16">
        <v>65197</v>
      </c>
      <c r="Q37" s="15"/>
      <c r="R37" s="15"/>
      <c r="S37" s="15"/>
      <c r="T37" s="15"/>
      <c r="W37" s="15">
        <f t="shared" ref="W37:AB37" si="79">SUM(W35:W36)</f>
        <v>101933</v>
      </c>
      <c r="X37" s="15">
        <f t="shared" si="79"/>
        <v>106014</v>
      </c>
      <c r="Y37" s="15">
        <f t="shared" si="79"/>
        <v>117142</v>
      </c>
      <c r="Z37" s="15">
        <f t="shared" si="79"/>
        <v>148506</v>
      </c>
      <c r="AA37" s="15">
        <f t="shared" si="79"/>
        <v>196496</v>
      </c>
      <c r="AB37" s="15">
        <f t="shared" si="79"/>
        <v>245881</v>
      </c>
      <c r="AC37" s="16">
        <f>AC35*0.85</f>
        <v>293742.63449999999</v>
      </c>
      <c r="AD37" s="15">
        <f t="shared" ref="AD37:AM37" si="80">AD35*0.85</f>
        <v>352491.16139999998</v>
      </c>
      <c r="AE37" s="15">
        <f t="shared" si="80"/>
        <v>405364.83560999995</v>
      </c>
      <c r="AF37" s="15">
        <f t="shared" si="80"/>
        <v>466169.56095149997</v>
      </c>
      <c r="AG37" s="15">
        <f t="shared" si="80"/>
        <v>536094.99509422493</v>
      </c>
      <c r="AH37" s="15">
        <f t="shared" si="80"/>
        <v>589704.4946036475</v>
      </c>
      <c r="AI37" s="15">
        <f t="shared" si="80"/>
        <v>648674.94406401238</v>
      </c>
      <c r="AJ37" s="15">
        <f t="shared" si="80"/>
        <v>713542.43847041356</v>
      </c>
      <c r="AK37" s="15">
        <f t="shared" si="80"/>
        <v>784896.68231745495</v>
      </c>
      <c r="AL37" s="15">
        <f t="shared" si="80"/>
        <v>863386.35054920055</v>
      </c>
      <c r="AM37" s="15">
        <f t="shared" si="80"/>
        <v>949724.98560412065</v>
      </c>
    </row>
    <row r="38" spans="3:143" x14ac:dyDescent="0.25">
      <c r="C38" s="2" t="s">
        <v>45</v>
      </c>
      <c r="D38" s="15">
        <v>-10183</v>
      </c>
      <c r="E38" s="15">
        <v>-10840</v>
      </c>
      <c r="F38" s="15">
        <v>-11451</v>
      </c>
      <c r="G38" s="15">
        <v>-13743</v>
      </c>
      <c r="H38" s="15">
        <v>-12412</v>
      </c>
      <c r="I38" s="15">
        <v>-14342</v>
      </c>
      <c r="J38" s="15">
        <v>-12819</v>
      </c>
      <c r="K38" s="15">
        <v>-17170</v>
      </c>
      <c r="L38" s="15">
        <v>-13256</v>
      </c>
      <c r="M38" s="15">
        <v>-14934</v>
      </c>
      <c r="N38" s="15">
        <v>-15210</v>
      </c>
      <c r="O38" s="15">
        <v>-18701</v>
      </c>
      <c r="P38" s="16">
        <v>-14892</v>
      </c>
      <c r="Q38" s="15"/>
      <c r="R38" s="15"/>
      <c r="S38" s="15"/>
      <c r="T38" s="15"/>
      <c r="W38" s="15">
        <v>-31823</v>
      </c>
      <c r="X38" s="15">
        <v>-32928</v>
      </c>
      <c r="Y38" s="15">
        <v>-37008</v>
      </c>
      <c r="Z38" s="15">
        <v>-46217</v>
      </c>
      <c r="AA38" s="15">
        <v>-56743</v>
      </c>
      <c r="AB38" s="15">
        <v>-62101</v>
      </c>
      <c r="AC38" s="16">
        <f t="shared" ref="AC38:AD41" si="81">AB38*1.17</f>
        <v>-72658.17</v>
      </c>
      <c r="AD38" s="15">
        <f t="shared" si="81"/>
        <v>-85010.058899999989</v>
      </c>
      <c r="AE38" s="15">
        <f t="shared" ref="AE38:AF41" si="82">AD38*1.19</f>
        <v>-101161.97009099998</v>
      </c>
      <c r="AF38" s="15">
        <f t="shared" si="82"/>
        <v>-120382.74440828997</v>
      </c>
      <c r="AG38" s="15">
        <f>AF38*1.17</f>
        <v>-140847.81095769926</v>
      </c>
      <c r="AH38" s="15">
        <f>AG38*1.09</f>
        <v>-153524.11394389221</v>
      </c>
      <c r="AI38" s="15">
        <f t="shared" ref="AI38:AM38" si="83">AH38*1.09</f>
        <v>-167341.28419884254</v>
      </c>
      <c r="AJ38" s="15">
        <f t="shared" si="83"/>
        <v>-182401.99977673838</v>
      </c>
      <c r="AK38" s="15">
        <f t="shared" si="83"/>
        <v>-198818.17975664485</v>
      </c>
      <c r="AL38" s="15">
        <f t="shared" si="83"/>
        <v>-216711.81593474292</v>
      </c>
      <c r="AM38" s="15">
        <f t="shared" si="83"/>
        <v>-236215.87936886979</v>
      </c>
    </row>
    <row r="39" spans="3:143" x14ac:dyDescent="0.25">
      <c r="C39" s="2" t="s">
        <v>46</v>
      </c>
      <c r="D39" s="15">
        <v>-5206</v>
      </c>
      <c r="E39" s="15">
        <v>-5123</v>
      </c>
      <c r="F39" s="15">
        <v>-5633</v>
      </c>
      <c r="G39" s="15">
        <v>-8085</v>
      </c>
      <c r="H39" s="15">
        <v>-6728</v>
      </c>
      <c r="I39" s="15">
        <v>-7127</v>
      </c>
      <c r="J39" s="15">
        <v>-8128</v>
      </c>
      <c r="K39" s="15">
        <v>-10460</v>
      </c>
      <c r="L39" s="15">
        <v>-8606</v>
      </c>
      <c r="M39" s="15">
        <v>-16166</v>
      </c>
      <c r="N39" s="15">
        <v>-9488</v>
      </c>
      <c r="O39" s="15">
        <v>-13802</v>
      </c>
      <c r="P39" s="16">
        <v>-10308</v>
      </c>
      <c r="Q39" s="15"/>
      <c r="R39" s="15"/>
      <c r="S39" s="15"/>
      <c r="T39" s="15"/>
      <c r="W39" s="15">
        <v>-14220</v>
      </c>
      <c r="X39" s="15">
        <v>-15462</v>
      </c>
      <c r="Y39" s="15">
        <v>-17772</v>
      </c>
      <c r="Z39" s="15">
        <v>-24047</v>
      </c>
      <c r="AA39" s="15">
        <v>-32443</v>
      </c>
      <c r="AB39" s="15">
        <v>-48062</v>
      </c>
      <c r="AC39" s="16">
        <f t="shared" si="81"/>
        <v>-56232.539999999994</v>
      </c>
      <c r="AD39" s="15">
        <f t="shared" si="81"/>
        <v>-65792.071799999991</v>
      </c>
      <c r="AE39" s="15">
        <f t="shared" si="82"/>
        <v>-78292.565441999992</v>
      </c>
      <c r="AF39" s="15">
        <f t="shared" si="82"/>
        <v>-93168.152875979984</v>
      </c>
      <c r="AG39" s="15">
        <f>AF39*1.17</f>
        <v>-109006.73886489657</v>
      </c>
      <c r="AH39" s="15">
        <f t="shared" ref="AH39:AM41" si="84">AG39*1.09</f>
        <v>-118817.34536273727</v>
      </c>
      <c r="AI39" s="15">
        <f t="shared" si="84"/>
        <v>-129510.90644538363</v>
      </c>
      <c r="AJ39" s="15">
        <f t="shared" si="84"/>
        <v>-141166.88802546816</v>
      </c>
      <c r="AK39" s="15">
        <f t="shared" si="84"/>
        <v>-153871.90794776031</v>
      </c>
      <c r="AL39" s="15">
        <f t="shared" si="84"/>
        <v>-167720.37966305876</v>
      </c>
      <c r="AM39" s="15">
        <f t="shared" si="84"/>
        <v>-182815.21383273407</v>
      </c>
    </row>
    <row r="40" spans="3:143" x14ac:dyDescent="0.25">
      <c r="C40" s="2" t="s">
        <v>47</v>
      </c>
      <c r="D40" s="15">
        <v>-970</v>
      </c>
      <c r="E40" s="15">
        <v>-991</v>
      </c>
      <c r="F40" s="15">
        <v>-1158</v>
      </c>
      <c r="G40" s="15">
        <v>-1348</v>
      </c>
      <c r="H40" s="15">
        <v>-1071</v>
      </c>
      <c r="I40" s="15">
        <v>-1072</v>
      </c>
      <c r="J40" s="15">
        <v>-1256</v>
      </c>
      <c r="K40" s="15">
        <v>-1456</v>
      </c>
      <c r="L40" s="15">
        <v>-1157</v>
      </c>
      <c r="M40" s="15">
        <v>-1157</v>
      </c>
      <c r="N40" s="15">
        <v>-1382</v>
      </c>
      <c r="O40" s="15">
        <v>-1580</v>
      </c>
      <c r="P40" s="16">
        <v>-1220</v>
      </c>
      <c r="Q40" s="15"/>
      <c r="R40" s="15"/>
      <c r="S40" s="15"/>
      <c r="T40" s="15"/>
      <c r="W40" s="15">
        <v>-4007</v>
      </c>
      <c r="X40" s="15">
        <v>-3958</v>
      </c>
      <c r="Y40" s="15">
        <v>-4050</v>
      </c>
      <c r="Z40" s="15">
        <v>-4467</v>
      </c>
      <c r="AA40" s="15">
        <v>-4855</v>
      </c>
      <c r="AB40" s="15">
        <v>-5276</v>
      </c>
      <c r="AC40" s="16">
        <f t="shared" si="81"/>
        <v>-6172.92</v>
      </c>
      <c r="AD40" s="15">
        <f t="shared" si="81"/>
        <v>-7222.3163999999997</v>
      </c>
      <c r="AE40" s="15">
        <f t="shared" si="82"/>
        <v>-8594.5565159999987</v>
      </c>
      <c r="AF40" s="15">
        <f t="shared" si="82"/>
        <v>-10227.522254039997</v>
      </c>
      <c r="AG40" s="15">
        <f>AF40*1.17</f>
        <v>-11966.201037226796</v>
      </c>
      <c r="AH40" s="15">
        <f t="shared" si="84"/>
        <v>-13043.159130577209</v>
      </c>
      <c r="AI40" s="15">
        <f t="shared" si="84"/>
        <v>-14217.043452329159</v>
      </c>
      <c r="AJ40" s="15">
        <f t="shared" si="84"/>
        <v>-15496.577363038785</v>
      </c>
      <c r="AK40" s="15">
        <f t="shared" si="84"/>
        <v>-16891.269325712277</v>
      </c>
      <c r="AL40" s="15">
        <f t="shared" si="84"/>
        <v>-18411.483565026385</v>
      </c>
      <c r="AM40" s="15">
        <f t="shared" si="84"/>
        <v>-20068.517085878761</v>
      </c>
    </row>
    <row r="41" spans="3:143" x14ac:dyDescent="0.25">
      <c r="C41" s="2" t="s">
        <v>48</v>
      </c>
      <c r="D41" s="15">
        <v>392</v>
      </c>
      <c r="E41" s="15">
        <v>149</v>
      </c>
      <c r="F41" s="15">
        <v>60</v>
      </c>
      <c r="G41" s="15">
        <v>433</v>
      </c>
      <c r="H41" s="15">
        <v>33</v>
      </c>
      <c r="I41" s="15">
        <v>-15</v>
      </c>
      <c r="J41" s="15">
        <v>98</v>
      </c>
      <c r="K41" s="15">
        <v>3</v>
      </c>
      <c r="L41" s="15">
        <v>-568</v>
      </c>
      <c r="M41" s="15">
        <v>405</v>
      </c>
      <c r="N41" s="15">
        <v>-101</v>
      </c>
      <c r="O41" s="15">
        <v>-1839</v>
      </c>
      <c r="P41" s="16">
        <v>14</v>
      </c>
      <c r="Q41" s="15"/>
      <c r="R41" s="15"/>
      <c r="S41" s="15"/>
      <c r="T41" s="15"/>
      <c r="W41" s="15">
        <v>600</v>
      </c>
      <c r="X41" s="15">
        <v>460</v>
      </c>
      <c r="Y41" s="15">
        <v>332</v>
      </c>
      <c r="Z41" s="15">
        <v>1034</v>
      </c>
      <c r="AA41" s="15">
        <v>119</v>
      </c>
      <c r="AB41" s="15">
        <v>-2103</v>
      </c>
      <c r="AC41" s="16">
        <f t="shared" si="81"/>
        <v>-2460.5099999999998</v>
      </c>
      <c r="AD41" s="15">
        <f t="shared" si="81"/>
        <v>-2878.7966999999994</v>
      </c>
      <c r="AE41" s="15">
        <f t="shared" si="82"/>
        <v>-3425.7680729999993</v>
      </c>
      <c r="AF41" s="15">
        <f t="shared" si="82"/>
        <v>-4076.664006869999</v>
      </c>
      <c r="AG41" s="15">
        <f>AF41*1.17</f>
        <v>-4769.6968880378981</v>
      </c>
      <c r="AH41" s="15">
        <f t="shared" si="84"/>
        <v>-5198.9696079613095</v>
      </c>
      <c r="AI41" s="15">
        <f t="shared" si="84"/>
        <v>-5666.876872677828</v>
      </c>
      <c r="AJ41" s="15">
        <f t="shared" si="84"/>
        <v>-6176.8957912188334</v>
      </c>
      <c r="AK41" s="15">
        <f t="shared" si="84"/>
        <v>-6732.8164124285286</v>
      </c>
      <c r="AL41" s="15">
        <f t="shared" si="84"/>
        <v>-7338.7698895470967</v>
      </c>
      <c r="AM41" s="15">
        <f t="shared" si="84"/>
        <v>-7999.2591796063361</v>
      </c>
    </row>
    <row r="42" spans="3:143" x14ac:dyDescent="0.25">
      <c r="C42" s="1" t="s">
        <v>49</v>
      </c>
      <c r="D42" s="13">
        <f t="shared" ref="D42:P42" si="85">SUM(D37:D41)</f>
        <v>19147</v>
      </c>
      <c r="E42" s="13">
        <f t="shared" si="85"/>
        <v>18391</v>
      </c>
      <c r="F42" s="13">
        <f t="shared" si="85"/>
        <v>20184</v>
      </c>
      <c r="G42" s="13">
        <f t="shared" si="85"/>
        <v>17087</v>
      </c>
      <c r="H42" s="13">
        <f t="shared" si="85"/>
        <v>25007</v>
      </c>
      <c r="I42" s="13">
        <f t="shared" si="85"/>
        <v>23888</v>
      </c>
      <c r="J42" s="13">
        <f t="shared" si="85"/>
        <v>26913</v>
      </c>
      <c r="K42" s="13">
        <f t="shared" si="85"/>
        <v>26766</v>
      </c>
      <c r="L42" s="13">
        <f t="shared" si="85"/>
        <v>31846</v>
      </c>
      <c r="M42" s="13">
        <f t="shared" si="85"/>
        <v>25934</v>
      </c>
      <c r="N42" s="13">
        <f t="shared" si="85"/>
        <v>33822</v>
      </c>
      <c r="O42" s="13">
        <f>SUM(O37:O41)</f>
        <v>36737</v>
      </c>
      <c r="P42" s="14">
        <f t="shared" si="85"/>
        <v>38791</v>
      </c>
      <c r="Q42" s="15"/>
      <c r="R42" s="15"/>
      <c r="S42" s="15"/>
      <c r="T42" s="15"/>
      <c r="W42" s="13">
        <f t="shared" ref="W42:AB42" si="86">SUM(W37:W41)</f>
        <v>52483</v>
      </c>
      <c r="X42" s="13">
        <f t="shared" si="86"/>
        <v>54126</v>
      </c>
      <c r="Y42" s="13">
        <f t="shared" si="86"/>
        <v>58644</v>
      </c>
      <c r="Z42" s="13">
        <f t="shared" si="86"/>
        <v>74809</v>
      </c>
      <c r="AA42" s="13">
        <f t="shared" si="86"/>
        <v>102574</v>
      </c>
      <c r="AB42" s="13">
        <f t="shared" si="86"/>
        <v>128339</v>
      </c>
      <c r="AC42" s="14">
        <f t="shared" ref="AC42" si="87">SUM(AC37:AC41)</f>
        <v>156218.4945</v>
      </c>
      <c r="AD42" s="13">
        <f t="shared" ref="AD42" si="88">SUM(AD37:AD41)</f>
        <v>191587.91759999999</v>
      </c>
      <c r="AE42" s="13">
        <f t="shared" ref="AE42" si="89">SUM(AE37:AE41)</f>
        <v>213889.97548799997</v>
      </c>
      <c r="AF42" s="13">
        <f t="shared" ref="AF42" si="90">SUM(AF37:AF41)</f>
        <v>238314.47740632002</v>
      </c>
      <c r="AG42" s="13">
        <f t="shared" ref="AG42" si="91">SUM(AG37:AG41)</f>
        <v>269504.54734636442</v>
      </c>
      <c r="AH42" s="13">
        <f t="shared" ref="AH42" si="92">SUM(AH37:AH41)</f>
        <v>299120.90655847953</v>
      </c>
      <c r="AI42" s="13">
        <f t="shared" ref="AI42" si="93">SUM(AI37:AI41)</f>
        <v>331938.83309477923</v>
      </c>
      <c r="AJ42" s="13">
        <f t="shared" ref="AJ42" si="94">SUM(AJ37:AJ41)</f>
        <v>368300.07751394942</v>
      </c>
      <c r="AK42" s="13">
        <f t="shared" ref="AK42" si="95">SUM(AK37:AK41)</f>
        <v>408582.50887490896</v>
      </c>
      <c r="AL42" s="13">
        <f t="shared" ref="AL42" si="96">SUM(AL37:AL41)</f>
        <v>453203.90149682539</v>
      </c>
      <c r="AM42" s="13">
        <f t="shared" ref="AM42" si="97">SUM(AM37:AM41)</f>
        <v>502626.1161370317</v>
      </c>
    </row>
    <row r="43" spans="3:143" x14ac:dyDescent="0.25">
      <c r="C43" s="2" t="s">
        <v>50</v>
      </c>
      <c r="D43" s="15">
        <v>210</v>
      </c>
      <c r="E43" s="15">
        <v>1656</v>
      </c>
      <c r="F43" s="15">
        <v>1573</v>
      </c>
      <c r="G43" s="15">
        <v>-3200</v>
      </c>
      <c r="H43" s="15">
        <v>0</v>
      </c>
      <c r="I43" s="15">
        <v>-281</v>
      </c>
      <c r="J43" s="15">
        <v>3318</v>
      </c>
      <c r="K43" s="15">
        <v>-944</v>
      </c>
      <c r="L43" s="15">
        <v>2146</v>
      </c>
      <c r="M43" s="15">
        <v>960</v>
      </c>
      <c r="N43" s="15">
        <v>-821</v>
      </c>
      <c r="O43" s="15">
        <v>3913</v>
      </c>
      <c r="P43" s="16">
        <v>3425</v>
      </c>
      <c r="Q43" s="15"/>
      <c r="R43" s="15"/>
      <c r="S43" s="15"/>
      <c r="T43" s="15"/>
      <c r="W43" s="15">
        <v>65</v>
      </c>
      <c r="X43" s="15">
        <v>1628</v>
      </c>
      <c r="Y43" s="15">
        <v>2887</v>
      </c>
      <c r="Z43" s="15">
        <v>239</v>
      </c>
      <c r="AA43" s="15">
        <v>2945</v>
      </c>
      <c r="AB43" s="15">
        <v>6198</v>
      </c>
      <c r="AC43" s="16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</row>
    <row r="44" spans="3:143" x14ac:dyDescent="0.25">
      <c r="C44" s="2" t="s">
        <v>51</v>
      </c>
      <c r="D44" s="15">
        <v>-1438</v>
      </c>
      <c r="E44" s="15">
        <v>-3252</v>
      </c>
      <c r="F44" s="15">
        <v>-3725</v>
      </c>
      <c r="G44" s="15">
        <v>2429</v>
      </c>
      <c r="H44" s="15">
        <v>-270</v>
      </c>
      <c r="I44" s="15">
        <v>647</v>
      </c>
      <c r="J44" s="15">
        <v>-2168</v>
      </c>
      <c r="K44" s="15">
        <v>1798</v>
      </c>
      <c r="L44" s="15">
        <v>-2074</v>
      </c>
      <c r="M44" s="15">
        <v>-1562</v>
      </c>
      <c r="N44" s="15">
        <v>1383</v>
      </c>
      <c r="O44" s="15">
        <v>-5093</v>
      </c>
      <c r="P44" s="16">
        <v>-5183</v>
      </c>
      <c r="Q44" s="15"/>
      <c r="R44" s="15"/>
      <c r="S44" s="15"/>
      <c r="T44" s="15"/>
      <c r="W44" s="15">
        <v>-3995</v>
      </c>
      <c r="X44" s="15">
        <v>-2624</v>
      </c>
      <c r="Y44" s="15">
        <v>-2451</v>
      </c>
      <c r="Z44" s="15">
        <v>-5986</v>
      </c>
      <c r="AA44" s="15">
        <v>-845</v>
      </c>
      <c r="AB44" s="15">
        <v>-7346</v>
      </c>
      <c r="AC44" s="16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</row>
    <row r="45" spans="3:143" x14ac:dyDescent="0.25">
      <c r="C45" s="2" t="s">
        <v>52</v>
      </c>
      <c r="D45" s="15">
        <f t="shared" ref="D45:P45" si="98">SUM(D42:D44)</f>
        <v>17919</v>
      </c>
      <c r="E45" s="15">
        <f t="shared" si="98"/>
        <v>16795</v>
      </c>
      <c r="F45" s="15">
        <f t="shared" si="98"/>
        <v>18032</v>
      </c>
      <c r="G45" s="15">
        <f t="shared" si="98"/>
        <v>16316</v>
      </c>
      <c r="H45" s="15">
        <f t="shared" si="98"/>
        <v>24737</v>
      </c>
      <c r="I45" s="15">
        <f t="shared" si="98"/>
        <v>24254</v>
      </c>
      <c r="J45" s="15">
        <f t="shared" si="98"/>
        <v>28063</v>
      </c>
      <c r="K45" s="15">
        <f t="shared" si="98"/>
        <v>27620</v>
      </c>
      <c r="L45" s="15">
        <f t="shared" si="98"/>
        <v>31918</v>
      </c>
      <c r="M45" s="15">
        <f t="shared" si="98"/>
        <v>25332</v>
      </c>
      <c r="N45" s="15">
        <f t="shared" si="98"/>
        <v>34384</v>
      </c>
      <c r="O45" s="15">
        <f t="shared" si="98"/>
        <v>35557</v>
      </c>
      <c r="P45" s="16">
        <f t="shared" si="98"/>
        <v>37033</v>
      </c>
      <c r="Q45" s="15"/>
      <c r="R45" s="15"/>
      <c r="S45" s="15"/>
      <c r="T45" s="15"/>
      <c r="W45" s="15">
        <f t="shared" ref="W45:AB45" si="99">SUM(W42:W44)</f>
        <v>48553</v>
      </c>
      <c r="X45" s="15">
        <f t="shared" si="99"/>
        <v>53130</v>
      </c>
      <c r="Y45" s="15">
        <f t="shared" si="99"/>
        <v>59080</v>
      </c>
      <c r="Z45" s="15">
        <f t="shared" si="99"/>
        <v>69062</v>
      </c>
      <c r="AA45" s="15">
        <f t="shared" si="99"/>
        <v>104674</v>
      </c>
      <c r="AB45" s="15">
        <f t="shared" si="99"/>
        <v>127191</v>
      </c>
      <c r="AC45" s="16">
        <f t="shared" ref="AC45" si="100">SUM(AC42:AC44)</f>
        <v>156218.4945</v>
      </c>
      <c r="AD45" s="15">
        <f t="shared" ref="AD45" si="101">SUM(AD42:AD44)</f>
        <v>191587.91759999999</v>
      </c>
      <c r="AE45" s="15">
        <f t="shared" ref="AE45" si="102">SUM(AE42:AE44)</f>
        <v>213889.97548799997</v>
      </c>
      <c r="AF45" s="15">
        <f t="shared" ref="AF45" si="103">SUM(AF42:AF44)</f>
        <v>238314.47740632002</v>
      </c>
      <c r="AG45" s="15">
        <f t="shared" ref="AG45" si="104">SUM(AG42:AG44)</f>
        <v>269504.54734636442</v>
      </c>
      <c r="AH45" s="15">
        <f t="shared" ref="AH45" si="105">SUM(AH42:AH44)</f>
        <v>299120.90655847953</v>
      </c>
      <c r="AI45" s="15">
        <f t="shared" ref="AI45" si="106">SUM(AI42:AI44)</f>
        <v>331938.83309477923</v>
      </c>
      <c r="AJ45" s="15">
        <f t="shared" ref="AJ45" si="107">SUM(AJ42:AJ44)</f>
        <v>368300.07751394942</v>
      </c>
      <c r="AK45" s="15">
        <f t="shared" ref="AK45" si="108">SUM(AK42:AK44)</f>
        <v>408582.50887490896</v>
      </c>
      <c r="AL45" s="15">
        <f t="shared" ref="AL45" si="109">SUM(AL42:AL44)</f>
        <v>453203.90149682539</v>
      </c>
      <c r="AM45" s="15">
        <f t="shared" ref="AM45" si="110">SUM(AM42:AM44)</f>
        <v>502626.1161370317</v>
      </c>
    </row>
    <row r="46" spans="3:143" x14ac:dyDescent="0.25">
      <c r="C46" s="2" t="s">
        <v>53</v>
      </c>
      <c r="D46" s="15">
        <v>-3709</v>
      </c>
      <c r="E46" s="15">
        <v>-3477</v>
      </c>
      <c r="F46" s="15">
        <v>-3627</v>
      </c>
      <c r="G46" s="15">
        <v>-2724</v>
      </c>
      <c r="H46" s="15">
        <v>-4923</v>
      </c>
      <c r="I46" s="15">
        <v>-4826</v>
      </c>
      <c r="J46" s="15">
        <v>-5585</v>
      </c>
      <c r="K46" s="15">
        <v>-5657</v>
      </c>
      <c r="L46" s="15">
        <v>-6511</v>
      </c>
      <c r="M46" s="15">
        <v>-5282</v>
      </c>
      <c r="N46" s="15">
        <v>-7083</v>
      </c>
      <c r="O46" s="15">
        <v>-7327</v>
      </c>
      <c r="P46" s="16">
        <v>-7999</v>
      </c>
      <c r="Q46" s="15"/>
      <c r="R46" s="15"/>
      <c r="S46" s="15"/>
      <c r="T46" s="15"/>
      <c r="W46" s="15">
        <v>-9602</v>
      </c>
      <c r="X46" s="15">
        <v>-10992</v>
      </c>
      <c r="Y46" s="15">
        <v>-11323</v>
      </c>
      <c r="Z46" s="15">
        <v>-13537</v>
      </c>
      <c r="AA46" s="15">
        <v>-20991</v>
      </c>
      <c r="AB46" s="15">
        <v>-26203</v>
      </c>
      <c r="AC46" s="16">
        <f>AC45*-0.2</f>
        <v>-31243.698900000003</v>
      </c>
      <c r="AD46" s="15">
        <f t="shared" ref="AD46:AM46" si="111">AD45*-0.2</f>
        <v>-38317.58352</v>
      </c>
      <c r="AE46" s="15">
        <f t="shared" si="111"/>
        <v>-42777.995097599996</v>
      </c>
      <c r="AF46" s="15">
        <f t="shared" si="111"/>
        <v>-47662.895481264008</v>
      </c>
      <c r="AG46" s="15">
        <f t="shared" si="111"/>
        <v>-53900.909469272883</v>
      </c>
      <c r="AH46" s="15">
        <f t="shared" si="111"/>
        <v>-59824.181311695909</v>
      </c>
      <c r="AI46" s="15">
        <f t="shared" si="111"/>
        <v>-66387.766618955851</v>
      </c>
      <c r="AJ46" s="15">
        <f t="shared" si="111"/>
        <v>-73660.015502789887</v>
      </c>
      <c r="AK46" s="15">
        <f t="shared" si="111"/>
        <v>-81716.501774981793</v>
      </c>
      <c r="AL46" s="15">
        <f t="shared" si="111"/>
        <v>-90640.780299365084</v>
      </c>
      <c r="AM46" s="15">
        <f t="shared" si="111"/>
        <v>-100525.22322740634</v>
      </c>
    </row>
    <row r="47" spans="3:143" x14ac:dyDescent="0.25">
      <c r="C47" s="1" t="s">
        <v>54</v>
      </c>
      <c r="D47" s="13">
        <f t="shared" ref="D47:O47" si="112">SUM(D45:D46)</f>
        <v>14210</v>
      </c>
      <c r="E47" s="13">
        <f t="shared" si="112"/>
        <v>13318</v>
      </c>
      <c r="F47" s="13">
        <f t="shared" si="112"/>
        <v>14405</v>
      </c>
      <c r="G47" s="13">
        <f t="shared" si="112"/>
        <v>13592</v>
      </c>
      <c r="H47" s="13">
        <f t="shared" si="112"/>
        <v>19814</v>
      </c>
      <c r="I47" s="13">
        <f t="shared" si="112"/>
        <v>19428</v>
      </c>
      <c r="J47" s="13">
        <f t="shared" si="112"/>
        <v>22478</v>
      </c>
      <c r="K47" s="13">
        <f t="shared" si="112"/>
        <v>21963</v>
      </c>
      <c r="L47" s="13">
        <f t="shared" si="112"/>
        <v>25407</v>
      </c>
      <c r="M47" s="13">
        <f t="shared" si="112"/>
        <v>20050</v>
      </c>
      <c r="N47" s="13">
        <f t="shared" si="112"/>
        <v>27301</v>
      </c>
      <c r="O47" s="13">
        <f t="shared" si="112"/>
        <v>28230</v>
      </c>
      <c r="P47" s="14">
        <f>SUM(P45:P46)</f>
        <v>29034</v>
      </c>
      <c r="Q47" s="13"/>
      <c r="R47" s="13"/>
      <c r="S47" s="13"/>
      <c r="T47" s="13"/>
      <c r="W47" s="13">
        <f t="shared" ref="W47:AB47" si="113">SUM(W45:W46)</f>
        <v>38951</v>
      </c>
      <c r="X47" s="13">
        <f t="shared" si="113"/>
        <v>42138</v>
      </c>
      <c r="Y47" s="13">
        <f t="shared" si="113"/>
        <v>47757</v>
      </c>
      <c r="Z47" s="13">
        <f t="shared" si="113"/>
        <v>55525</v>
      </c>
      <c r="AA47" s="13">
        <f t="shared" si="113"/>
        <v>83683</v>
      </c>
      <c r="AB47" s="13">
        <f t="shared" si="113"/>
        <v>100988</v>
      </c>
      <c r="AC47" s="14">
        <f t="shared" ref="AC47" si="114">SUM(AC45:AC46)</f>
        <v>124974.7956</v>
      </c>
      <c r="AD47" s="13">
        <f t="shared" ref="AD47" si="115">SUM(AD45:AD46)</f>
        <v>153270.33408</v>
      </c>
      <c r="AE47" s="13">
        <f t="shared" ref="AE47" si="116">SUM(AE45:AE46)</f>
        <v>171111.98039039999</v>
      </c>
      <c r="AF47" s="13">
        <f t="shared" ref="AF47" si="117">SUM(AF45:AF46)</f>
        <v>190651.581925056</v>
      </c>
      <c r="AG47" s="13">
        <f t="shared" ref="AG47" si="118">SUM(AG45:AG46)</f>
        <v>215603.63787709153</v>
      </c>
      <c r="AH47" s="13">
        <f t="shared" ref="AH47" si="119">SUM(AH45:AH46)</f>
        <v>239296.72524678364</v>
      </c>
      <c r="AI47" s="13">
        <f t="shared" ref="AI47" si="120">SUM(AI45:AI46)</f>
        <v>265551.06647582341</v>
      </c>
      <c r="AJ47" s="13">
        <f t="shared" ref="AJ47" si="121">SUM(AJ45:AJ46)</f>
        <v>294640.06201115955</v>
      </c>
      <c r="AK47" s="13">
        <f t="shared" ref="AK47" si="122">SUM(AK45:AK46)</f>
        <v>326866.00709992717</v>
      </c>
      <c r="AL47" s="13">
        <f t="shared" ref="AL47" si="123">SUM(AL45:AL46)</f>
        <v>362563.12119746034</v>
      </c>
      <c r="AM47" s="13">
        <f t="shared" ref="AM47" si="124">SUM(AM45:AM46)</f>
        <v>402100.89290962537</v>
      </c>
      <c r="AN47" s="13">
        <f>AM47*(1+$AP$53)</f>
        <v>406121.90183872165</v>
      </c>
      <c r="AO47" s="13">
        <f t="shared" ref="AO47:CZ47" si="125">AN47*(1+$AP$53)</f>
        <v>410183.12085710885</v>
      </c>
      <c r="AP47" s="13">
        <f t="shared" si="125"/>
        <v>414284.95206567994</v>
      </c>
      <c r="AQ47" s="13">
        <f t="shared" si="125"/>
        <v>418427.80158633675</v>
      </c>
      <c r="AR47" s="13">
        <f t="shared" si="125"/>
        <v>422612.07960220013</v>
      </c>
      <c r="AS47" s="13">
        <f t="shared" si="125"/>
        <v>426838.20039822214</v>
      </c>
      <c r="AT47" s="13">
        <f t="shared" si="125"/>
        <v>431106.58240220434</v>
      </c>
      <c r="AU47" s="13">
        <f t="shared" si="125"/>
        <v>435417.64822622639</v>
      </c>
      <c r="AV47" s="13">
        <f t="shared" si="125"/>
        <v>439771.82470848865</v>
      </c>
      <c r="AW47" s="13">
        <f t="shared" si="125"/>
        <v>444169.54295557353</v>
      </c>
      <c r="AX47" s="13">
        <f t="shared" si="125"/>
        <v>448611.23838512925</v>
      </c>
      <c r="AY47" s="13">
        <f t="shared" si="125"/>
        <v>453097.35076898057</v>
      </c>
      <c r="AZ47" s="13">
        <f t="shared" si="125"/>
        <v>457628.32427667041</v>
      </c>
      <c r="BA47" s="13">
        <f t="shared" si="125"/>
        <v>462204.60751943709</v>
      </c>
      <c r="BB47" s="13">
        <f t="shared" si="125"/>
        <v>466826.65359463147</v>
      </c>
      <c r="BC47" s="13">
        <f t="shared" si="125"/>
        <v>471494.92013057781</v>
      </c>
      <c r="BD47" s="13">
        <f t="shared" si="125"/>
        <v>476209.86933188362</v>
      </c>
      <c r="BE47" s="13">
        <f t="shared" si="125"/>
        <v>480971.96802520246</v>
      </c>
      <c r="BF47" s="13">
        <f t="shared" si="125"/>
        <v>485781.68770545447</v>
      </c>
      <c r="BG47" s="13">
        <f t="shared" si="125"/>
        <v>490639.50458250905</v>
      </c>
      <c r="BH47" s="13">
        <f t="shared" si="125"/>
        <v>495545.89962833415</v>
      </c>
      <c r="BI47" s="13">
        <f t="shared" si="125"/>
        <v>500501.35862461751</v>
      </c>
      <c r="BJ47" s="13">
        <f t="shared" si="125"/>
        <v>505506.37221086369</v>
      </c>
      <c r="BK47" s="13">
        <f t="shared" si="125"/>
        <v>510561.43593297235</v>
      </c>
      <c r="BL47" s="13">
        <f t="shared" si="125"/>
        <v>515667.0502923021</v>
      </c>
      <c r="BM47" s="13">
        <f t="shared" si="125"/>
        <v>520823.72079522512</v>
      </c>
      <c r="BN47" s="13">
        <f t="shared" si="125"/>
        <v>526031.95800317742</v>
      </c>
      <c r="BO47" s="13">
        <f t="shared" si="125"/>
        <v>531292.27758320922</v>
      </c>
      <c r="BP47" s="13">
        <f t="shared" si="125"/>
        <v>536605.20035904134</v>
      </c>
      <c r="BQ47" s="13">
        <f t="shared" si="125"/>
        <v>541971.25236263173</v>
      </c>
      <c r="BR47" s="13">
        <f t="shared" si="125"/>
        <v>547390.96488625801</v>
      </c>
      <c r="BS47" s="13">
        <f t="shared" si="125"/>
        <v>552864.87453512056</v>
      </c>
      <c r="BT47" s="13">
        <f t="shared" si="125"/>
        <v>558393.5232804718</v>
      </c>
      <c r="BU47" s="13">
        <f t="shared" si="125"/>
        <v>563977.45851327654</v>
      </c>
      <c r="BV47" s="13">
        <f t="shared" si="125"/>
        <v>569617.23309840926</v>
      </c>
      <c r="BW47" s="13">
        <f t="shared" si="125"/>
        <v>575313.4054293934</v>
      </c>
      <c r="BX47" s="13">
        <f t="shared" si="125"/>
        <v>581066.53948368737</v>
      </c>
      <c r="BY47" s="13">
        <f t="shared" si="125"/>
        <v>586877.2048785243</v>
      </c>
      <c r="BZ47" s="13">
        <f t="shared" si="125"/>
        <v>592745.97692730953</v>
      </c>
      <c r="CA47" s="13">
        <f t="shared" si="125"/>
        <v>598673.43669658259</v>
      </c>
      <c r="CB47" s="13">
        <f t="shared" si="125"/>
        <v>604660.17106354842</v>
      </c>
      <c r="CC47" s="13">
        <f t="shared" si="125"/>
        <v>610706.77277418389</v>
      </c>
      <c r="CD47" s="13">
        <f t="shared" si="125"/>
        <v>616813.84050192579</v>
      </c>
      <c r="CE47" s="13">
        <f t="shared" si="125"/>
        <v>622981.97890694509</v>
      </c>
      <c r="CF47" s="13">
        <f t="shared" si="125"/>
        <v>629211.79869601456</v>
      </c>
      <c r="CG47" s="13">
        <f t="shared" si="125"/>
        <v>635503.91668297467</v>
      </c>
      <c r="CH47" s="13">
        <f t="shared" si="125"/>
        <v>641858.95584980445</v>
      </c>
      <c r="CI47" s="13">
        <f t="shared" si="125"/>
        <v>648277.54540830245</v>
      </c>
      <c r="CJ47" s="13">
        <f t="shared" si="125"/>
        <v>654760.32086238544</v>
      </c>
      <c r="CK47" s="13">
        <f t="shared" si="125"/>
        <v>661307.92407100927</v>
      </c>
      <c r="CL47" s="13">
        <f t="shared" si="125"/>
        <v>667921.0033117194</v>
      </c>
      <c r="CM47" s="13">
        <f t="shared" si="125"/>
        <v>674600.21334483661</v>
      </c>
      <c r="CN47" s="13">
        <f t="shared" si="125"/>
        <v>681346.21547828498</v>
      </c>
      <c r="CO47" s="13">
        <f t="shared" si="125"/>
        <v>688159.67763306783</v>
      </c>
      <c r="CP47" s="13">
        <f t="shared" si="125"/>
        <v>695041.27440939855</v>
      </c>
      <c r="CQ47" s="13">
        <f t="shared" si="125"/>
        <v>701991.68715349259</v>
      </c>
      <c r="CR47" s="13">
        <f t="shared" si="125"/>
        <v>709011.60402502748</v>
      </c>
      <c r="CS47" s="13">
        <f t="shared" si="125"/>
        <v>716101.72006527777</v>
      </c>
      <c r="CT47" s="13">
        <f t="shared" si="125"/>
        <v>723262.73726593051</v>
      </c>
      <c r="CU47" s="13">
        <f t="shared" si="125"/>
        <v>730495.36463858979</v>
      </c>
      <c r="CV47" s="13">
        <f t="shared" si="125"/>
        <v>737800.31828497571</v>
      </c>
      <c r="CW47" s="13">
        <f t="shared" si="125"/>
        <v>745178.32146782544</v>
      </c>
      <c r="CX47" s="13">
        <f t="shared" si="125"/>
        <v>752630.10468250373</v>
      </c>
      <c r="CY47" s="13">
        <f t="shared" si="125"/>
        <v>760156.40572932875</v>
      </c>
      <c r="CZ47" s="13">
        <f t="shared" si="125"/>
        <v>767757.9697866221</v>
      </c>
      <c r="DA47" s="13">
        <f t="shared" ref="DA47:EM47" si="126">CZ47*(1+$AP$53)</f>
        <v>775435.54948448832</v>
      </c>
      <c r="DB47" s="13">
        <f t="shared" si="126"/>
        <v>783189.90497933317</v>
      </c>
      <c r="DC47" s="13">
        <f t="shared" si="126"/>
        <v>791021.80402912654</v>
      </c>
      <c r="DD47" s="13">
        <f t="shared" si="126"/>
        <v>798932.02206941776</v>
      </c>
      <c r="DE47" s="13">
        <f t="shared" si="126"/>
        <v>806921.34229011193</v>
      </c>
      <c r="DF47" s="13">
        <f t="shared" si="126"/>
        <v>814990.55571301305</v>
      </c>
      <c r="DG47" s="13">
        <f t="shared" si="126"/>
        <v>823140.46127014316</v>
      </c>
      <c r="DH47" s="13">
        <f t="shared" si="126"/>
        <v>831371.86588284455</v>
      </c>
      <c r="DI47" s="13">
        <f t="shared" si="126"/>
        <v>839685.58454167296</v>
      </c>
      <c r="DJ47" s="13">
        <f t="shared" si="126"/>
        <v>848082.44038708974</v>
      </c>
      <c r="DK47" s="13">
        <f t="shared" si="126"/>
        <v>856563.26479096059</v>
      </c>
      <c r="DL47" s="13">
        <f t="shared" si="126"/>
        <v>865128.89743887016</v>
      </c>
      <c r="DM47" s="13">
        <f t="shared" si="126"/>
        <v>873780.1864132589</v>
      </c>
      <c r="DN47" s="13">
        <f t="shared" si="126"/>
        <v>882517.98827739153</v>
      </c>
      <c r="DO47" s="13">
        <f t="shared" si="126"/>
        <v>891343.16816016543</v>
      </c>
      <c r="DP47" s="13">
        <f t="shared" si="126"/>
        <v>900256.59984176711</v>
      </c>
      <c r="DQ47" s="13">
        <f t="shared" si="126"/>
        <v>909259.16584018478</v>
      </c>
      <c r="DR47" s="13">
        <f t="shared" si="126"/>
        <v>918351.75749858667</v>
      </c>
      <c r="DS47" s="13">
        <f t="shared" si="126"/>
        <v>927535.27507357253</v>
      </c>
      <c r="DT47" s="13">
        <f t="shared" si="126"/>
        <v>936810.62782430823</v>
      </c>
      <c r="DU47" s="13">
        <f t="shared" si="126"/>
        <v>946178.73410255136</v>
      </c>
      <c r="DV47" s="13">
        <f t="shared" si="126"/>
        <v>955640.5214435769</v>
      </c>
      <c r="DW47" s="13">
        <f t="shared" si="126"/>
        <v>965196.92665801267</v>
      </c>
      <c r="DX47" s="13">
        <f t="shared" si="126"/>
        <v>974848.89592459286</v>
      </c>
      <c r="DY47" s="13">
        <f t="shared" si="126"/>
        <v>984597.38488383882</v>
      </c>
      <c r="DZ47" s="13">
        <f t="shared" si="126"/>
        <v>994443.35873267718</v>
      </c>
      <c r="EA47" s="13">
        <f t="shared" si="126"/>
        <v>1004387.792320004</v>
      </c>
      <c r="EB47" s="13">
        <f t="shared" si="126"/>
        <v>1014431.670243204</v>
      </c>
      <c r="EC47" s="13">
        <f t="shared" si="126"/>
        <v>1024575.986945636</v>
      </c>
      <c r="ED47" s="13">
        <f t="shared" si="126"/>
        <v>1034821.7468150924</v>
      </c>
      <c r="EE47" s="13">
        <f t="shared" si="126"/>
        <v>1045169.9642832433</v>
      </c>
      <c r="EF47" s="13">
        <f t="shared" si="126"/>
        <v>1055621.6639260757</v>
      </c>
      <c r="EG47" s="13">
        <f t="shared" si="126"/>
        <v>1066177.8805653364</v>
      </c>
      <c r="EH47" s="13">
        <f t="shared" si="126"/>
        <v>1076839.6593709898</v>
      </c>
      <c r="EI47" s="13">
        <f t="shared" si="126"/>
        <v>1087608.0559646997</v>
      </c>
      <c r="EJ47" s="13">
        <f t="shared" si="126"/>
        <v>1098484.1365243467</v>
      </c>
      <c r="EK47" s="13">
        <f t="shared" si="126"/>
        <v>1109468.9778895902</v>
      </c>
      <c r="EL47" s="13">
        <f t="shared" si="126"/>
        <v>1120563.667668486</v>
      </c>
      <c r="EM47" s="13">
        <f t="shared" si="126"/>
        <v>1131769.304345171</v>
      </c>
    </row>
    <row r="48" spans="3:143" x14ac:dyDescent="0.25">
      <c r="C48" s="2" t="s">
        <v>55</v>
      </c>
      <c r="D48" s="10">
        <f t="shared" ref="D48:K48" si="127">D47/D49</f>
        <v>3.1117242587483025</v>
      </c>
      <c r="E48" s="10">
        <f t="shared" si="127"/>
        <v>2.9256183823206361</v>
      </c>
      <c r="F48" s="10">
        <f t="shared" si="127"/>
        <v>3.1750055102490631</v>
      </c>
      <c r="G48" s="10">
        <f t="shared" si="127"/>
        <v>3.0052180065446183</v>
      </c>
      <c r="H48" s="10">
        <f t="shared" si="127"/>
        <v>4.3902330940352741</v>
      </c>
      <c r="I48" s="10">
        <f t="shared" si="127"/>
        <v>4.3148403144849636</v>
      </c>
      <c r="J48" s="10">
        <f t="shared" si="127"/>
        <v>5.0073513031855645</v>
      </c>
      <c r="K48" s="10">
        <f t="shared" si="127"/>
        <v>4.905302184303391</v>
      </c>
      <c r="L48" s="24">
        <f>L47/L49</f>
        <v>5.6832569063863101</v>
      </c>
      <c r="M48" s="10">
        <f t="shared" ref="M48:O48" si="128">M47/M49</f>
        <v>4.4900792762126578</v>
      </c>
      <c r="N48" s="10">
        <f t="shared" si="128"/>
        <v>6.1206142809102122</v>
      </c>
      <c r="O48" s="10">
        <f t="shared" si="128"/>
        <v>6.3359892267983389</v>
      </c>
      <c r="P48" s="9">
        <f>P47/P49</f>
        <v>6.5297768981648083</v>
      </c>
      <c r="W48" s="10">
        <f t="shared" ref="W48:AB48" si="129">W47/W49</f>
        <v>16.374910665489555</v>
      </c>
      <c r="X48" s="10">
        <f t="shared" si="129"/>
        <v>18.007692307692309</v>
      </c>
      <c r="Y48" s="10">
        <f t="shared" si="129"/>
        <v>20.735964569493291</v>
      </c>
      <c r="Z48" s="10">
        <f t="shared" si="129"/>
        <v>12.441183060721487</v>
      </c>
      <c r="AA48" s="10">
        <f t="shared" si="129"/>
        <v>18.750392112928523</v>
      </c>
      <c r="AB48" s="10">
        <f t="shared" si="129"/>
        <v>22.627828814698635</v>
      </c>
      <c r="AC48" s="9">
        <f t="shared" ref="AC48" si="130">AC47/AC49</f>
        <v>27.996145967741935</v>
      </c>
      <c r="AD48" s="10">
        <f t="shared" ref="AD48" si="131">AD47/AD49</f>
        <v>34.327062503919372</v>
      </c>
      <c r="AE48" s="10">
        <f t="shared" ref="AE48" si="132">AE47/AE49</f>
        <v>38.314370889028211</v>
      </c>
      <c r="AF48" s="10">
        <f t="shared" ref="AF48" si="133">AF47/AF49</f>
        <v>42.680004908228341</v>
      </c>
      <c r="AG48" s="10">
        <f t="shared" ref="AG48" si="134">AG47/AG49</f>
        <v>48.255066668999895</v>
      </c>
      <c r="AH48" s="10">
        <f t="shared" ref="AH48" si="135">AH47/AH49</f>
        <v>53.545921961687995</v>
      </c>
      <c r="AI48" s="10">
        <f t="shared" ref="AI48" si="136">AI47/AI49</f>
        <v>59.407397421884433</v>
      </c>
      <c r="AJ48" s="10">
        <f t="shared" ref="AJ48" si="137">AJ47/AJ49</f>
        <v>65.900259899610731</v>
      </c>
      <c r="AK48" s="10">
        <f t="shared" ref="AK48" si="138">AK47/AK49</f>
        <v>73.091683161879956</v>
      </c>
      <c r="AL48" s="10">
        <f t="shared" ref="AL48" si="139">AL47/AL49</f>
        <v>81.055917996302327</v>
      </c>
      <c r="AM48" s="10">
        <f t="shared" ref="AM48" si="140">AM47/AM49</f>
        <v>89.875031942249748</v>
      </c>
    </row>
    <row r="49" spans="3:42" x14ac:dyDescent="0.25">
      <c r="C49" s="2" t="s">
        <v>56</v>
      </c>
      <c r="D49" s="18">
        <v>4566.6000000000004</v>
      </c>
      <c r="E49" s="18">
        <v>4552.2</v>
      </c>
      <c r="F49" s="18">
        <v>4537</v>
      </c>
      <c r="G49" s="18">
        <v>4522.8</v>
      </c>
      <c r="H49" s="18">
        <v>4513.2</v>
      </c>
      <c r="I49" s="18">
        <v>4502.6000000000004</v>
      </c>
      <c r="J49" s="18">
        <v>4489</v>
      </c>
      <c r="K49" s="18">
        <v>4477.3999999999996</v>
      </c>
      <c r="L49" s="18">
        <v>4470.5</v>
      </c>
      <c r="M49" s="18">
        <v>4465.3999999999996</v>
      </c>
      <c r="N49" s="18">
        <v>4460.5</v>
      </c>
      <c r="O49" s="18">
        <v>4455.5</v>
      </c>
      <c r="P49" s="5">
        <v>4446.3999999999996</v>
      </c>
      <c r="Q49" s="18"/>
      <c r="R49" s="18"/>
      <c r="S49" s="18"/>
      <c r="T49" s="18"/>
      <c r="W49" s="18">
        <v>2378.6999999999998</v>
      </c>
      <c r="X49" s="18">
        <v>2340</v>
      </c>
      <c r="Y49" s="18">
        <v>2303.1</v>
      </c>
      <c r="Z49" s="18">
        <v>4463</v>
      </c>
      <c r="AA49" s="18">
        <v>4463</v>
      </c>
      <c r="AB49" s="18">
        <v>4463</v>
      </c>
      <c r="AC49" s="5">
        <v>4464</v>
      </c>
      <c r="AD49" s="18">
        <v>4465</v>
      </c>
      <c r="AE49" s="18">
        <v>4466</v>
      </c>
      <c r="AF49" s="18">
        <v>4467</v>
      </c>
      <c r="AG49" s="18">
        <v>4468</v>
      </c>
      <c r="AH49" s="18">
        <v>4469</v>
      </c>
      <c r="AI49" s="18">
        <v>4470</v>
      </c>
      <c r="AJ49" s="18">
        <v>4471</v>
      </c>
      <c r="AK49" s="18">
        <v>4472</v>
      </c>
      <c r="AL49" s="18">
        <v>4473</v>
      </c>
      <c r="AM49" s="18">
        <v>4474</v>
      </c>
    </row>
    <row r="50" spans="3:42" x14ac:dyDescent="0.25">
      <c r="AC50" s="23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  <row r="51" spans="3:42" x14ac:dyDescent="0.25">
      <c r="C51" s="1" t="s">
        <v>28</v>
      </c>
      <c r="D51" s="47">
        <v>0.24299999999999999</v>
      </c>
      <c r="E51" s="47">
        <v>0.249</v>
      </c>
      <c r="F51" s="47">
        <v>0.27900000000000003</v>
      </c>
      <c r="G51" s="47">
        <v>0.255</v>
      </c>
      <c r="H51" s="22">
        <f t="shared" ref="H51:P51" si="141">(H35-D35)/D35</f>
        <v>0.26970569341676381</v>
      </c>
      <c r="I51" s="22">
        <f t="shared" si="141"/>
        <v>0.31588513267902579</v>
      </c>
      <c r="J51" s="22">
        <f t="shared" si="141"/>
        <v>0.28892156432427685</v>
      </c>
      <c r="K51" s="22">
        <f t="shared" si="141"/>
        <v>0.36952091824003991</v>
      </c>
      <c r="L51" s="22">
        <f t="shared" si="141"/>
        <v>0.22452077126314016</v>
      </c>
      <c r="M51" s="22">
        <f t="shared" si="141"/>
        <v>0.25340699815837936</v>
      </c>
      <c r="N51" s="22">
        <f t="shared" si="141"/>
        <v>0.21419693177367999</v>
      </c>
      <c r="O51" s="22">
        <f t="shared" si="141"/>
        <v>0.30092768322123198</v>
      </c>
      <c r="P51" s="23">
        <f t="shared" si="141"/>
        <v>0.19492264610016985</v>
      </c>
      <c r="X51" s="22">
        <f t="shared" ref="X51:Y51" si="142">(X35-W35)/W35</f>
        <v>4.0361904918005918E-2</v>
      </c>
      <c r="Y51" s="22">
        <f t="shared" si="142"/>
        <v>0.10913301718841081</v>
      </c>
      <c r="Z51" s="22">
        <f>(Z35-Y35)/Y35</f>
        <v>0.25677556818181818</v>
      </c>
      <c r="AA51" s="22">
        <f>(AA35-Z35)/Z35</f>
        <v>0.31255015427738281</v>
      </c>
      <c r="AB51" s="22">
        <f>(AB35-AA35)/AA35</f>
        <v>0.25033044721240327</v>
      </c>
      <c r="AC51" s="23">
        <f>(AC35-AB35)/AB35</f>
        <v>0.19000000000000003</v>
      </c>
      <c r="AD51" s="22">
        <f t="shared" ref="AD51:AM51" si="143">(AD35-AC35)/AC35</f>
        <v>0.19999999999999996</v>
      </c>
      <c r="AE51" s="22">
        <f t="shared" si="143"/>
        <v>0.14999999999999988</v>
      </c>
      <c r="AF51" s="22">
        <f t="shared" si="143"/>
        <v>0.15000000000000002</v>
      </c>
      <c r="AG51" s="22">
        <f t="shared" si="143"/>
        <v>0.15</v>
      </c>
      <c r="AH51" s="22">
        <f t="shared" si="143"/>
        <v>0.10000000000000014</v>
      </c>
      <c r="AI51" s="22">
        <f t="shared" si="143"/>
        <v>0.10000000000000013</v>
      </c>
      <c r="AJ51" s="22">
        <f t="shared" si="143"/>
        <v>0.10000000000000003</v>
      </c>
      <c r="AK51" s="22">
        <f t="shared" si="143"/>
        <v>0.10000000000000005</v>
      </c>
      <c r="AL51" s="22">
        <f t="shared" si="143"/>
        <v>0.10000000000000003</v>
      </c>
      <c r="AM51" s="22">
        <f t="shared" si="143"/>
        <v>0.1000000000000001</v>
      </c>
    </row>
    <row r="52" spans="3:42" x14ac:dyDescent="0.25">
      <c r="C52" s="1" t="s">
        <v>143</v>
      </c>
      <c r="D52" s="33">
        <v>0.18</v>
      </c>
      <c r="E52" s="33">
        <v>0.15</v>
      </c>
      <c r="F52" s="33">
        <v>0.15</v>
      </c>
      <c r="G52" s="33">
        <v>0.18</v>
      </c>
      <c r="H52" s="33">
        <v>0.25</v>
      </c>
      <c r="I52" s="33">
        <v>0.36</v>
      </c>
      <c r="J52" s="33">
        <v>0.38</v>
      </c>
      <c r="K52" s="33">
        <v>0.43</v>
      </c>
      <c r="L52" s="34">
        <v>0.24</v>
      </c>
      <c r="M52" s="33">
        <v>0.25</v>
      </c>
      <c r="N52" s="33">
        <v>0.23</v>
      </c>
      <c r="O52" s="33">
        <v>0.3</v>
      </c>
      <c r="P52" s="35">
        <v>0.18</v>
      </c>
      <c r="Q52" s="1"/>
      <c r="R52" s="1"/>
      <c r="S52" s="1"/>
      <c r="T52" s="1"/>
      <c r="V52" s="1"/>
      <c r="W52" s="1"/>
      <c r="X52" s="22"/>
      <c r="Y52" s="22"/>
      <c r="Z52" s="22"/>
      <c r="AA52" s="22"/>
      <c r="AB52" s="22"/>
      <c r="AC52" s="23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O52" s="2" t="s">
        <v>164</v>
      </c>
      <c r="AP52" s="48">
        <v>0.08</v>
      </c>
    </row>
    <row r="53" spans="3:42" x14ac:dyDescent="0.25">
      <c r="C53" s="2" t="s">
        <v>140</v>
      </c>
      <c r="D53" s="11">
        <v>0.81</v>
      </c>
      <c r="E53" s="11">
        <v>0.93</v>
      </c>
      <c r="F53" s="11">
        <v>0.84</v>
      </c>
      <c r="G53" s="11">
        <v>0.57999999999999996</v>
      </c>
      <c r="H53" s="11">
        <f t="shared" ref="H53:O53" si="144">(H5-D5)/D5</f>
        <v>0.63190693809721643</v>
      </c>
      <c r="I53" s="11">
        <f t="shared" si="144"/>
        <v>0.54024670708760192</v>
      </c>
      <c r="J53" s="11">
        <f t="shared" si="144"/>
        <v>0.45893837705918245</v>
      </c>
      <c r="K53" s="11">
        <f t="shared" si="144"/>
        <v>0.77102968897266733</v>
      </c>
      <c r="L53" s="11">
        <f t="shared" si="144"/>
        <v>0.41598778004073322</v>
      </c>
      <c r="M53" s="11">
        <f t="shared" si="144"/>
        <v>0.30650196823673137</v>
      </c>
      <c r="N53" s="11">
        <f t="shared" si="144"/>
        <v>0.2464034794245567</v>
      </c>
      <c r="O53" s="11">
        <f t="shared" si="144"/>
        <v>0.12599368035922168</v>
      </c>
      <c r="P53" s="21">
        <f>(P5-L5)/L5</f>
        <v>0.17659115426105718</v>
      </c>
      <c r="Q53" s="1"/>
      <c r="R53" s="1"/>
      <c r="S53" s="1"/>
      <c r="T53" s="1"/>
      <c r="V53" s="1"/>
      <c r="W53" s="1"/>
      <c r="X53" s="11"/>
      <c r="Y53" s="11">
        <f t="shared" ref="Y53:AA53" si="145">(Y5-X5)/X5</f>
        <v>0.58903399179670923</v>
      </c>
      <c r="Z53" s="11">
        <f t="shared" si="145"/>
        <v>0.77273401572466993</v>
      </c>
      <c r="AA53" s="11">
        <f t="shared" si="145"/>
        <v>0.6019748953974895</v>
      </c>
      <c r="AB53" s="11">
        <f>(AB5-AA5)/AA5</f>
        <v>0.25725568858521908</v>
      </c>
      <c r="AC53" s="21">
        <f t="shared" ref="AC53:AM53" si="146">(AC5-AB5)/AB5</f>
        <v>-0.72809991524156159</v>
      </c>
      <c r="AD53" s="11">
        <f t="shared" si="146"/>
        <v>-1</v>
      </c>
      <c r="AE53" s="11" t="e">
        <f t="shared" si="146"/>
        <v>#DIV/0!</v>
      </c>
      <c r="AF53" s="11" t="e">
        <f t="shared" si="146"/>
        <v>#DIV/0!</v>
      </c>
      <c r="AG53" s="11" t="e">
        <f t="shared" si="146"/>
        <v>#DIV/0!</v>
      </c>
      <c r="AH53" s="11" t="e">
        <f t="shared" si="146"/>
        <v>#DIV/0!</v>
      </c>
      <c r="AI53" s="11" t="e">
        <f t="shared" si="146"/>
        <v>#DIV/0!</v>
      </c>
      <c r="AJ53" s="11" t="e">
        <f t="shared" si="146"/>
        <v>#DIV/0!</v>
      </c>
      <c r="AK53" s="11" t="e">
        <f t="shared" si="146"/>
        <v>#DIV/0!</v>
      </c>
      <c r="AL53" s="11" t="e">
        <f t="shared" si="146"/>
        <v>#DIV/0!</v>
      </c>
      <c r="AM53" s="11" t="e">
        <f t="shared" si="146"/>
        <v>#DIV/0!</v>
      </c>
      <c r="AO53" s="2" t="s">
        <v>165</v>
      </c>
      <c r="AP53" s="48">
        <v>0.01</v>
      </c>
    </row>
    <row r="54" spans="3:42" x14ac:dyDescent="0.25">
      <c r="C54" s="2" t="s">
        <v>141</v>
      </c>
      <c r="D54" s="11">
        <v>0.62</v>
      </c>
      <c r="E54" s="11">
        <v>0.63</v>
      </c>
      <c r="F54" s="11">
        <v>0.64</v>
      </c>
      <c r="G54" s="11">
        <v>0.57999999999999996</v>
      </c>
      <c r="H54" s="11">
        <f t="shared" ref="H54:N54" si="147">((H8+H24+H25)-(D8+D24+D25))/(D8+D24+D25)</f>
        <v>0.66424935164729615</v>
      </c>
      <c r="I54" s="11">
        <f t="shared" si="147"/>
        <v>0.67137361196117862</v>
      </c>
      <c r="J54" s="11">
        <f t="shared" si="147"/>
        <v>0.60642720701149855</v>
      </c>
      <c r="K54" s="11">
        <f t="shared" si="147"/>
        <v>0.64175603217158173</v>
      </c>
      <c r="L54" s="11">
        <f t="shared" si="147"/>
        <v>0.32793697515366638</v>
      </c>
      <c r="M54" s="11">
        <f t="shared" si="147"/>
        <v>0.33240040804582671</v>
      </c>
      <c r="N54" s="11">
        <f t="shared" si="147"/>
        <v>0.25287945908137094</v>
      </c>
      <c r="O54" s="11">
        <f>((O8+O24+O25)-(K8+K24+K25))/(K8+K24+K25)</f>
        <v>0.29779546846295163</v>
      </c>
      <c r="P54" s="21">
        <f>((P8+P24+P25)-(L8+L24+L25))/(L8+L24+L25)</f>
        <v>0.26036030162765933</v>
      </c>
      <c r="Q54" s="1"/>
      <c r="R54" s="1"/>
      <c r="S54" s="1"/>
      <c r="T54" s="1"/>
      <c r="V54" s="1"/>
      <c r="X54" s="11"/>
      <c r="Y54" s="11">
        <f t="shared" ref="Y54:AA54" si="148">((Y8+Y24+Y25)-(X8+X24+X25))/(X8+X24+X25)</f>
        <v>0.30687830687830686</v>
      </c>
      <c r="Z54" s="11">
        <f t="shared" si="148"/>
        <v>0.61677177927964255</v>
      </c>
      <c r="AA54" s="11">
        <f t="shared" si="148"/>
        <v>0.64377712375916596</v>
      </c>
      <c r="AB54" s="11">
        <f>((AB8+AB24+AB25)-(AA8+AA24+AA25))/(AA8+AA24+AA25)</f>
        <v>0.30047219052705687</v>
      </c>
      <c r="AC54" s="21">
        <f>((AC8+AC24+AC25)-(AB8+AB24+AB25))/(AB8+AB24+AB25)</f>
        <v>-0.7293240802535107</v>
      </c>
      <c r="AD54" s="11">
        <f>((AD8+AD24+AD25)-(AC8+AC24+AC25))/(AC8+AC24+AC25)</f>
        <v>-1</v>
      </c>
      <c r="AE54" s="11" t="e">
        <f t="shared" ref="AE54:AM54" si="149">((AE8+AE24+AE25)-(AD8+AD24+AD25))/(AD8+AD24+AD25)</f>
        <v>#DIV/0!</v>
      </c>
      <c r="AF54" s="11" t="e">
        <f t="shared" si="149"/>
        <v>#DIV/0!</v>
      </c>
      <c r="AG54" s="11" t="e">
        <f>((AG8+AG24+AG25)-(AF8+AF24+AF25))/(AF8+AF24+AF25)</f>
        <v>#DIV/0!</v>
      </c>
      <c r="AH54" s="11" t="e">
        <f t="shared" si="149"/>
        <v>#DIV/0!</v>
      </c>
      <c r="AI54" s="11" t="e">
        <f t="shared" si="149"/>
        <v>#DIV/0!</v>
      </c>
      <c r="AJ54" s="11" t="e">
        <f t="shared" si="149"/>
        <v>#DIV/0!</v>
      </c>
      <c r="AK54" s="11" t="e">
        <f t="shared" si="149"/>
        <v>#DIV/0!</v>
      </c>
      <c r="AL54" s="11" t="e">
        <f t="shared" si="149"/>
        <v>#DIV/0!</v>
      </c>
      <c r="AM54" s="11" t="e">
        <f t="shared" si="149"/>
        <v>#DIV/0!</v>
      </c>
      <c r="AO54" s="32" t="s">
        <v>166</v>
      </c>
      <c r="AP54" s="50">
        <f>NPV(AP52,AC47:EM47)</f>
        <v>4124588.6410340983</v>
      </c>
    </row>
    <row r="55" spans="3:42" x14ac:dyDescent="0.25">
      <c r="C55" s="2" t="s">
        <v>142</v>
      </c>
      <c r="D55" s="11">
        <v>0.01</v>
      </c>
      <c r="E55" s="11">
        <v>-0.06</v>
      </c>
      <c r="F55" s="11">
        <v>-7.0000000000000007E-2</v>
      </c>
      <c r="G55" s="11">
        <v>-0.09</v>
      </c>
      <c r="H55" s="11">
        <f t="shared" ref="H55:N55" si="150">(H21-D21)/D21</f>
        <v>-0.10379628391926213</v>
      </c>
      <c r="I55" s="11">
        <f t="shared" si="150"/>
        <v>-8.5473547759863891E-2</v>
      </c>
      <c r="J55" s="11">
        <f t="shared" si="150"/>
        <v>-0.12468173752025306</v>
      </c>
      <c r="K55" s="11">
        <f t="shared" si="150"/>
        <v>-5.5651899731988017E-2</v>
      </c>
      <c r="L55" s="11">
        <f t="shared" si="150"/>
        <v>7.1295398612871957E-2</v>
      </c>
      <c r="M55" s="11">
        <f t="shared" si="150"/>
        <v>0.11729270021261516</v>
      </c>
      <c r="N55" s="11">
        <f t="shared" si="150"/>
        <v>0.10260026443367122</v>
      </c>
      <c r="O55" s="11">
        <f>(O21-K21)/K21</f>
        <v>0.32612687813021701</v>
      </c>
      <c r="P55" s="21">
        <f>(P21-L21)/L21</f>
        <v>4.3995823181343541E-2</v>
      </c>
      <c r="Q55" s="1"/>
      <c r="R55" s="1"/>
      <c r="S55" s="1"/>
      <c r="T55" s="1"/>
      <c r="V55" s="1"/>
      <c r="W55" s="1"/>
      <c r="X55" s="22"/>
      <c r="Y55" s="11">
        <f t="shared" ref="Y55:AA55" si="151">(Y21-X21)/X21</f>
        <v>0.17469639448790822</v>
      </c>
      <c r="Z55" s="11">
        <f t="shared" si="151"/>
        <v>-5.4529871799450062E-2</v>
      </c>
      <c r="AA55" s="11">
        <f t="shared" si="151"/>
        <v>-9.3103187792717937E-2</v>
      </c>
      <c r="AB55" s="11">
        <f>(AB21-AA21)/AA21</f>
        <v>0.15307567364957728</v>
      </c>
      <c r="AC55" s="21">
        <f t="shared" ref="AC55:AM55" si="152">(AC21-AB21)/AB21</f>
        <v>-0.72916403301247901</v>
      </c>
      <c r="AD55" s="11">
        <f t="shared" si="152"/>
        <v>-1</v>
      </c>
      <c r="AE55" s="11" t="e">
        <f>(AF21-AD21)/AD21</f>
        <v>#DIV/0!</v>
      </c>
      <c r="AF55" s="11" t="e">
        <f t="shared" ref="AF55:AG55" si="153">(AG21-AE21)/AE21</f>
        <v>#DIV/0!</v>
      </c>
      <c r="AG55" s="11" t="e">
        <f t="shared" si="153"/>
        <v>#DIV/0!</v>
      </c>
      <c r="AH55" s="11" t="e">
        <f t="shared" si="152"/>
        <v>#DIV/0!</v>
      </c>
      <c r="AI55" s="11" t="e">
        <f t="shared" si="152"/>
        <v>#DIV/0!</v>
      </c>
      <c r="AJ55" s="11" t="e">
        <f t="shared" si="152"/>
        <v>#DIV/0!</v>
      </c>
      <c r="AK55" s="11" t="e">
        <f t="shared" si="152"/>
        <v>#DIV/0!</v>
      </c>
      <c r="AL55" s="11" t="e">
        <f t="shared" si="152"/>
        <v>#DIV/0!</v>
      </c>
      <c r="AM55" s="11" t="e">
        <f t="shared" si="152"/>
        <v>#DIV/0!</v>
      </c>
      <c r="AO55" s="2" t="s">
        <v>167</v>
      </c>
      <c r="AP55" s="18">
        <v>4455.5</v>
      </c>
    </row>
    <row r="56" spans="3:42" x14ac:dyDescent="0.25">
      <c r="C56" s="2" t="s">
        <v>65</v>
      </c>
      <c r="D56" s="11">
        <f t="shared" ref="D56:O56" si="154">D37/D35</f>
        <v>0.83543099141110133</v>
      </c>
      <c r="E56" s="11">
        <f t="shared" si="154"/>
        <v>0.85292620865139945</v>
      </c>
      <c r="F56" s="11">
        <f t="shared" si="154"/>
        <v>0.8419874467804942</v>
      </c>
      <c r="G56" s="11">
        <f t="shared" si="154"/>
        <v>0.82820427513931627</v>
      </c>
      <c r="H56" s="11">
        <f t="shared" si="154"/>
        <v>0.84668428054790412</v>
      </c>
      <c r="I56" s="11">
        <f t="shared" si="154"/>
        <v>0.85532228360957641</v>
      </c>
      <c r="J56" s="11">
        <f t="shared" si="154"/>
        <v>0.83461885545963799</v>
      </c>
      <c r="K56" s="11">
        <f t="shared" si="154"/>
        <v>0.84795712311920202</v>
      </c>
      <c r="L56" s="11">
        <f t="shared" si="154"/>
        <v>0.8482608762184578</v>
      </c>
      <c r="M56" s="11">
        <f t="shared" si="154"/>
        <v>0.84904496032912136</v>
      </c>
      <c r="N56" s="11">
        <f t="shared" si="154"/>
        <v>0.84142698882360367</v>
      </c>
      <c r="O56" s="11">
        <f t="shared" si="154"/>
        <v>0.84799785254951388</v>
      </c>
      <c r="P56" s="21">
        <f t="shared" ref="P56" si="155">P37/P35</f>
        <v>0.83492770883757861</v>
      </c>
      <c r="W56" s="11">
        <f t="shared" ref="W56:AB56" si="156">W37/W35</f>
        <v>0.8353725997983954</v>
      </c>
      <c r="X56" s="11">
        <f t="shared" si="156"/>
        <v>0.83511099207537065</v>
      </c>
      <c r="Y56" s="11">
        <f t="shared" si="156"/>
        <v>0.83197443181818187</v>
      </c>
      <c r="Z56" s="11">
        <f t="shared" si="156"/>
        <v>0.83923505543813648</v>
      </c>
      <c r="AA56" s="11">
        <f t="shared" si="156"/>
        <v>0.84601375177063731</v>
      </c>
      <c r="AB56" s="11">
        <f t="shared" si="156"/>
        <v>0.84668891161592685</v>
      </c>
      <c r="AC56" s="21">
        <f t="shared" ref="AC56:AM56" si="157">AC37/AC35</f>
        <v>0.85</v>
      </c>
      <c r="AD56" s="11">
        <f t="shared" si="157"/>
        <v>0.85</v>
      </c>
      <c r="AE56" s="11">
        <f t="shared" si="157"/>
        <v>0.85</v>
      </c>
      <c r="AF56" s="11">
        <f t="shared" si="157"/>
        <v>0.85</v>
      </c>
      <c r="AG56" s="11">
        <f t="shared" si="157"/>
        <v>0.85</v>
      </c>
      <c r="AH56" s="11">
        <f t="shared" si="157"/>
        <v>0.85</v>
      </c>
      <c r="AI56" s="11">
        <f t="shared" si="157"/>
        <v>0.85</v>
      </c>
      <c r="AJ56" s="11">
        <f t="shared" si="157"/>
        <v>0.85</v>
      </c>
      <c r="AK56" s="11">
        <f t="shared" si="157"/>
        <v>0.85</v>
      </c>
      <c r="AL56" s="11">
        <f t="shared" si="157"/>
        <v>0.85</v>
      </c>
      <c r="AM56" s="11">
        <f t="shared" si="157"/>
        <v>0.85</v>
      </c>
      <c r="AO56" s="2" t="s">
        <v>168</v>
      </c>
      <c r="AP56" s="18">
        <f>AP54/AP55</f>
        <v>925.72969162475556</v>
      </c>
    </row>
    <row r="57" spans="3:42" x14ac:dyDescent="0.25">
      <c r="C57" s="2" t="s">
        <v>29</v>
      </c>
      <c r="D57" s="11">
        <f t="shared" ref="D57:O57" si="158">D42/D35</f>
        <v>0.4555447169945992</v>
      </c>
      <c r="E57" s="11">
        <f t="shared" si="158"/>
        <v>0.44568035865745792</v>
      </c>
      <c r="F57" s="11">
        <f t="shared" si="158"/>
        <v>0.44296185752534784</v>
      </c>
      <c r="G57" s="11">
        <f t="shared" si="158"/>
        <v>0.35529817849122514</v>
      </c>
      <c r="H57" s="11">
        <f t="shared" si="158"/>
        <v>0.46858545543125901</v>
      </c>
      <c r="I57" s="11">
        <f t="shared" si="158"/>
        <v>0.43992633517495394</v>
      </c>
      <c r="J57" s="11">
        <f t="shared" si="158"/>
        <v>0.45824181437401029</v>
      </c>
      <c r="K57" s="11">
        <f t="shared" si="158"/>
        <v>0.40638901963165963</v>
      </c>
      <c r="L57" s="11">
        <f t="shared" si="158"/>
        <v>0.48732191770340788</v>
      </c>
      <c r="M57" s="11">
        <f t="shared" si="158"/>
        <v>0.38104613576256247</v>
      </c>
      <c r="N57" s="11">
        <f t="shared" si="158"/>
        <v>0.47428867916590706</v>
      </c>
      <c r="O57" s="11">
        <f t="shared" si="158"/>
        <v>0.42875482884586208</v>
      </c>
      <c r="P57" s="21">
        <f t="shared" ref="P57" si="159">P42/P35</f>
        <v>0.49676642719018532</v>
      </c>
      <c r="W57" s="19">
        <f t="shared" ref="W57:AB57" si="160">W42/W35</f>
        <v>0.4301144884896862</v>
      </c>
      <c r="X57" s="19">
        <f t="shared" si="160"/>
        <v>0.42637026767286879</v>
      </c>
      <c r="Y57" s="19">
        <f t="shared" si="160"/>
        <v>0.41650568181818182</v>
      </c>
      <c r="Z57" s="19">
        <f t="shared" si="160"/>
        <v>0.42275958723736112</v>
      </c>
      <c r="AA57" s="19">
        <f t="shared" si="160"/>
        <v>0.44163247381178933</v>
      </c>
      <c r="AB57" s="19">
        <f t="shared" si="160"/>
        <v>0.44193413979883128</v>
      </c>
      <c r="AC57" s="20">
        <f t="shared" ref="AC57:AM57" si="161">AC42/AC35</f>
        <v>0.45204782938991445</v>
      </c>
      <c r="AD57" s="19">
        <f t="shared" si="161"/>
        <v>0.46199663365516658</v>
      </c>
      <c r="AE57" s="19">
        <f t="shared" si="161"/>
        <v>0.44850086439099845</v>
      </c>
      <c r="AF57" s="19">
        <f t="shared" si="161"/>
        <v>0.43453567706546803</v>
      </c>
      <c r="AG57" s="19">
        <f t="shared" si="161"/>
        <v>0.42731021057965013</v>
      </c>
      <c r="AH57" s="19">
        <f t="shared" si="161"/>
        <v>0.43115284502892604</v>
      </c>
      <c r="AI57" s="19">
        <f t="shared" si="161"/>
        <v>0.434960546437754</v>
      </c>
      <c r="AJ57" s="19">
        <f t="shared" si="161"/>
        <v>0.43873363237922891</v>
      </c>
      <c r="AK57" s="19">
        <f t="shared" si="161"/>
        <v>0.44247241753941768</v>
      </c>
      <c r="AL57" s="19">
        <f t="shared" si="161"/>
        <v>0.44617721374360486</v>
      </c>
      <c r="AM57" s="19">
        <f t="shared" si="161"/>
        <v>0.44984832998229929</v>
      </c>
      <c r="AO57" s="1" t="s">
        <v>169</v>
      </c>
      <c r="AP57" s="49">
        <f>(AP56-B4)/B4</f>
        <v>1.054209900421071</v>
      </c>
    </row>
    <row r="58" spans="3:42" x14ac:dyDescent="0.25">
      <c r="D58" s="11"/>
    </row>
    <row r="59" spans="3:42" x14ac:dyDescent="0.25">
      <c r="C59" s="3" t="s">
        <v>40</v>
      </c>
    </row>
    <row r="60" spans="3:42" x14ac:dyDescent="0.25">
      <c r="C60" s="2" t="s">
        <v>85</v>
      </c>
      <c r="D60" s="2">
        <v>43344</v>
      </c>
      <c r="E60" s="15">
        <v>44590</v>
      </c>
      <c r="F60" s="15">
        <v>46924</v>
      </c>
      <c r="G60" s="15">
        <v>51416</v>
      </c>
      <c r="H60" s="15">
        <v>60406</v>
      </c>
      <c r="I60" s="15">
        <v>60406</v>
      </c>
      <c r="J60" s="15">
        <v>60406</v>
      </c>
      <c r="K60" s="15">
        <v>60406</v>
      </c>
      <c r="L60" s="15">
        <v>59640</v>
      </c>
      <c r="M60" s="15">
        <v>55501</v>
      </c>
      <c r="N60" s="15">
        <v>54488</v>
      </c>
      <c r="O60" s="15">
        <v>111090</v>
      </c>
      <c r="P60" s="16">
        <v>109379</v>
      </c>
    </row>
    <row r="61" spans="3:42" x14ac:dyDescent="0.25">
      <c r="C61" s="2" t="s">
        <v>86</v>
      </c>
      <c r="D61" s="15">
        <v>56399</v>
      </c>
      <c r="E61" s="15">
        <v>59556</v>
      </c>
      <c r="F61" s="15">
        <v>63641</v>
      </c>
      <c r="G61" s="15">
        <v>66671</v>
      </c>
      <c r="H61" s="15">
        <v>90961</v>
      </c>
      <c r="I61" s="15">
        <v>90961</v>
      </c>
      <c r="J61" s="15">
        <v>90961</v>
      </c>
      <c r="K61" s="15">
        <v>90961</v>
      </c>
      <c r="L61" s="15">
        <v>98230</v>
      </c>
      <c r="M61" s="15">
        <v>109980</v>
      </c>
      <c r="N61" s="15">
        <v>119832</v>
      </c>
      <c r="O61" s="15">
        <v>162488</v>
      </c>
      <c r="P61" s="16">
        <v>172376</v>
      </c>
      <c r="Q61" s="1"/>
      <c r="R61" s="1"/>
      <c r="S61" s="1"/>
      <c r="T61" s="1"/>
      <c r="V61" s="1"/>
      <c r="W61" s="1"/>
      <c r="X61" s="1"/>
      <c r="Y61" s="1"/>
    </row>
    <row r="62" spans="3:42" x14ac:dyDescent="0.25">
      <c r="C62" s="2" t="s">
        <v>87</v>
      </c>
      <c r="D62" s="15">
        <v>466</v>
      </c>
      <c r="E62" s="15">
        <v>463</v>
      </c>
      <c r="F62" s="15">
        <v>458</v>
      </c>
      <c r="G62" s="15">
        <v>327</v>
      </c>
      <c r="H62" s="15">
        <v>410</v>
      </c>
      <c r="I62" s="15">
        <v>410</v>
      </c>
      <c r="J62" s="15">
        <v>410</v>
      </c>
      <c r="K62" s="15">
        <v>410</v>
      </c>
      <c r="L62" s="15">
        <v>407</v>
      </c>
      <c r="M62" s="15">
        <v>412</v>
      </c>
      <c r="N62" s="15">
        <v>404</v>
      </c>
      <c r="O62" s="15">
        <v>400</v>
      </c>
      <c r="P62" s="16">
        <v>394</v>
      </c>
    </row>
    <row r="63" spans="3:42" x14ac:dyDescent="0.25">
      <c r="C63" s="2" t="s">
        <v>88</v>
      </c>
      <c r="D63" s="15">
        <v>9338</v>
      </c>
      <c r="E63" s="15">
        <v>10309</v>
      </c>
      <c r="F63" s="15">
        <v>11303</v>
      </c>
      <c r="G63" s="15">
        <v>13427</v>
      </c>
      <c r="H63" s="15">
        <v>20380</v>
      </c>
      <c r="I63" s="15">
        <v>20380</v>
      </c>
      <c r="J63" s="15">
        <v>20380</v>
      </c>
      <c r="K63" s="15">
        <v>20380</v>
      </c>
      <c r="L63" s="15">
        <v>20967</v>
      </c>
      <c r="M63" s="15">
        <v>22565</v>
      </c>
      <c r="N63" s="15">
        <v>23458</v>
      </c>
      <c r="O63" s="15">
        <v>24627</v>
      </c>
      <c r="P63" s="16">
        <v>26275</v>
      </c>
    </row>
    <row r="64" spans="3:42" x14ac:dyDescent="0.25">
      <c r="C64" s="2" t="s">
        <v>89</v>
      </c>
      <c r="D64" s="15">
        <v>239</v>
      </c>
      <c r="E64" s="15">
        <v>252</v>
      </c>
      <c r="F64" s="15">
        <v>247</v>
      </c>
      <c r="G64" s="15">
        <v>206</v>
      </c>
      <c r="H64" s="15">
        <v>1430</v>
      </c>
      <c r="I64" s="15">
        <v>1430</v>
      </c>
      <c r="J64" s="15">
        <v>1430</v>
      </c>
      <c r="K64" s="15">
        <v>1430</v>
      </c>
      <c r="L64" s="15">
        <v>2012</v>
      </c>
      <c r="M64" s="15">
        <v>2178</v>
      </c>
      <c r="N64" s="15">
        <v>2456</v>
      </c>
      <c r="O64" s="15">
        <v>4016</v>
      </c>
      <c r="P64" s="16">
        <v>4037</v>
      </c>
    </row>
    <row r="65" spans="3:17" x14ac:dyDescent="0.25">
      <c r="C65" s="2" t="s">
        <v>90</v>
      </c>
      <c r="D65" s="15">
        <v>813</v>
      </c>
      <c r="E65" s="15">
        <v>779</v>
      </c>
      <c r="F65" s="15">
        <v>781</v>
      </c>
      <c r="G65" s="15">
        <v>1016</v>
      </c>
      <c r="H65" s="15">
        <v>1253</v>
      </c>
      <c r="I65" s="15">
        <v>1253</v>
      </c>
      <c r="J65" s="15">
        <v>1253</v>
      </c>
      <c r="K65" s="15">
        <v>1253</v>
      </c>
      <c r="L65" s="15">
        <v>1244</v>
      </c>
      <c r="M65" s="15">
        <v>1247</v>
      </c>
      <c r="N65" s="15">
        <v>1643</v>
      </c>
      <c r="O65" s="15">
        <v>2277</v>
      </c>
      <c r="P65" s="16">
        <v>2306</v>
      </c>
    </row>
    <row r="66" spans="3:17" x14ac:dyDescent="0.25">
      <c r="C66" s="2" t="s">
        <v>91</v>
      </c>
      <c r="D66" s="15">
        <v>20289</v>
      </c>
      <c r="E66" s="15">
        <v>21706</v>
      </c>
      <c r="F66" s="15">
        <v>23222</v>
      </c>
      <c r="G66" s="15">
        <v>24388</v>
      </c>
      <c r="H66" s="15">
        <v>31811</v>
      </c>
      <c r="I66" s="15">
        <v>31811</v>
      </c>
      <c r="J66" s="15">
        <v>31811</v>
      </c>
      <c r="K66" s="15">
        <v>31811</v>
      </c>
      <c r="L66" s="15">
        <v>33600</v>
      </c>
      <c r="M66" s="15">
        <v>36356</v>
      </c>
      <c r="N66" s="15">
        <v>37944</v>
      </c>
      <c r="O66" s="15">
        <v>40849</v>
      </c>
      <c r="P66" s="16">
        <v>42853</v>
      </c>
    </row>
    <row r="67" spans="3:17" x14ac:dyDescent="0.25">
      <c r="C67" s="2" t="s">
        <v>92</v>
      </c>
      <c r="D67" s="15">
        <v>36241</v>
      </c>
      <c r="E67" s="15">
        <v>40826</v>
      </c>
      <c r="F67" s="15">
        <v>45563</v>
      </c>
      <c r="G67" s="15">
        <v>50560</v>
      </c>
      <c r="H67" s="15">
        <v>64770</v>
      </c>
      <c r="I67" s="15">
        <v>64770</v>
      </c>
      <c r="J67" s="15">
        <v>64770</v>
      </c>
      <c r="K67" s="15">
        <v>64770</v>
      </c>
      <c r="L67" s="15">
        <v>56999</v>
      </c>
      <c r="M67" s="15">
        <v>63565</v>
      </c>
      <c r="N67" s="15">
        <v>66299</v>
      </c>
      <c r="O67" s="15">
        <v>71949</v>
      </c>
      <c r="P67" s="16">
        <v>69459</v>
      </c>
    </row>
    <row r="68" spans="3:17" x14ac:dyDescent="0.25">
      <c r="C68" s="2" t="s">
        <v>93</v>
      </c>
      <c r="D68" s="15">
        <v>3101</v>
      </c>
      <c r="E68" s="15">
        <v>1168</v>
      </c>
      <c r="F68" s="15">
        <v>2541</v>
      </c>
      <c r="G68" s="15">
        <v>940</v>
      </c>
      <c r="H68" s="15">
        <v>2423</v>
      </c>
      <c r="I68" s="15">
        <v>2423</v>
      </c>
      <c r="J68" s="15">
        <v>2423</v>
      </c>
      <c r="K68" s="15">
        <v>2423</v>
      </c>
      <c r="L68" s="15">
        <v>6108</v>
      </c>
      <c r="M68" s="15">
        <v>2898</v>
      </c>
      <c r="N68" s="15">
        <v>3198</v>
      </c>
      <c r="O68" s="15">
        <v>2853</v>
      </c>
      <c r="P68" s="16">
        <v>2983</v>
      </c>
    </row>
    <row r="69" spans="3:17" x14ac:dyDescent="0.25">
      <c r="C69" s="2" t="s">
        <v>89</v>
      </c>
      <c r="D69" s="15">
        <v>4824</v>
      </c>
      <c r="E69" s="15">
        <v>4645</v>
      </c>
      <c r="F69" s="15">
        <v>5406</v>
      </c>
      <c r="G69" s="15">
        <v>6005</v>
      </c>
      <c r="H69" s="15">
        <v>8068</v>
      </c>
      <c r="I69" s="15">
        <v>8068</v>
      </c>
      <c r="J69" s="15">
        <v>8068</v>
      </c>
      <c r="K69" s="15">
        <v>8068</v>
      </c>
      <c r="L69" s="15">
        <v>8643</v>
      </c>
      <c r="M69" s="15">
        <v>9667</v>
      </c>
      <c r="N69" s="15">
        <v>10132</v>
      </c>
      <c r="O69" s="15">
        <v>12612</v>
      </c>
      <c r="P69" s="16">
        <v>13924</v>
      </c>
    </row>
    <row r="70" spans="3:17" x14ac:dyDescent="0.25">
      <c r="C70" s="2" t="s">
        <v>94</v>
      </c>
      <c r="D70" s="15">
        <v>6752</v>
      </c>
      <c r="E70" s="15">
        <v>8279</v>
      </c>
      <c r="F70" s="15">
        <v>9008</v>
      </c>
      <c r="G70" s="15">
        <v>10921</v>
      </c>
      <c r="H70" s="15">
        <v>15838</v>
      </c>
      <c r="I70" s="15">
        <v>15838</v>
      </c>
      <c r="J70" s="15">
        <v>15838</v>
      </c>
      <c r="K70" s="15">
        <v>15838</v>
      </c>
      <c r="L70" s="15">
        <v>2979</v>
      </c>
      <c r="M70" s="15">
        <v>9833</v>
      </c>
      <c r="N70" s="15">
        <v>17863</v>
      </c>
      <c r="O70" s="15">
        <v>10653</v>
      </c>
      <c r="P70" s="16">
        <v>2612</v>
      </c>
    </row>
    <row r="71" spans="3:17" x14ac:dyDescent="0.25">
      <c r="C71" s="2" t="s">
        <v>95</v>
      </c>
      <c r="D71" s="15">
        <v>1936</v>
      </c>
      <c r="E71" s="15">
        <v>3597</v>
      </c>
      <c r="F71" s="15">
        <v>5277</v>
      </c>
      <c r="G71" s="15">
        <v>2727</v>
      </c>
      <c r="H71" s="15">
        <v>2344</v>
      </c>
      <c r="I71" s="15">
        <v>2344</v>
      </c>
      <c r="J71" s="15">
        <v>2344</v>
      </c>
      <c r="K71" s="15">
        <v>2344</v>
      </c>
      <c r="L71" s="15">
        <v>1768</v>
      </c>
      <c r="M71" s="15">
        <v>2360</v>
      </c>
      <c r="N71" s="15">
        <v>2706</v>
      </c>
      <c r="O71" s="15">
        <v>6326</v>
      </c>
      <c r="P71" s="16">
        <v>3626</v>
      </c>
    </row>
    <row r="72" spans="3:17" x14ac:dyDescent="0.25">
      <c r="C72" s="2" t="s">
        <v>96</v>
      </c>
      <c r="D72" s="15">
        <v>13394</v>
      </c>
      <c r="E72" s="15">
        <v>22758</v>
      </c>
      <c r="F72" s="15">
        <v>28465</v>
      </c>
      <c r="G72" s="15">
        <v>12653</v>
      </c>
      <c r="H72" s="15">
        <v>14392</v>
      </c>
      <c r="I72" s="15">
        <v>14392</v>
      </c>
      <c r="J72" s="15">
        <v>14392</v>
      </c>
      <c r="K72" s="15">
        <v>14392</v>
      </c>
      <c r="L72" s="15">
        <v>6324</v>
      </c>
      <c r="M72" s="15">
        <v>52821</v>
      </c>
      <c r="N72" s="15">
        <v>57018</v>
      </c>
      <c r="O72" s="15">
        <v>15655</v>
      </c>
      <c r="P72" s="16">
        <v>38938</v>
      </c>
    </row>
    <row r="73" spans="3:17" x14ac:dyDescent="0.25">
      <c r="C73" s="1" t="s">
        <v>97</v>
      </c>
      <c r="D73" s="13">
        <f t="shared" ref="D73:K73" si="162">SUM(D60:D72)</f>
        <v>197136</v>
      </c>
      <c r="E73" s="13">
        <f t="shared" si="162"/>
        <v>218928</v>
      </c>
      <c r="F73" s="13">
        <f t="shared" si="162"/>
        <v>242836</v>
      </c>
      <c r="G73" s="13">
        <f t="shared" si="162"/>
        <v>241257</v>
      </c>
      <c r="H73" s="13">
        <f t="shared" si="162"/>
        <v>314486</v>
      </c>
      <c r="I73" s="13">
        <f t="shared" si="162"/>
        <v>314486</v>
      </c>
      <c r="J73" s="13">
        <f t="shared" si="162"/>
        <v>314486</v>
      </c>
      <c r="K73" s="13">
        <f t="shared" si="162"/>
        <v>314486</v>
      </c>
      <c r="L73" s="13">
        <f>SUM(L60:L72)</f>
        <v>298921</v>
      </c>
      <c r="M73" s="13">
        <f t="shared" ref="M73:P73" si="163">SUM(M60:M72)</f>
        <v>369383</v>
      </c>
      <c r="N73" s="13">
        <f t="shared" si="163"/>
        <v>397441</v>
      </c>
      <c r="O73" s="13">
        <f t="shared" si="163"/>
        <v>465795</v>
      </c>
      <c r="P73" s="14">
        <f t="shared" si="163"/>
        <v>489162</v>
      </c>
    </row>
    <row r="74" spans="3:17" x14ac:dyDescent="0.25">
      <c r="C74" s="2" t="s">
        <v>98</v>
      </c>
      <c r="D74" s="15">
        <v>462</v>
      </c>
      <c r="E74" s="15">
        <v>456</v>
      </c>
      <c r="F74" s="15">
        <v>456</v>
      </c>
      <c r="G74" s="15">
        <v>456</v>
      </c>
      <c r="H74" s="15">
        <v>451</v>
      </c>
      <c r="I74" s="15">
        <v>451</v>
      </c>
      <c r="J74" s="15">
        <v>451</v>
      </c>
      <c r="K74" s="15">
        <v>451</v>
      </c>
      <c r="L74" s="15">
        <v>451</v>
      </c>
      <c r="M74" s="15">
        <v>446</v>
      </c>
      <c r="N74" s="15">
        <v>446</v>
      </c>
      <c r="O74" s="15">
        <v>446</v>
      </c>
      <c r="P74" s="16">
        <v>446</v>
      </c>
      <c r="Q74" s="1"/>
    </row>
    <row r="75" spans="3:17" x14ac:dyDescent="0.25">
      <c r="C75" s="2" t="s">
        <v>99</v>
      </c>
      <c r="D75" s="15">
        <v>-7</v>
      </c>
      <c r="E75" s="15">
        <v>-3</v>
      </c>
      <c r="F75" s="15">
        <v>-4</v>
      </c>
      <c r="G75" s="15">
        <v>-6</v>
      </c>
      <c r="H75" s="15">
        <v>-5</v>
      </c>
      <c r="I75" s="15">
        <v>-5</v>
      </c>
      <c r="J75" s="15">
        <v>-5</v>
      </c>
      <c r="K75" s="15">
        <v>-5</v>
      </c>
      <c r="L75" s="15">
        <v>-5</v>
      </c>
      <c r="M75" s="15">
        <v>-1</v>
      </c>
      <c r="N75" s="15">
        <v>-1</v>
      </c>
      <c r="O75" s="15">
        <v>-2</v>
      </c>
      <c r="P75" s="16">
        <v>-2</v>
      </c>
    </row>
    <row r="76" spans="3:17" x14ac:dyDescent="0.25">
      <c r="C76" s="2" t="s">
        <v>100</v>
      </c>
      <c r="D76" s="15">
        <v>66612</v>
      </c>
      <c r="E76" s="15">
        <v>73166</v>
      </c>
      <c r="F76" s="15">
        <v>73673</v>
      </c>
      <c r="G76" s="15">
        <v>80587</v>
      </c>
      <c r="H76" s="15">
        <v>104839</v>
      </c>
      <c r="I76" s="15">
        <v>104839</v>
      </c>
      <c r="J76" s="15">
        <v>104839</v>
      </c>
      <c r="K76" s="15">
        <v>104839</v>
      </c>
      <c r="L76" s="15">
        <v>99050</v>
      </c>
      <c r="M76" s="15">
        <v>112150</v>
      </c>
      <c r="N76" s="15">
        <v>121670</v>
      </c>
      <c r="O76" s="15">
        <v>144448</v>
      </c>
      <c r="P76" s="16">
        <v>137319</v>
      </c>
    </row>
    <row r="77" spans="3:17" x14ac:dyDescent="0.25">
      <c r="C77" s="2" t="s">
        <v>101</v>
      </c>
      <c r="D77" s="15">
        <v>-517</v>
      </c>
      <c r="E77" s="15">
        <v>833</v>
      </c>
      <c r="F77" s="15">
        <v>2555</v>
      </c>
      <c r="G77" s="15">
        <v>2449</v>
      </c>
      <c r="H77" s="15">
        <v>1276</v>
      </c>
      <c r="I77" s="15">
        <v>1276</v>
      </c>
      <c r="J77" s="15">
        <v>1276</v>
      </c>
      <c r="K77" s="15">
        <v>1276</v>
      </c>
      <c r="L77" s="15">
        <v>-585</v>
      </c>
      <c r="M77" s="15">
        <v>-73</v>
      </c>
      <c r="N77" s="15">
        <v>-1593</v>
      </c>
      <c r="O77" s="15">
        <v>-1406</v>
      </c>
      <c r="P77" s="16">
        <v>777</v>
      </c>
    </row>
    <row r="78" spans="3:17" x14ac:dyDescent="0.25">
      <c r="C78" s="12" t="s">
        <v>102</v>
      </c>
      <c r="D78" s="17">
        <f t="shared" ref="D78:K78" si="164">SUM(D74:D77)</f>
        <v>66550</v>
      </c>
      <c r="E78" s="17">
        <f t="shared" si="164"/>
        <v>74452</v>
      </c>
      <c r="F78" s="17">
        <f t="shared" si="164"/>
        <v>76680</v>
      </c>
      <c r="G78" s="17">
        <f t="shared" si="164"/>
        <v>83486</v>
      </c>
      <c r="H78" s="17">
        <f t="shared" si="164"/>
        <v>106561</v>
      </c>
      <c r="I78" s="17">
        <f t="shared" si="164"/>
        <v>106561</v>
      </c>
      <c r="J78" s="17">
        <f t="shared" si="164"/>
        <v>106561</v>
      </c>
      <c r="K78" s="17">
        <f t="shared" si="164"/>
        <v>106561</v>
      </c>
      <c r="L78" s="17">
        <f>SUM(L74:L77)</f>
        <v>98911</v>
      </c>
      <c r="M78" s="17">
        <f t="shared" ref="M78:P78" si="165">SUM(M74:M77)</f>
        <v>112522</v>
      </c>
      <c r="N78" s="17">
        <f t="shared" si="165"/>
        <v>120522</v>
      </c>
      <c r="O78" s="17">
        <f t="shared" si="165"/>
        <v>143486</v>
      </c>
      <c r="P78" s="25">
        <f t="shared" si="165"/>
        <v>138540</v>
      </c>
    </row>
    <row r="79" spans="3:17" x14ac:dyDescent="0.25">
      <c r="C79" s="2" t="s">
        <v>103</v>
      </c>
      <c r="D79" s="15">
        <v>24084</v>
      </c>
      <c r="E79" s="15">
        <v>24178</v>
      </c>
      <c r="F79" s="15">
        <v>24136</v>
      </c>
      <c r="G79" s="15">
        <v>24318</v>
      </c>
      <c r="H79" s="15">
        <v>20528</v>
      </c>
      <c r="I79" s="15">
        <v>20528</v>
      </c>
      <c r="J79" s="15">
        <v>20528</v>
      </c>
      <c r="K79" s="15">
        <v>20528</v>
      </c>
      <c r="L79" s="15">
        <v>16764</v>
      </c>
      <c r="M79" s="15">
        <v>51608</v>
      </c>
      <c r="N79" s="15">
        <v>51452</v>
      </c>
      <c r="O79" s="15">
        <v>89674</v>
      </c>
      <c r="P79" s="16">
        <v>96310</v>
      </c>
    </row>
    <row r="80" spans="3:17" x14ac:dyDescent="0.25">
      <c r="C80" s="2" t="s">
        <v>104</v>
      </c>
      <c r="D80" s="15">
        <v>5305</v>
      </c>
      <c r="E80" s="15">
        <v>5217</v>
      </c>
      <c r="F80" s="15">
        <v>5640</v>
      </c>
      <c r="G80" s="15">
        <v>7061</v>
      </c>
      <c r="H80" s="15">
        <v>10162</v>
      </c>
      <c r="I80" s="15">
        <v>10162</v>
      </c>
      <c r="J80" s="15">
        <v>10162</v>
      </c>
      <c r="K80" s="15">
        <v>10162</v>
      </c>
      <c r="L80" s="15">
        <v>9664</v>
      </c>
      <c r="M80" s="15">
        <v>9037</v>
      </c>
      <c r="N80" s="15">
        <v>8655</v>
      </c>
      <c r="O80" s="15">
        <v>5426</v>
      </c>
      <c r="P80" s="16">
        <v>8705</v>
      </c>
    </row>
    <row r="81" spans="3:39" x14ac:dyDescent="0.25">
      <c r="C81" s="2" t="s">
        <v>105</v>
      </c>
      <c r="D81" s="15">
        <v>950</v>
      </c>
      <c r="E81" s="15">
        <v>617</v>
      </c>
      <c r="F81" s="15">
        <v>583</v>
      </c>
      <c r="G81" s="15">
        <v>762</v>
      </c>
      <c r="H81" s="15">
        <v>742</v>
      </c>
      <c r="I81" s="15">
        <v>742</v>
      </c>
      <c r="J81" s="15">
        <v>742</v>
      </c>
      <c r="K81" s="15">
        <v>742</v>
      </c>
      <c r="L81" s="15">
        <v>784</v>
      </c>
      <c r="M81" s="15">
        <v>763</v>
      </c>
      <c r="N81" s="15">
        <v>793</v>
      </c>
      <c r="O81" s="15">
        <v>903</v>
      </c>
      <c r="P81" s="16">
        <v>836</v>
      </c>
    </row>
    <row r="82" spans="3:39" x14ac:dyDescent="0.25">
      <c r="C82" s="2" t="s">
        <v>106</v>
      </c>
      <c r="D82" s="15">
        <v>257</v>
      </c>
      <c r="E82" s="15">
        <v>167</v>
      </c>
      <c r="F82" s="15">
        <v>240</v>
      </c>
      <c r="G82" s="15">
        <v>100</v>
      </c>
      <c r="H82" s="15">
        <v>189</v>
      </c>
      <c r="I82" s="15">
        <v>189</v>
      </c>
      <c r="J82" s="15">
        <v>189</v>
      </c>
      <c r="K82" s="15">
        <v>189</v>
      </c>
      <c r="L82" s="15">
        <v>15</v>
      </c>
      <c r="M82" s="15">
        <v>16</v>
      </c>
      <c r="N82" s="15">
        <v>16</v>
      </c>
      <c r="O82" s="15">
        <v>23</v>
      </c>
      <c r="P82" s="16">
        <v>21</v>
      </c>
    </row>
    <row r="83" spans="3:39" x14ac:dyDescent="0.25">
      <c r="C83" s="2" t="s">
        <v>107</v>
      </c>
      <c r="D83" s="15">
        <v>4388</v>
      </c>
      <c r="E83" s="15">
        <v>4642</v>
      </c>
      <c r="F83" s="15">
        <v>5300</v>
      </c>
      <c r="G83" s="15">
        <v>4590</v>
      </c>
      <c r="H83" s="15">
        <v>6649</v>
      </c>
      <c r="I83" s="15">
        <v>6649</v>
      </c>
      <c r="J83" s="15">
        <v>6649</v>
      </c>
      <c r="K83" s="15">
        <v>6649</v>
      </c>
      <c r="L83" s="15">
        <v>7177</v>
      </c>
      <c r="M83" s="15">
        <v>7528</v>
      </c>
      <c r="N83" s="15">
        <v>7645</v>
      </c>
      <c r="O83" s="15">
        <v>8755</v>
      </c>
      <c r="P83" s="16">
        <v>8633</v>
      </c>
    </row>
    <row r="84" spans="3:39" x14ac:dyDescent="0.25">
      <c r="C84" s="2" t="s">
        <v>103</v>
      </c>
      <c r="D84" s="15">
        <v>1396</v>
      </c>
      <c r="E84" s="15">
        <v>1256</v>
      </c>
      <c r="F84" s="15">
        <v>1833</v>
      </c>
      <c r="G84" s="15">
        <v>1466</v>
      </c>
      <c r="H84" s="15">
        <v>6478</v>
      </c>
      <c r="I84" s="15">
        <v>6478</v>
      </c>
      <c r="J84" s="15">
        <v>6478</v>
      </c>
      <c r="K84" s="15">
        <v>6478</v>
      </c>
      <c r="L84" s="15">
        <v>10164</v>
      </c>
      <c r="M84" s="15">
        <v>5452</v>
      </c>
      <c r="N84" s="15">
        <v>5520</v>
      </c>
      <c r="O84" s="15">
        <v>13113</v>
      </c>
      <c r="P84" s="16">
        <v>22413</v>
      </c>
    </row>
    <row r="85" spans="3:39" x14ac:dyDescent="0.25">
      <c r="C85" s="2" t="s">
        <v>108</v>
      </c>
      <c r="D85" s="15">
        <v>6679</v>
      </c>
      <c r="E85" s="15">
        <v>14654</v>
      </c>
      <c r="F85" s="15">
        <v>8310</v>
      </c>
      <c r="G85" s="15">
        <v>15587</v>
      </c>
      <c r="H85" s="15">
        <v>25606</v>
      </c>
      <c r="I85" s="15">
        <v>25606</v>
      </c>
      <c r="J85" s="15">
        <v>25606</v>
      </c>
      <c r="K85" s="15">
        <v>25606</v>
      </c>
      <c r="L85" s="15">
        <v>13006</v>
      </c>
      <c r="M85" s="2">
        <v>29759</v>
      </c>
      <c r="N85" s="15">
        <v>24079</v>
      </c>
      <c r="O85" s="15">
        <v>28846</v>
      </c>
      <c r="P85" s="16">
        <v>19576</v>
      </c>
    </row>
    <row r="86" spans="3:39" x14ac:dyDescent="0.25">
      <c r="C86" s="2" t="s">
        <v>109</v>
      </c>
      <c r="D86" s="15">
        <v>4606</v>
      </c>
      <c r="E86" s="15">
        <v>3943</v>
      </c>
      <c r="F86" s="15">
        <v>7397</v>
      </c>
      <c r="G86" s="15">
        <v>7091</v>
      </c>
      <c r="H86" s="15">
        <v>7116</v>
      </c>
      <c r="I86" s="15">
        <v>7116</v>
      </c>
      <c r="J86" s="15">
        <v>7116</v>
      </c>
      <c r="K86" s="15">
        <v>7116</v>
      </c>
      <c r="L86" s="15">
        <v>5964</v>
      </c>
      <c r="M86" s="15">
        <v>5906</v>
      </c>
      <c r="N86" s="15">
        <v>14651</v>
      </c>
      <c r="O86" s="15">
        <v>9716</v>
      </c>
      <c r="P86" s="16">
        <v>15501</v>
      </c>
    </row>
    <row r="87" spans="3:39" x14ac:dyDescent="0.25">
      <c r="C87" s="2" t="s">
        <v>106</v>
      </c>
      <c r="D87" s="15">
        <v>21831</v>
      </c>
      <c r="E87" s="15">
        <v>19631</v>
      </c>
      <c r="F87" s="15">
        <v>21389</v>
      </c>
      <c r="G87" s="15">
        <v>23606</v>
      </c>
      <c r="H87" s="15">
        <v>28705</v>
      </c>
      <c r="I87" s="15">
        <v>28705</v>
      </c>
      <c r="J87" s="15">
        <v>28705</v>
      </c>
      <c r="K87" s="15">
        <v>28705</v>
      </c>
      <c r="L87" s="15">
        <v>31425</v>
      </c>
      <c r="M87" s="15">
        <v>29937</v>
      </c>
      <c r="N87" s="15">
        <v>30637</v>
      </c>
      <c r="O87" s="15">
        <v>37993</v>
      </c>
      <c r="P87" s="16">
        <v>58585</v>
      </c>
    </row>
    <row r="88" spans="3:39" x14ac:dyDescent="0.25">
      <c r="C88" s="2" t="s">
        <v>110</v>
      </c>
      <c r="D88" s="15">
        <v>2286</v>
      </c>
      <c r="E88" s="15">
        <v>4383</v>
      </c>
      <c r="F88" s="15">
        <v>6583</v>
      </c>
      <c r="G88" s="15">
        <v>2903</v>
      </c>
      <c r="H88" s="15">
        <v>1272</v>
      </c>
      <c r="I88" s="15">
        <v>1272</v>
      </c>
      <c r="J88" s="15">
        <v>1272</v>
      </c>
      <c r="K88" s="15">
        <v>1272</v>
      </c>
      <c r="L88" s="15">
        <v>2110</v>
      </c>
      <c r="M88" s="15">
        <v>2363</v>
      </c>
      <c r="N88" s="15">
        <v>4481</v>
      </c>
      <c r="O88" s="15">
        <v>7531</v>
      </c>
      <c r="P88" s="16">
        <v>2392</v>
      </c>
    </row>
    <row r="89" spans="3:39" x14ac:dyDescent="0.25">
      <c r="C89" s="2" t="s">
        <v>111</v>
      </c>
      <c r="D89" s="15">
        <v>58804</v>
      </c>
      <c r="E89" s="15">
        <v>65788</v>
      </c>
      <c r="F89" s="15">
        <v>84745</v>
      </c>
      <c r="G89" s="15">
        <v>70287</v>
      </c>
      <c r="H89" s="15">
        <v>100478</v>
      </c>
      <c r="I89" s="15">
        <v>100478</v>
      </c>
      <c r="J89" s="15">
        <v>100478</v>
      </c>
      <c r="K89" s="15">
        <v>100478</v>
      </c>
      <c r="L89" s="15">
        <v>102937</v>
      </c>
      <c r="M89" s="15">
        <v>114492</v>
      </c>
      <c r="N89" s="15">
        <v>128990</v>
      </c>
      <c r="O89" s="15">
        <v>120329</v>
      </c>
      <c r="P89" s="16">
        <v>117650</v>
      </c>
    </row>
    <row r="90" spans="3:39" x14ac:dyDescent="0.25">
      <c r="C90" s="12" t="s">
        <v>112</v>
      </c>
      <c r="D90" s="17">
        <f t="shared" ref="D90:K90" si="166">SUM(D79:D89)</f>
        <v>130586</v>
      </c>
      <c r="E90" s="17">
        <f t="shared" si="166"/>
        <v>144476</v>
      </c>
      <c r="F90" s="17">
        <f t="shared" si="166"/>
        <v>166156</v>
      </c>
      <c r="G90" s="17">
        <f t="shared" si="166"/>
        <v>157771</v>
      </c>
      <c r="H90" s="17">
        <f t="shared" si="166"/>
        <v>207925</v>
      </c>
      <c r="I90" s="17">
        <f t="shared" si="166"/>
        <v>207925</v>
      </c>
      <c r="J90" s="17">
        <f t="shared" si="166"/>
        <v>207925</v>
      </c>
      <c r="K90" s="17">
        <f t="shared" si="166"/>
        <v>207925</v>
      </c>
      <c r="L90" s="17">
        <f>SUM(L79:L89)</f>
        <v>200010</v>
      </c>
      <c r="M90" s="17">
        <f>SUM(M79:M89)</f>
        <v>256861</v>
      </c>
      <c r="N90" s="17">
        <f t="shared" ref="N90:O90" si="167">SUM(N79:N89)</f>
        <v>276919</v>
      </c>
      <c r="O90" s="17">
        <f t="shared" si="167"/>
        <v>322309</v>
      </c>
      <c r="P90" s="25">
        <f t="shared" ref="P90" si="168">SUM(P79:P89)</f>
        <v>350622</v>
      </c>
    </row>
    <row r="91" spans="3:39" x14ac:dyDescent="0.25">
      <c r="C91" s="1" t="s">
        <v>113</v>
      </c>
      <c r="D91" s="13">
        <f t="shared" ref="D91:K91" si="169">D78+D90</f>
        <v>197136</v>
      </c>
      <c r="E91" s="13">
        <f t="shared" si="169"/>
        <v>218928</v>
      </c>
      <c r="F91" s="13">
        <f t="shared" si="169"/>
        <v>242836</v>
      </c>
      <c r="G91" s="13">
        <f t="shared" si="169"/>
        <v>241257</v>
      </c>
      <c r="H91" s="13">
        <f t="shared" si="169"/>
        <v>314486</v>
      </c>
      <c r="I91" s="13">
        <f t="shared" si="169"/>
        <v>314486</v>
      </c>
      <c r="J91" s="13">
        <f t="shared" si="169"/>
        <v>314486</v>
      </c>
      <c r="K91" s="13">
        <f t="shared" si="169"/>
        <v>314486</v>
      </c>
      <c r="L91" s="13">
        <f>L78+L90</f>
        <v>298921</v>
      </c>
      <c r="M91" s="13">
        <f t="shared" ref="M91:O91" si="170">M78+M90</f>
        <v>369383</v>
      </c>
      <c r="N91" s="13">
        <f t="shared" si="170"/>
        <v>397441</v>
      </c>
      <c r="O91" s="13">
        <f t="shared" si="170"/>
        <v>465795</v>
      </c>
      <c r="P91" s="14">
        <f t="shared" ref="P91" si="171">P78+P90</f>
        <v>489162</v>
      </c>
      <c r="Q91" s="12"/>
      <c r="R91" s="12"/>
      <c r="S91" s="12"/>
      <c r="T91" s="12"/>
      <c r="U91" s="12"/>
    </row>
    <row r="92" spans="3:39" x14ac:dyDescent="0.25">
      <c r="C92" s="1"/>
      <c r="D92" s="13"/>
      <c r="E92" s="15"/>
      <c r="F92" s="15"/>
      <c r="G92" s="15"/>
      <c r="H92" s="15"/>
      <c r="I92" s="15"/>
      <c r="J92" s="15"/>
      <c r="K92" s="15"/>
      <c r="L92" s="15"/>
      <c r="M92" s="15"/>
      <c r="N92" s="15"/>
      <c r="P92" s="65"/>
      <c r="Q92" s="1"/>
      <c r="R92" s="1"/>
      <c r="S92" s="1"/>
      <c r="T92" s="1"/>
      <c r="U92" s="1"/>
    </row>
    <row r="93" spans="3:39" x14ac:dyDescent="0.25">
      <c r="C93" s="3" t="s">
        <v>41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3:39" x14ac:dyDescent="0.25">
      <c r="C94" s="2" t="s">
        <v>66</v>
      </c>
      <c r="D94" s="15">
        <f t="shared" ref="D94:P94" si="172">D47</f>
        <v>14210</v>
      </c>
      <c r="E94" s="15">
        <f t="shared" si="172"/>
        <v>13318</v>
      </c>
      <c r="F94" s="15">
        <f t="shared" si="172"/>
        <v>14405</v>
      </c>
      <c r="G94" s="15">
        <f t="shared" si="172"/>
        <v>13592</v>
      </c>
      <c r="H94" s="15">
        <f t="shared" si="172"/>
        <v>19814</v>
      </c>
      <c r="I94" s="15">
        <f t="shared" si="172"/>
        <v>19428</v>
      </c>
      <c r="J94" s="15">
        <f t="shared" si="172"/>
        <v>22478</v>
      </c>
      <c r="K94" s="15">
        <f t="shared" si="172"/>
        <v>21963</v>
      </c>
      <c r="L94" s="15">
        <f t="shared" si="172"/>
        <v>25407</v>
      </c>
      <c r="M94" s="15">
        <f t="shared" si="172"/>
        <v>20050</v>
      </c>
      <c r="N94" s="15">
        <f t="shared" si="172"/>
        <v>27301</v>
      </c>
      <c r="O94" s="15">
        <f t="shared" si="172"/>
        <v>28230</v>
      </c>
      <c r="P94" s="16">
        <f t="shared" si="172"/>
        <v>29034</v>
      </c>
      <c r="W94" s="15">
        <f t="shared" ref="W94:AA94" si="173">W47</f>
        <v>38951</v>
      </c>
      <c r="X94" s="15">
        <f t="shared" si="173"/>
        <v>42138</v>
      </c>
      <c r="Y94" s="15">
        <f t="shared" si="173"/>
        <v>47757</v>
      </c>
      <c r="Z94" s="15">
        <f t="shared" si="173"/>
        <v>55525</v>
      </c>
      <c r="AA94" s="15">
        <f t="shared" si="173"/>
        <v>83683</v>
      </c>
      <c r="AB94" s="15">
        <f>AB47</f>
        <v>100988</v>
      </c>
      <c r="AC94" s="16"/>
      <c r="AD94" s="15"/>
    </row>
    <row r="95" spans="3:39" x14ac:dyDescent="0.25">
      <c r="C95" s="2" t="s">
        <v>67</v>
      </c>
      <c r="D95" s="15">
        <v>14210</v>
      </c>
      <c r="E95" s="15">
        <v>13318</v>
      </c>
      <c r="F95" s="15">
        <v>14405</v>
      </c>
      <c r="G95" s="15">
        <v>13592</v>
      </c>
      <c r="H95" s="15">
        <v>19814</v>
      </c>
      <c r="I95" s="15">
        <v>19428</v>
      </c>
      <c r="J95" s="15">
        <v>22478</v>
      </c>
      <c r="K95" s="63">
        <v>21963</v>
      </c>
      <c r="L95" s="15">
        <v>25407</v>
      </c>
      <c r="M95" s="15">
        <v>20050</v>
      </c>
      <c r="N95" s="15">
        <v>27301</v>
      </c>
      <c r="O95" s="15">
        <v>28230</v>
      </c>
      <c r="P95" s="16">
        <v>29034</v>
      </c>
      <c r="W95" s="15">
        <v>38951</v>
      </c>
      <c r="X95" s="15">
        <v>42138</v>
      </c>
      <c r="Y95" s="15">
        <v>47757</v>
      </c>
      <c r="Z95" s="15">
        <v>55525</v>
      </c>
      <c r="AA95" s="15">
        <v>83683</v>
      </c>
      <c r="AB95" s="15">
        <v>100988</v>
      </c>
      <c r="AC95" s="16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3:39" x14ac:dyDescent="0.25">
      <c r="C96" s="2" t="s">
        <v>69</v>
      </c>
      <c r="D96" s="2">
        <v>3709</v>
      </c>
      <c r="E96" s="15">
        <v>3477</v>
      </c>
      <c r="F96" s="15">
        <v>3627</v>
      </c>
      <c r="G96" s="15">
        <v>2724</v>
      </c>
      <c r="H96" s="15">
        <v>4923</v>
      </c>
      <c r="I96" s="15">
        <v>4826</v>
      </c>
      <c r="J96" s="15">
        <v>5585</v>
      </c>
      <c r="K96" s="63">
        <v>5657</v>
      </c>
      <c r="L96" s="15">
        <v>6511</v>
      </c>
      <c r="M96" s="15">
        <f>11793-6511</f>
        <v>5282</v>
      </c>
      <c r="N96" s="15">
        <v>7083</v>
      </c>
      <c r="O96" s="15">
        <f>26302-L96-M96-N96</f>
        <v>7426</v>
      </c>
      <c r="P96" s="16">
        <v>7999</v>
      </c>
      <c r="W96" s="15">
        <v>9602</v>
      </c>
      <c r="X96" s="15">
        <v>10992</v>
      </c>
      <c r="Y96" s="15">
        <v>11323</v>
      </c>
      <c r="Z96" s="15">
        <v>13537</v>
      </c>
      <c r="AA96" s="15">
        <v>20991</v>
      </c>
      <c r="AB96" s="15">
        <v>26203</v>
      </c>
      <c r="AC96" s="16"/>
      <c r="AD96" s="15"/>
      <c r="AF96" s="15"/>
      <c r="AG96" s="15"/>
      <c r="AH96" s="15"/>
      <c r="AI96" s="15"/>
      <c r="AJ96" s="15"/>
      <c r="AK96" s="15"/>
      <c r="AL96" s="15"/>
      <c r="AM96" s="15"/>
    </row>
    <row r="97" spans="3:39" x14ac:dyDescent="0.25">
      <c r="C97" s="2" t="s">
        <v>70</v>
      </c>
      <c r="D97" s="15">
        <v>1650</v>
      </c>
      <c r="E97" s="15">
        <v>1636</v>
      </c>
      <c r="F97" s="15">
        <v>2041</v>
      </c>
      <c r="G97" s="15">
        <v>2035</v>
      </c>
      <c r="H97" s="15">
        <v>1719</v>
      </c>
      <c r="I97" s="15">
        <v>2177</v>
      </c>
      <c r="J97" s="15">
        <v>2525</v>
      </c>
      <c r="K97" s="63">
        <v>2992</v>
      </c>
      <c r="L97" s="15">
        <v>2914</v>
      </c>
      <c r="M97" s="15">
        <f>11659-L97</f>
        <v>8745</v>
      </c>
      <c r="N97" s="15">
        <v>10415</v>
      </c>
      <c r="O97" s="15">
        <f>19107-L97-M97-N97</f>
        <v>-2967</v>
      </c>
      <c r="P97" s="16">
        <v>3830</v>
      </c>
      <c r="W97" s="15">
        <v>5561</v>
      </c>
      <c r="X97" s="15">
        <v>5753</v>
      </c>
      <c r="Y97" s="15">
        <v>6025</v>
      </c>
      <c r="Z97" s="15">
        <v>7362</v>
      </c>
      <c r="AA97" s="15">
        <v>9413</v>
      </c>
      <c r="AB97" s="15">
        <v>19107</v>
      </c>
      <c r="AC97" s="16"/>
      <c r="AD97" s="15"/>
      <c r="AF97" s="15"/>
      <c r="AG97" s="15"/>
      <c r="AH97" s="15"/>
      <c r="AI97" s="15"/>
      <c r="AJ97" s="15"/>
      <c r="AK97" s="15"/>
      <c r="AL97" s="15"/>
      <c r="AM97" s="15"/>
    </row>
    <row r="98" spans="3:39" x14ac:dyDescent="0.25">
      <c r="C98" s="2" t="s">
        <v>71</v>
      </c>
      <c r="D98" s="15">
        <v>7388</v>
      </c>
      <c r="E98" s="15">
        <v>4417</v>
      </c>
      <c r="F98" s="15">
        <v>16902</v>
      </c>
      <c r="G98" s="15">
        <v>-6397</v>
      </c>
      <c r="H98" s="15">
        <v>20230</v>
      </c>
      <c r="I98" s="15">
        <v>10705</v>
      </c>
      <c r="J98" s="15">
        <v>1987</v>
      </c>
      <c r="K98" s="63">
        <v>-540</v>
      </c>
      <c r="L98" s="15">
        <v>118</v>
      </c>
      <c r="M98" s="15">
        <f>11297-L98</f>
        <v>11179</v>
      </c>
      <c r="N98" s="15">
        <v>18812</v>
      </c>
      <c r="O98" s="15">
        <f>15029-L98-M98-N98</f>
        <v>-15080</v>
      </c>
      <c r="P98" s="16">
        <v>2966</v>
      </c>
      <c r="W98" s="15">
        <v>7032</v>
      </c>
      <c r="X98" s="15">
        <v>7849</v>
      </c>
      <c r="Y98" s="15">
        <v>13009</v>
      </c>
      <c r="Z98" s="15">
        <v>22509</v>
      </c>
      <c r="AA98" s="15">
        <v>33517</v>
      </c>
      <c r="AB98" s="15">
        <v>15029</v>
      </c>
      <c r="AC98" s="16"/>
      <c r="AD98" s="15"/>
      <c r="AF98" s="15"/>
      <c r="AG98" s="15"/>
      <c r="AH98" s="15"/>
      <c r="AI98" s="15"/>
      <c r="AJ98" s="15"/>
      <c r="AK98" s="15"/>
      <c r="AL98" s="15"/>
      <c r="AM98" s="15"/>
    </row>
    <row r="99" spans="3:39" x14ac:dyDescent="0.25">
      <c r="C99" s="2" t="s">
        <v>72</v>
      </c>
      <c r="D99" s="15">
        <v>1893</v>
      </c>
      <c r="E99" s="15">
        <v>4089</v>
      </c>
      <c r="F99" s="15">
        <v>-11010</v>
      </c>
      <c r="G99" s="15">
        <v>-308</v>
      </c>
      <c r="H99" s="15">
        <v>-10216</v>
      </c>
      <c r="I99" s="15">
        <v>-4015</v>
      </c>
      <c r="J99" s="15">
        <v>11669</v>
      </c>
      <c r="K99" s="63">
        <v>-9683</v>
      </c>
      <c r="L99" s="15">
        <v>-8852</v>
      </c>
      <c r="M99" s="15">
        <f>249-L99</f>
        <v>9101</v>
      </c>
      <c r="N99" s="15">
        <v>-11263</v>
      </c>
      <c r="O99" s="15">
        <f>-11995-L99-M99-N99</f>
        <v>-981</v>
      </c>
      <c r="P99" s="16">
        <v>-16428</v>
      </c>
      <c r="W99" s="15">
        <v>-3388</v>
      </c>
      <c r="X99" s="15">
        <v>-4353</v>
      </c>
      <c r="Y99" s="15">
        <v>-8656</v>
      </c>
      <c r="Z99" s="15">
        <v>-5535</v>
      </c>
      <c r="AA99" s="15">
        <v>-13380</v>
      </c>
      <c r="AB99" s="15">
        <v>-11995</v>
      </c>
      <c r="AC99" s="16"/>
      <c r="AD99" s="15"/>
      <c r="AF99" s="15"/>
      <c r="AG99" s="15"/>
      <c r="AH99" s="15"/>
      <c r="AI99" s="15"/>
      <c r="AJ99" s="15"/>
      <c r="AK99" s="15"/>
      <c r="AL99" s="15"/>
      <c r="AM99" s="15"/>
    </row>
    <row r="100" spans="3:39" x14ac:dyDescent="0.25">
      <c r="C100" s="2" t="s">
        <v>73</v>
      </c>
      <c r="D100" s="15">
        <v>48</v>
      </c>
      <c r="E100" s="15">
        <v>61</v>
      </c>
      <c r="F100" s="15">
        <v>39</v>
      </c>
      <c r="G100" s="15">
        <v>128</v>
      </c>
      <c r="H100" s="15">
        <v>188</v>
      </c>
      <c r="I100" s="15">
        <v>221</v>
      </c>
      <c r="J100" s="15">
        <v>290</v>
      </c>
      <c r="K100" s="63">
        <v>373</v>
      </c>
      <c r="L100" s="15">
        <v>480</v>
      </c>
      <c r="M100" s="15">
        <f>547-L100</f>
        <v>67</v>
      </c>
      <c r="N100" s="15">
        <v>524</v>
      </c>
      <c r="O100" s="15">
        <f>1884-L100-M100-N100</f>
        <v>813</v>
      </c>
      <c r="P100" s="16">
        <v>694</v>
      </c>
      <c r="W100" s="15">
        <v>64</v>
      </c>
      <c r="X100" s="15">
        <v>100</v>
      </c>
      <c r="Y100" s="15">
        <v>241</v>
      </c>
      <c r="Z100" s="15">
        <v>276</v>
      </c>
      <c r="AA100" s="15">
        <v>1072</v>
      </c>
      <c r="AB100" s="15">
        <v>1884</v>
      </c>
      <c r="AC100" s="16"/>
      <c r="AD100" s="15"/>
      <c r="AF100" s="15"/>
      <c r="AG100" s="15"/>
      <c r="AH100" s="15"/>
      <c r="AI100" s="15"/>
      <c r="AJ100" s="15"/>
      <c r="AK100" s="15"/>
      <c r="AL100" s="15"/>
      <c r="AM100" s="15"/>
    </row>
    <row r="101" spans="3:39" x14ac:dyDescent="0.25">
      <c r="C101" s="2" t="s">
        <v>74</v>
      </c>
      <c r="D101" s="15">
        <v>-52</v>
      </c>
      <c r="E101" s="15">
        <v>-68</v>
      </c>
      <c r="F101" s="15">
        <v>-66</v>
      </c>
      <c r="G101" s="15">
        <v>-86</v>
      </c>
      <c r="H101" s="15">
        <v>-165</v>
      </c>
      <c r="I101" s="15">
        <v>-97</v>
      </c>
      <c r="J101" s="15">
        <v>-89</v>
      </c>
      <c r="K101" s="63">
        <v>-140</v>
      </c>
      <c r="L101" s="15">
        <v>-140</v>
      </c>
      <c r="M101" s="15">
        <f>-217-L101</f>
        <v>-77</v>
      </c>
      <c r="N101" s="15">
        <v>-142</v>
      </c>
      <c r="O101" s="15">
        <f>-612-L101-M101-N101</f>
        <v>-253</v>
      </c>
      <c r="P101" s="16">
        <v>-833</v>
      </c>
      <c r="W101" s="15">
        <v>-204</v>
      </c>
      <c r="X101" s="15">
        <v>-422</v>
      </c>
      <c r="Y101" s="15">
        <v>-261</v>
      </c>
      <c r="Z101" s="15">
        <v>-272</v>
      </c>
      <c r="AA101" s="15">
        <v>-491</v>
      </c>
      <c r="AB101" s="15">
        <v>-612</v>
      </c>
      <c r="AC101" s="16"/>
      <c r="AD101" s="15"/>
      <c r="AF101" s="15"/>
      <c r="AG101" s="15"/>
      <c r="AH101" s="15"/>
      <c r="AI101" s="15"/>
      <c r="AJ101" s="15"/>
      <c r="AK101" s="15"/>
      <c r="AL101" s="15"/>
      <c r="AM101" s="15"/>
    </row>
    <row r="102" spans="3:39" x14ac:dyDescent="0.25">
      <c r="C102" s="2" t="s">
        <v>75</v>
      </c>
      <c r="D102" s="15">
        <v>-5260</v>
      </c>
      <c r="E102" s="15">
        <v>-2969</v>
      </c>
      <c r="F102" s="15">
        <v>-1699</v>
      </c>
      <c r="G102" s="15">
        <v>-4587</v>
      </c>
      <c r="H102" s="15">
        <v>-6679</v>
      </c>
      <c r="I102" s="15">
        <v>-4668</v>
      </c>
      <c r="J102" s="15">
        <v>-3479</v>
      </c>
      <c r="K102" s="63">
        <v>-11071</v>
      </c>
      <c r="L102" s="15">
        <v>-12124</v>
      </c>
      <c r="M102" s="15">
        <f>-16068-L102</f>
        <v>-3944</v>
      </c>
      <c r="N102" s="15">
        <v>-615</v>
      </c>
      <c r="O102" s="15">
        <f>-29636-L102-M102-N102</f>
        <v>-12953</v>
      </c>
      <c r="P102" s="16">
        <v>-2671</v>
      </c>
      <c r="W102" s="15">
        <v>-10936</v>
      </c>
      <c r="X102" s="15">
        <v>-10106</v>
      </c>
      <c r="Y102" s="15">
        <v>-14438</v>
      </c>
      <c r="Z102" s="15">
        <v>-14515</v>
      </c>
      <c r="AA102" s="15">
        <v>-25897</v>
      </c>
      <c r="AB102" s="15">
        <v>-29636</v>
      </c>
      <c r="AC102" s="16"/>
      <c r="AD102" s="15"/>
      <c r="AF102" s="15"/>
      <c r="AG102" s="15"/>
      <c r="AH102" s="15"/>
      <c r="AI102" s="15"/>
      <c r="AJ102" s="15"/>
      <c r="AK102" s="15"/>
      <c r="AL102" s="15"/>
      <c r="AM102" s="15"/>
    </row>
    <row r="103" spans="3:39" x14ac:dyDescent="0.25">
      <c r="C103" s="1" t="s">
        <v>30</v>
      </c>
      <c r="D103" s="13">
        <f>SUM(D95:D102)</f>
        <v>23586</v>
      </c>
      <c r="E103" s="13">
        <f t="shared" ref="E103:K103" si="174">SUM(E95:E102)</f>
        <v>23961</v>
      </c>
      <c r="F103" s="13">
        <f t="shared" si="174"/>
        <v>24239</v>
      </c>
      <c r="G103" s="13">
        <f t="shared" si="174"/>
        <v>7101</v>
      </c>
      <c r="H103" s="13">
        <f t="shared" si="174"/>
        <v>29814</v>
      </c>
      <c r="I103" s="13">
        <f t="shared" si="174"/>
        <v>28577</v>
      </c>
      <c r="J103" s="13">
        <f t="shared" si="174"/>
        <v>40966</v>
      </c>
      <c r="K103" s="13">
        <f t="shared" si="174"/>
        <v>9551</v>
      </c>
      <c r="L103" s="13">
        <f>SUM(L95:L102)</f>
        <v>14314</v>
      </c>
      <c r="M103" s="13">
        <f t="shared" ref="M103:P103" si="175">SUM(M95:M102)</f>
        <v>50403</v>
      </c>
      <c r="N103" s="13">
        <f t="shared" si="175"/>
        <v>52115</v>
      </c>
      <c r="O103" s="13">
        <f t="shared" si="175"/>
        <v>4235</v>
      </c>
      <c r="P103" s="14">
        <f t="shared" si="175"/>
        <v>24591</v>
      </c>
      <c r="R103" s="15"/>
      <c r="W103" s="13">
        <f t="shared" ref="W103:X103" si="176">SUM(W95:W102)</f>
        <v>46682</v>
      </c>
      <c r="X103" s="13">
        <f t="shared" si="176"/>
        <v>51951</v>
      </c>
      <c r="Y103" s="13">
        <f>SUM(Y95:Y102)</f>
        <v>55000</v>
      </c>
      <c r="Z103" s="13">
        <f t="shared" ref="Z103:AB103" si="177">SUM(Z95:Z102)</f>
        <v>78887</v>
      </c>
      <c r="AA103" s="13">
        <f t="shared" si="177"/>
        <v>108908</v>
      </c>
      <c r="AB103" s="13">
        <f t="shared" si="177"/>
        <v>120968</v>
      </c>
      <c r="AC103" s="16"/>
      <c r="AD103" s="15"/>
      <c r="AF103" s="15"/>
      <c r="AG103" s="15"/>
      <c r="AH103" s="15"/>
      <c r="AI103" s="15"/>
      <c r="AJ103" s="15"/>
      <c r="AK103" s="15"/>
      <c r="AL103" s="15"/>
      <c r="AM103" s="15"/>
    </row>
    <row r="104" spans="3:39" x14ac:dyDescent="0.25"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W104" s="15"/>
      <c r="X104" s="15"/>
      <c r="Y104" s="15"/>
      <c r="Z104" s="15"/>
      <c r="AA104" s="15"/>
      <c r="AB104" s="15"/>
      <c r="AC104" s="16"/>
      <c r="AD104" s="15"/>
      <c r="AF104" s="15"/>
      <c r="AG104" s="15"/>
      <c r="AH104" s="15"/>
      <c r="AI104" s="15"/>
      <c r="AJ104" s="15"/>
      <c r="AK104" s="15"/>
      <c r="AL104" s="15"/>
      <c r="AM104" s="15"/>
    </row>
    <row r="105" spans="3:39" x14ac:dyDescent="0.25">
      <c r="C105" s="2" t="s">
        <v>76</v>
      </c>
      <c r="D105" s="15">
        <v>-260</v>
      </c>
      <c r="E105" s="15">
        <v>-140</v>
      </c>
      <c r="F105" s="15">
        <v>-995</v>
      </c>
      <c r="G105" s="15">
        <v>-1212</v>
      </c>
      <c r="H105" s="15">
        <v>-108</v>
      </c>
      <c r="I105" s="15">
        <v>-1157</v>
      </c>
      <c r="J105" s="15">
        <v>-4796</v>
      </c>
      <c r="K105" s="15">
        <v>-7029</v>
      </c>
      <c r="L105" s="15">
        <v>-535</v>
      </c>
      <c r="M105" s="15">
        <v>-2768</v>
      </c>
      <c r="N105" s="15">
        <v>-385</v>
      </c>
      <c r="O105" s="15">
        <f>-4145-L105-M105-N105</f>
        <v>-457</v>
      </c>
      <c r="P105" s="16">
        <v>-1164</v>
      </c>
      <c r="Q105" s="15"/>
      <c r="R105" s="15"/>
      <c r="S105" s="15"/>
      <c r="T105" s="15"/>
      <c r="U105" s="15"/>
      <c r="W105" s="15">
        <v>-2299</v>
      </c>
      <c r="X105" s="15">
        <f>-16256</f>
        <v>-16256</v>
      </c>
      <c r="Y105" s="15">
        <v>-1050</v>
      </c>
      <c r="Z105" s="15">
        <v>-2607</v>
      </c>
      <c r="AA105" s="15">
        <v>-13090</v>
      </c>
      <c r="AB105" s="15">
        <v>-4145</v>
      </c>
      <c r="AC105" s="16"/>
      <c r="AD105" s="15"/>
      <c r="AF105" s="15"/>
      <c r="AG105" s="15"/>
      <c r="AH105" s="15"/>
      <c r="AI105" s="15"/>
      <c r="AJ105" s="15"/>
      <c r="AK105" s="15"/>
      <c r="AL105" s="15"/>
      <c r="AM105" s="15"/>
    </row>
    <row r="106" spans="3:39" x14ac:dyDescent="0.25">
      <c r="C106" s="2" t="s">
        <v>77</v>
      </c>
      <c r="D106" s="15">
        <v>-1520</v>
      </c>
      <c r="E106" s="15">
        <v>-2435</v>
      </c>
      <c r="F106" s="15">
        <v>-3230</v>
      </c>
      <c r="G106" s="15">
        <v>-4961</v>
      </c>
      <c r="H106" s="15">
        <v>-4693</v>
      </c>
      <c r="I106" s="15">
        <v>-5878</v>
      </c>
      <c r="J106" s="15">
        <v>-5828</v>
      </c>
      <c r="K106" s="15">
        <v>-9407</v>
      </c>
      <c r="L106" s="15">
        <v>-8474</v>
      </c>
      <c r="M106" s="15">
        <v>-10470</v>
      </c>
      <c r="N106" s="15">
        <v>-12118</v>
      </c>
      <c r="O106" s="15">
        <f>-47164-L106-M106-N106</f>
        <v>-16102</v>
      </c>
      <c r="P106" s="16">
        <v>-13422</v>
      </c>
      <c r="Q106" s="15"/>
      <c r="R106" s="15"/>
      <c r="S106" s="15"/>
      <c r="T106" s="15"/>
      <c r="U106" s="15"/>
      <c r="W106" s="15">
        <v>-8932</v>
      </c>
      <c r="X106" s="15">
        <v>-5825</v>
      </c>
      <c r="Y106" s="15">
        <v>-6335</v>
      </c>
      <c r="Z106" s="15">
        <v>-12146</v>
      </c>
      <c r="AA106" s="15">
        <v>-25806</v>
      </c>
      <c r="AB106" s="15">
        <v>-47164</v>
      </c>
      <c r="AC106" s="16"/>
      <c r="AD106" s="15"/>
      <c r="AF106" s="15"/>
      <c r="AG106" s="15"/>
      <c r="AH106" s="15"/>
      <c r="AI106" s="15"/>
      <c r="AJ106" s="15"/>
      <c r="AK106" s="15"/>
      <c r="AL106" s="15"/>
      <c r="AM106" s="15"/>
    </row>
    <row r="107" spans="3:39" x14ac:dyDescent="0.25">
      <c r="C107" s="2" t="s">
        <v>232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2">
        <v>0</v>
      </c>
      <c r="J107" s="15">
        <v>0</v>
      </c>
      <c r="K107" s="15">
        <v>0</v>
      </c>
      <c r="L107" s="15">
        <v>0</v>
      </c>
      <c r="M107" s="15">
        <v>-668</v>
      </c>
      <c r="N107" s="15">
        <v>0</v>
      </c>
      <c r="O107" s="15">
        <f>-82163-L107-M107-N107</f>
        <v>-81495</v>
      </c>
      <c r="P107" s="16">
        <v>0</v>
      </c>
      <c r="Q107" s="15"/>
      <c r="R107" s="15"/>
      <c r="S107" s="15"/>
      <c r="T107" s="15"/>
      <c r="U107" s="15"/>
      <c r="W107" s="15">
        <v>0</v>
      </c>
      <c r="X107" s="15">
        <v>0</v>
      </c>
      <c r="Y107" s="15">
        <v>-18283</v>
      </c>
      <c r="Z107" s="15">
        <v>-7075</v>
      </c>
      <c r="AA107" s="15">
        <v>0</v>
      </c>
      <c r="AB107" s="15">
        <v>-82163</v>
      </c>
      <c r="AC107" s="16"/>
      <c r="AD107" s="15"/>
      <c r="AF107" s="15"/>
      <c r="AG107" s="15"/>
      <c r="AH107" s="15"/>
      <c r="AI107" s="15"/>
      <c r="AJ107" s="15"/>
      <c r="AK107" s="15"/>
      <c r="AL107" s="15"/>
      <c r="AM107" s="15"/>
    </row>
    <row r="108" spans="3:39" x14ac:dyDescent="0.25">
      <c r="C108" s="2" t="s">
        <v>233</v>
      </c>
      <c r="D108" s="15">
        <v>-127</v>
      </c>
      <c r="E108" s="15">
        <v>-1625</v>
      </c>
      <c r="F108" s="15">
        <v>-736</v>
      </c>
      <c r="G108" s="15">
        <v>-1846</v>
      </c>
      <c r="H108" s="15">
        <v>-1846</v>
      </c>
      <c r="I108" s="15">
        <v>-2250</v>
      </c>
      <c r="J108" s="15">
        <v>-2619</v>
      </c>
      <c r="K108" s="15">
        <v>1719</v>
      </c>
      <c r="L108" s="15">
        <v>12965</v>
      </c>
      <c r="M108" s="15">
        <v>-6825</v>
      </c>
      <c r="N108" s="15">
        <f>-8401</f>
        <v>-8401</v>
      </c>
      <c r="O108" s="15">
        <f>(0-786-19028+24391)-L108-M108-N108</f>
        <v>6838</v>
      </c>
      <c r="P108" s="16">
        <f>-115+8028</f>
        <v>7913</v>
      </c>
      <c r="Q108" s="15"/>
      <c r="R108" s="15"/>
      <c r="S108" s="15"/>
      <c r="T108" s="15"/>
      <c r="U108" s="15"/>
      <c r="W108" s="15">
        <f>4+148-350-97-3+20</f>
        <v>-278</v>
      </c>
      <c r="X108" s="15">
        <f>7+12-392+18</f>
        <v>-355</v>
      </c>
      <c r="Y108" s="15">
        <f>-4-7109+1172+4</f>
        <v>-5937</v>
      </c>
      <c r="Z108" s="15">
        <f>0-169-9566+6645</f>
        <v>-3090</v>
      </c>
      <c r="AA108" s="15">
        <f>33-271-13013+8260</f>
        <v>-4991</v>
      </c>
      <c r="AB108" s="15">
        <f>0-786-19028+24391</f>
        <v>4577</v>
      </c>
      <c r="AC108" s="16"/>
      <c r="AD108" s="15"/>
      <c r="AF108" s="15"/>
      <c r="AG108" s="15"/>
      <c r="AH108" s="15"/>
      <c r="AI108" s="15"/>
      <c r="AJ108" s="15"/>
      <c r="AK108" s="15"/>
      <c r="AL108" s="15"/>
      <c r="AM108" s="15"/>
    </row>
    <row r="109" spans="3:39" x14ac:dyDescent="0.25">
      <c r="C109" s="1" t="s">
        <v>32</v>
      </c>
      <c r="D109" s="13">
        <f t="shared" ref="D109:P109" si="178">SUM(D105:D108)</f>
        <v>-1907</v>
      </c>
      <c r="E109" s="13">
        <f t="shared" si="178"/>
        <v>-4200</v>
      </c>
      <c r="F109" s="13">
        <f t="shared" si="178"/>
        <v>-4961</v>
      </c>
      <c r="G109" s="13">
        <f t="shared" si="178"/>
        <v>-8019</v>
      </c>
      <c r="H109" s="13">
        <f t="shared" si="178"/>
        <v>-6647</v>
      </c>
      <c r="I109" s="13">
        <f t="shared" si="178"/>
        <v>-9285</v>
      </c>
      <c r="J109" s="13">
        <f t="shared" si="178"/>
        <v>-13243</v>
      </c>
      <c r="K109" s="13">
        <f t="shared" si="178"/>
        <v>-14717</v>
      </c>
      <c r="L109" s="13">
        <f t="shared" si="178"/>
        <v>3956</v>
      </c>
      <c r="M109" s="13">
        <f t="shared" si="178"/>
        <v>-20731</v>
      </c>
      <c r="N109" s="13">
        <f t="shared" si="178"/>
        <v>-20904</v>
      </c>
      <c r="O109" s="13">
        <f t="shared" si="178"/>
        <v>-91216</v>
      </c>
      <c r="P109" s="14">
        <f t="shared" si="178"/>
        <v>-6673</v>
      </c>
      <c r="Q109" s="15"/>
      <c r="W109" s="13">
        <f t="shared" ref="W109:AB109" si="179">SUM(W105:W108)</f>
        <v>-11509</v>
      </c>
      <c r="X109" s="13">
        <f t="shared" si="179"/>
        <v>-22436</v>
      </c>
      <c r="Y109" s="13">
        <f t="shared" si="179"/>
        <v>-31605</v>
      </c>
      <c r="Z109" s="13">
        <f t="shared" si="179"/>
        <v>-24918</v>
      </c>
      <c r="AA109" s="13">
        <f t="shared" si="179"/>
        <v>-43887</v>
      </c>
      <c r="AB109" s="13">
        <f t="shared" si="179"/>
        <v>-128895</v>
      </c>
      <c r="AC109" s="16"/>
      <c r="AD109" s="15"/>
      <c r="AF109" s="15"/>
      <c r="AG109" s="15"/>
      <c r="AH109" s="15"/>
      <c r="AI109" s="15"/>
      <c r="AJ109" s="15"/>
      <c r="AK109" s="15"/>
      <c r="AL109" s="15"/>
      <c r="AM109" s="15"/>
    </row>
    <row r="110" spans="3:39" x14ac:dyDescent="0.25"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65"/>
      <c r="Q110" s="1"/>
      <c r="W110" s="15"/>
      <c r="X110" s="15"/>
      <c r="Y110" s="15"/>
      <c r="Z110" s="15"/>
      <c r="AA110" s="15"/>
      <c r="AB110" s="15"/>
      <c r="AC110" s="16"/>
      <c r="AD110" s="15"/>
      <c r="AF110" s="15"/>
      <c r="AG110" s="15"/>
      <c r="AH110" s="15"/>
      <c r="AI110" s="15"/>
      <c r="AJ110" s="15"/>
      <c r="AK110" s="15"/>
      <c r="AL110" s="15"/>
      <c r="AM110" s="15"/>
    </row>
    <row r="111" spans="3:39" x14ac:dyDescent="0.25">
      <c r="C111" s="2" t="s">
        <v>78</v>
      </c>
      <c r="D111" s="15">
        <v>-4477</v>
      </c>
      <c r="E111" s="15">
        <v>-7450</v>
      </c>
      <c r="F111" s="15">
        <v>-4620</v>
      </c>
      <c r="G111" s="15">
        <v>-7539</v>
      </c>
      <c r="H111" s="15">
        <v>-5199</v>
      </c>
      <c r="I111" s="15">
        <v>-8823</v>
      </c>
      <c r="J111" s="15">
        <v>-6141</v>
      </c>
      <c r="K111" s="15">
        <v>-9761</v>
      </c>
      <c r="L111" s="15">
        <v>-2836</v>
      </c>
      <c r="M111" s="15">
        <v>-7449</v>
      </c>
      <c r="N111" s="15">
        <v>-2405</v>
      </c>
      <c r="O111" s="15">
        <f>-20181-L111-M111-N111</f>
        <v>-7491</v>
      </c>
      <c r="P111" s="16">
        <v>-1388</v>
      </c>
      <c r="Q111" s="15"/>
      <c r="R111" s="15"/>
      <c r="S111" s="15"/>
      <c r="T111" s="15"/>
      <c r="U111" s="15"/>
      <c r="W111" s="15">
        <v>-15334</v>
      </c>
      <c r="X111" s="15">
        <v>-16855</v>
      </c>
      <c r="Y111" s="15">
        <v>-19447</v>
      </c>
      <c r="Z111" s="15">
        <v>-24086</v>
      </c>
      <c r="AA111" s="15">
        <v>-29924</v>
      </c>
      <c r="AB111" s="15">
        <v>-20181</v>
      </c>
      <c r="AC111" s="16"/>
      <c r="AD111" s="15"/>
      <c r="AF111" s="15"/>
      <c r="AG111" s="15"/>
      <c r="AH111" s="15"/>
      <c r="AI111" s="15"/>
      <c r="AJ111" s="15"/>
      <c r="AK111" s="15"/>
      <c r="AL111" s="15"/>
      <c r="AM111" s="15"/>
    </row>
    <row r="112" spans="3:39" x14ac:dyDescent="0.25">
      <c r="C112" s="2" t="s">
        <v>79</v>
      </c>
      <c r="D112" s="15">
        <v>-15690</v>
      </c>
      <c r="E112" s="15">
        <v>0</v>
      </c>
      <c r="F112" s="15">
        <v>-9613</v>
      </c>
      <c r="G112" s="15">
        <v>0</v>
      </c>
      <c r="H112" s="15">
        <v>-18337</v>
      </c>
      <c r="I112" s="15">
        <v>0</v>
      </c>
      <c r="J112" s="15">
        <v>-13430</v>
      </c>
      <c r="K112" s="15">
        <v>0</v>
      </c>
      <c r="L112" s="15">
        <v>-28557</v>
      </c>
      <c r="M112" s="15">
        <v>0</v>
      </c>
      <c r="N112" s="15">
        <v>-15583</v>
      </c>
      <c r="O112" s="15">
        <f>-44140-L112-M112-N112</f>
        <v>0</v>
      </c>
      <c r="P112" s="16">
        <f>-35274+20244+6538</f>
        <v>-8492</v>
      </c>
      <c r="Q112" s="15"/>
      <c r="R112" s="15"/>
      <c r="S112" s="15"/>
      <c r="T112" s="15"/>
      <c r="U112" s="15"/>
      <c r="W112" s="15">
        <v>-19409</v>
      </c>
      <c r="X112" s="15">
        <v>-20121</v>
      </c>
      <c r="Y112" s="15">
        <v>-21517</v>
      </c>
      <c r="Z112" s="15">
        <v>-25303</v>
      </c>
      <c r="AA112" s="15">
        <v>-31767</v>
      </c>
      <c r="AB112" s="15">
        <v>-44140</v>
      </c>
      <c r="AC112" s="16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3:39" x14ac:dyDescent="0.25">
      <c r="C113" s="2" t="s">
        <v>80</v>
      </c>
      <c r="D113" s="15">
        <f>11120+30</f>
        <v>11150</v>
      </c>
      <c r="E113" s="15">
        <v>-244</v>
      </c>
      <c r="F113" s="15">
        <v>-330</v>
      </c>
      <c r="G113" s="15">
        <v>-129</v>
      </c>
      <c r="H113" s="15">
        <v>-478</v>
      </c>
      <c r="I113" s="15">
        <v>-373</v>
      </c>
      <c r="J113" s="15">
        <v>-261</v>
      </c>
      <c r="K113" s="15">
        <v>-355</v>
      </c>
      <c r="L113" s="15">
        <v>-317</v>
      </c>
      <c r="M113" s="15">
        <v>29460</v>
      </c>
      <c r="N113" s="15">
        <v>-413</v>
      </c>
      <c r="O113" s="15">
        <f>79391-L113-M113-N113</f>
        <v>50661</v>
      </c>
      <c r="P113" s="16">
        <v>27363</v>
      </c>
      <c r="Q113" s="15"/>
      <c r="R113" s="15"/>
      <c r="S113" s="15"/>
      <c r="T113" s="15"/>
      <c r="U113" s="15"/>
      <c r="W113" s="15">
        <v>81</v>
      </c>
      <c r="X113" s="15">
        <v>5682</v>
      </c>
      <c r="Y113" s="15">
        <v>22160</v>
      </c>
      <c r="Z113" s="15">
        <v>11215</v>
      </c>
      <c r="AA113" s="15">
        <v>0</v>
      </c>
      <c r="AB113" s="15">
        <v>79391</v>
      </c>
      <c r="AC113" s="16"/>
      <c r="AD113" s="15"/>
      <c r="AF113" s="15"/>
      <c r="AG113" s="15"/>
      <c r="AH113" s="15"/>
      <c r="AI113" s="15"/>
      <c r="AJ113" s="15"/>
      <c r="AK113" s="15"/>
      <c r="AL113" s="15"/>
      <c r="AM113" s="15"/>
    </row>
    <row r="114" spans="3:39" x14ac:dyDescent="0.25">
      <c r="C114" s="2" t="s">
        <v>81</v>
      </c>
      <c r="D114" s="15">
        <f>-12855+2737</f>
        <v>-10118</v>
      </c>
      <c r="E114" s="15">
        <v>-2737</v>
      </c>
      <c r="F114" s="15">
        <v>0</v>
      </c>
      <c r="G114" s="15">
        <v>0</v>
      </c>
      <c r="H114" s="15">
        <v>3393</v>
      </c>
      <c r="I114" s="15">
        <v>-3393</v>
      </c>
      <c r="J114" s="15">
        <v>0</v>
      </c>
      <c r="K114" s="15">
        <v>0</v>
      </c>
      <c r="L114" s="15">
        <v>5328</v>
      </c>
      <c r="M114" s="15">
        <v>-5328</v>
      </c>
      <c r="N114" s="15">
        <v>0</v>
      </c>
      <c r="O114" s="15">
        <f>-6335-L114-M114-N114</f>
        <v>-6335</v>
      </c>
      <c r="P114" s="16">
        <v>-12032</v>
      </c>
      <c r="Q114" s="15"/>
      <c r="R114" s="15"/>
      <c r="S114" s="15"/>
      <c r="T114" s="15"/>
      <c r="U114" s="15"/>
      <c r="W114" s="15">
        <v>-822</v>
      </c>
      <c r="X114" s="15">
        <v>-950</v>
      </c>
      <c r="Y114" s="15">
        <v>-6689</v>
      </c>
      <c r="Z114" s="15">
        <v>-13623</v>
      </c>
      <c r="AA114" s="15">
        <v>-1467</v>
      </c>
      <c r="AB114" s="15">
        <v>-6335</v>
      </c>
      <c r="AC114" s="16"/>
      <c r="AD114" s="15"/>
      <c r="AF114" s="15"/>
      <c r="AG114" s="15"/>
      <c r="AH114" s="15"/>
      <c r="AI114" s="15"/>
      <c r="AJ114" s="15"/>
      <c r="AK114" s="15"/>
      <c r="AL114" s="15"/>
      <c r="AM114" s="15"/>
    </row>
    <row r="115" spans="3:39" x14ac:dyDescent="0.25">
      <c r="C115" s="1" t="s">
        <v>31</v>
      </c>
      <c r="D115" s="13">
        <f t="shared" ref="D115:K115" si="180">SUM(D111:D114)</f>
        <v>-19135</v>
      </c>
      <c r="E115" s="13">
        <f t="shared" si="180"/>
        <v>-10431</v>
      </c>
      <c r="F115" s="13">
        <f t="shared" si="180"/>
        <v>-14563</v>
      </c>
      <c r="G115" s="13">
        <f t="shared" si="180"/>
        <v>-7668</v>
      </c>
      <c r="H115" s="13">
        <f t="shared" si="180"/>
        <v>-20621</v>
      </c>
      <c r="I115" s="13">
        <f t="shared" si="180"/>
        <v>-12589</v>
      </c>
      <c r="J115" s="13">
        <f t="shared" si="180"/>
        <v>-19832</v>
      </c>
      <c r="K115" s="13">
        <f t="shared" si="180"/>
        <v>-10116</v>
      </c>
      <c r="L115" s="13">
        <f>SUM(L111:L114)</f>
        <v>-26382</v>
      </c>
      <c r="M115" s="13">
        <f t="shared" ref="M115:N115" si="181">SUM(M111:M114)</f>
        <v>16683</v>
      </c>
      <c r="N115" s="13">
        <f t="shared" si="181"/>
        <v>-18401</v>
      </c>
      <c r="O115" s="13">
        <f>SUM(O111:O114)</f>
        <v>36835</v>
      </c>
      <c r="P115" s="14">
        <f>SUM(P111:P114)</f>
        <v>5451</v>
      </c>
      <c r="W115" s="13">
        <f t="shared" ref="W115:X115" si="182">SUM(W111:W114)</f>
        <v>-35484</v>
      </c>
      <c r="X115" s="13">
        <f t="shared" si="182"/>
        <v>-32244</v>
      </c>
      <c r="Y115" s="13">
        <f>SUM(Y111:Y114)</f>
        <v>-25493</v>
      </c>
      <c r="Z115" s="13">
        <f t="shared" ref="Z115:AB115" si="183">SUM(Z111:Z114)</f>
        <v>-51797</v>
      </c>
      <c r="AA115" s="13">
        <f t="shared" si="183"/>
        <v>-63158</v>
      </c>
      <c r="AB115" s="13">
        <f t="shared" si="183"/>
        <v>8735</v>
      </c>
      <c r="AC115" s="16"/>
      <c r="AD115" s="15"/>
      <c r="AF115" s="15"/>
      <c r="AG115" s="15"/>
      <c r="AH115" s="15"/>
      <c r="AI115" s="15"/>
      <c r="AJ115" s="15"/>
      <c r="AK115" s="15"/>
      <c r="AL115" s="15"/>
      <c r="AM115" s="15"/>
    </row>
    <row r="116" spans="3:39" x14ac:dyDescent="0.25">
      <c r="D116" s="15"/>
      <c r="E116" s="15"/>
      <c r="F116" s="15"/>
      <c r="G116" s="15"/>
      <c r="H116" s="15"/>
      <c r="I116" s="15"/>
      <c r="J116" s="15"/>
      <c r="K116" s="15"/>
      <c r="M116" s="15"/>
      <c r="N116" s="15"/>
      <c r="O116" s="15"/>
      <c r="W116" s="15"/>
      <c r="X116" s="15"/>
      <c r="Y116" s="15"/>
      <c r="Z116" s="15"/>
      <c r="AA116" s="15"/>
      <c r="AB116" s="15"/>
      <c r="AC116" s="16"/>
      <c r="AD116" s="15"/>
      <c r="AF116" s="15"/>
      <c r="AG116" s="15"/>
      <c r="AH116" s="15"/>
      <c r="AI116" s="15"/>
      <c r="AJ116" s="15"/>
      <c r="AK116" s="15"/>
      <c r="AL116" s="15"/>
      <c r="AM116" s="15"/>
    </row>
    <row r="117" spans="3:39" x14ac:dyDescent="0.25">
      <c r="C117" s="2" t="s">
        <v>82</v>
      </c>
      <c r="D117" s="15">
        <v>-55</v>
      </c>
      <c r="E117" s="15"/>
      <c r="F117" s="15"/>
      <c r="G117" s="15"/>
      <c r="H117" s="15">
        <v>-263</v>
      </c>
      <c r="I117" s="15"/>
      <c r="J117" s="15"/>
      <c r="K117" s="15"/>
      <c r="L117" s="15">
        <v>44</v>
      </c>
      <c r="M117" s="15"/>
      <c r="N117" s="15"/>
      <c r="O117" s="15"/>
      <c r="P117" s="4">
        <v>-86</v>
      </c>
      <c r="W117" s="15">
        <v>-7</v>
      </c>
      <c r="X117" s="15">
        <v>-456</v>
      </c>
      <c r="Y117" s="15">
        <v>591</v>
      </c>
      <c r="Z117" s="15">
        <v>-238</v>
      </c>
      <c r="AA117" s="15">
        <v>-119</v>
      </c>
      <c r="AB117" s="15">
        <v>455</v>
      </c>
      <c r="AC117" s="16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3:39" x14ac:dyDescent="0.25"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W118" s="15"/>
      <c r="X118" s="15"/>
      <c r="Y118" s="15"/>
      <c r="Z118" s="15"/>
      <c r="AA118" s="15"/>
      <c r="AB118" s="15"/>
      <c r="AC118" s="16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3:39" x14ac:dyDescent="0.25">
      <c r="C119" s="2" t="s">
        <v>83</v>
      </c>
      <c r="D119" s="15">
        <f t="shared" ref="D119:O119" si="184">D103+D109+D115+D117</f>
        <v>2489</v>
      </c>
      <c r="E119" s="15">
        <f t="shared" si="184"/>
        <v>9330</v>
      </c>
      <c r="F119" s="15">
        <f t="shared" si="184"/>
        <v>4715</v>
      </c>
      <c r="G119" s="15">
        <f t="shared" si="184"/>
        <v>-8586</v>
      </c>
      <c r="H119" s="15">
        <f t="shared" si="184"/>
        <v>2283</v>
      </c>
      <c r="I119" s="15">
        <f t="shared" si="184"/>
        <v>6703</v>
      </c>
      <c r="J119" s="15">
        <f t="shared" si="184"/>
        <v>7891</v>
      </c>
      <c r="K119" s="15">
        <f t="shared" si="184"/>
        <v>-15282</v>
      </c>
      <c r="L119" s="15">
        <f t="shared" si="184"/>
        <v>-8068</v>
      </c>
      <c r="M119" s="15">
        <f t="shared" si="184"/>
        <v>46355</v>
      </c>
      <c r="N119" s="15">
        <f t="shared" si="184"/>
        <v>12810</v>
      </c>
      <c r="O119" s="15">
        <f t="shared" si="184"/>
        <v>-50146</v>
      </c>
      <c r="P119" s="16">
        <f t="shared" ref="P119" si="185">P103+P109+P115+P117</f>
        <v>23283</v>
      </c>
      <c r="W119" s="15">
        <f t="shared" ref="W119:AB119" si="186">W103+W109+W115+W117</f>
        <v>-318</v>
      </c>
      <c r="X119" s="15">
        <f t="shared" si="186"/>
        <v>-3185</v>
      </c>
      <c r="Y119" s="15">
        <f t="shared" si="186"/>
        <v>-1507</v>
      </c>
      <c r="Z119" s="15">
        <f t="shared" si="186"/>
        <v>1934</v>
      </c>
      <c r="AA119" s="15">
        <f t="shared" si="186"/>
        <v>1744</v>
      </c>
      <c r="AB119" s="15">
        <f t="shared" si="186"/>
        <v>1263</v>
      </c>
      <c r="AC119" s="16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3:39" x14ac:dyDescent="0.25"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6"/>
      <c r="W120" s="15"/>
      <c r="X120" s="15"/>
      <c r="Y120" s="15"/>
      <c r="Z120" s="15"/>
      <c r="AA120" s="15"/>
      <c r="AB120" s="15"/>
      <c r="AC120" s="16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3:39" x14ac:dyDescent="0.25">
      <c r="C121" s="2" t="s">
        <v>84</v>
      </c>
      <c r="D121" s="15">
        <f t="shared" ref="D121:N121" si="187">SUM(D103:D107)</f>
        <v>21806</v>
      </c>
      <c r="E121" s="15">
        <f t="shared" si="187"/>
        <v>21386</v>
      </c>
      <c r="F121" s="15">
        <f t="shared" si="187"/>
        <v>20014</v>
      </c>
      <c r="G121" s="15">
        <f t="shared" si="187"/>
        <v>928</v>
      </c>
      <c r="H121" s="15">
        <f t="shared" si="187"/>
        <v>25013</v>
      </c>
      <c r="I121" s="15">
        <f t="shared" si="187"/>
        <v>21542</v>
      </c>
      <c r="J121" s="15">
        <f t="shared" si="187"/>
        <v>30342</v>
      </c>
      <c r="K121" s="15">
        <f t="shared" si="187"/>
        <v>-6885</v>
      </c>
      <c r="L121" s="15">
        <f t="shared" si="187"/>
        <v>5305</v>
      </c>
      <c r="M121" s="15">
        <f t="shared" si="187"/>
        <v>36497</v>
      </c>
      <c r="N121" s="15">
        <f t="shared" si="187"/>
        <v>39612</v>
      </c>
      <c r="O121" s="15">
        <f>SUM(O103:O107)</f>
        <v>-93819</v>
      </c>
      <c r="P121" s="16">
        <f>SUM(P103:P107)</f>
        <v>10005</v>
      </c>
      <c r="W121" s="15">
        <f t="shared" ref="W121:Z121" si="188">SUM(W103:W107)</f>
        <v>35451</v>
      </c>
      <c r="X121" s="15">
        <f t="shared" si="188"/>
        <v>29870</v>
      </c>
      <c r="Y121" s="15">
        <f t="shared" si="188"/>
        <v>29332</v>
      </c>
      <c r="Z121" s="15">
        <f t="shared" si="188"/>
        <v>57059</v>
      </c>
      <c r="AA121" s="15">
        <f>SUM(AA103:AA107)</f>
        <v>70012</v>
      </c>
      <c r="AB121" s="15">
        <f>SUM(AB103:AB107)</f>
        <v>-12504</v>
      </c>
      <c r="AC121" s="16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3:39" x14ac:dyDescent="0.25"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3:39" x14ac:dyDescent="0.25"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3:39" x14ac:dyDescent="0.25"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3:39" x14ac:dyDescent="0.25"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3:39" x14ac:dyDescent="0.25"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3:39" x14ac:dyDescent="0.25"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3:39" x14ac:dyDescent="0.25"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4:39" x14ac:dyDescent="0.25"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4:39" x14ac:dyDescent="0.25"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AC130" s="16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4:39" x14ac:dyDescent="0.25">
      <c r="W131" s="15"/>
      <c r="X131" s="15"/>
      <c r="Y131" s="15"/>
      <c r="Z131" s="15"/>
      <c r="AA131" s="15"/>
      <c r="AB131" s="15"/>
      <c r="AC131" s="16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4:39" x14ac:dyDescent="0.25">
      <c r="W132" s="15"/>
      <c r="X132" s="15"/>
      <c r="Y132" s="15"/>
      <c r="Z132" s="15"/>
      <c r="AA132" s="15"/>
      <c r="AB132" s="15"/>
      <c r="AC132" s="16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4:39" x14ac:dyDescent="0.25">
      <c r="W133" s="15"/>
      <c r="X133" s="15"/>
      <c r="Y133" s="15"/>
      <c r="Z133" s="15"/>
      <c r="AA133" s="15"/>
      <c r="AB133" s="15"/>
      <c r="AC133" s="16"/>
      <c r="AD133" s="15"/>
      <c r="AE133" s="15"/>
    </row>
    <row r="134" spans="4:39" x14ac:dyDescent="0.25">
      <c r="W134" s="15"/>
      <c r="X134" s="15"/>
      <c r="Y134" s="15"/>
      <c r="Z134" s="15"/>
      <c r="AA134" s="15"/>
      <c r="AB134" s="15"/>
      <c r="AE134" s="15"/>
    </row>
    <row r="135" spans="4:39" x14ac:dyDescent="0.25">
      <c r="AE135" s="15"/>
    </row>
    <row r="136" spans="4:39" x14ac:dyDescent="0.25">
      <c r="AE136" s="15"/>
    </row>
    <row r="137" spans="4:39" x14ac:dyDescent="0.25">
      <c r="AE137" s="15"/>
    </row>
    <row r="138" spans="4:39" x14ac:dyDescent="0.25">
      <c r="AE138" s="15"/>
    </row>
    <row r="139" spans="4:39" x14ac:dyDescent="0.25">
      <c r="AE139" s="15"/>
    </row>
    <row r="140" spans="4:39" x14ac:dyDescent="0.25">
      <c r="AE140" s="15"/>
    </row>
    <row r="141" spans="4:39" x14ac:dyDescent="0.25">
      <c r="AE141" s="15"/>
    </row>
    <row r="142" spans="4:39" x14ac:dyDescent="0.25">
      <c r="AE142" s="15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V19"/>
  <sheetViews>
    <sheetView showGridLines="0" workbookViewId="0">
      <selection activeCell="O28" sqref="O28"/>
    </sheetView>
  </sheetViews>
  <sheetFormatPr baseColWidth="10" defaultRowHeight="19" x14ac:dyDescent="0.25"/>
  <cols>
    <col min="1" max="1" width="5" style="2" customWidth="1"/>
    <col min="2" max="2" width="25.83203125" style="2" customWidth="1"/>
    <col min="3" max="3" width="9.83203125" style="2" customWidth="1"/>
    <col min="4" max="4" width="8.83203125" style="2" customWidth="1"/>
    <col min="5" max="5" width="11.1640625" style="2" customWidth="1"/>
    <col min="6" max="7" width="10.5" style="2" customWidth="1"/>
    <col min="8" max="16384" width="10.83203125" style="2"/>
  </cols>
  <sheetData>
    <row r="4" spans="2:22" x14ac:dyDescent="0.25">
      <c r="B4" s="2" t="s">
        <v>35</v>
      </c>
      <c r="C4" s="7" t="s">
        <v>2</v>
      </c>
      <c r="D4" s="7" t="s">
        <v>3</v>
      </c>
      <c r="E4" s="7" t="s">
        <v>4</v>
      </c>
      <c r="F4" s="7" t="s">
        <v>5</v>
      </c>
      <c r="G4" s="76">
        <v>2022</v>
      </c>
      <c r="H4" s="7" t="s">
        <v>6</v>
      </c>
      <c r="I4" s="7" t="s">
        <v>7</v>
      </c>
      <c r="J4" s="7" t="s">
        <v>8</v>
      </c>
      <c r="K4" s="7" t="s">
        <v>9</v>
      </c>
      <c r="L4" s="76">
        <v>2023</v>
      </c>
      <c r="M4" s="7" t="s">
        <v>10</v>
      </c>
      <c r="N4" s="7" t="s">
        <v>11</v>
      </c>
      <c r="O4" s="7" t="s">
        <v>12</v>
      </c>
      <c r="P4" s="7" t="s">
        <v>13</v>
      </c>
      <c r="Q4" s="76">
        <v>2024</v>
      </c>
      <c r="R4" s="7" t="s">
        <v>57</v>
      </c>
      <c r="S4" s="7" t="s">
        <v>58</v>
      </c>
      <c r="T4" s="7" t="s">
        <v>59</v>
      </c>
      <c r="U4" s="7" t="s">
        <v>60</v>
      </c>
      <c r="V4" s="83">
        <v>2025</v>
      </c>
    </row>
    <row r="5" spans="2:22" x14ac:dyDescent="0.25">
      <c r="B5" s="1" t="s">
        <v>243</v>
      </c>
      <c r="G5" s="77"/>
      <c r="L5" s="83"/>
      <c r="Q5" s="83"/>
      <c r="V5" s="83"/>
    </row>
    <row r="6" spans="2:22" x14ac:dyDescent="0.25">
      <c r="B6" s="2" t="s">
        <v>244</v>
      </c>
      <c r="C6" s="15"/>
      <c r="D6" s="15"/>
      <c r="E6" s="15"/>
      <c r="F6" s="15"/>
      <c r="G6" s="78"/>
      <c r="H6" s="15"/>
      <c r="I6" s="15"/>
      <c r="J6" s="15"/>
      <c r="K6" s="15"/>
      <c r="L6" s="84"/>
      <c r="M6" s="15">
        <v>36782</v>
      </c>
      <c r="N6" s="15"/>
      <c r="O6" s="15"/>
      <c r="P6" s="15"/>
      <c r="Q6" s="84"/>
      <c r="R6" s="15">
        <v>44316</v>
      </c>
      <c r="S6" s="15"/>
      <c r="T6" s="15"/>
      <c r="U6" s="15"/>
      <c r="V6" s="84"/>
    </row>
    <row r="7" spans="2:22" x14ac:dyDescent="0.25">
      <c r="B7" s="70" t="s">
        <v>245</v>
      </c>
      <c r="C7" s="70"/>
      <c r="D7" s="70"/>
      <c r="E7" s="70"/>
      <c r="F7" s="70"/>
      <c r="G7" s="79"/>
      <c r="H7" s="75" t="e">
        <f t="shared" ref="H7:V7" si="0">(H6-C6)/C6</f>
        <v>#DIV/0!</v>
      </c>
      <c r="I7" s="75" t="e">
        <f t="shared" si="0"/>
        <v>#DIV/0!</v>
      </c>
      <c r="J7" s="75" t="e">
        <f t="shared" si="0"/>
        <v>#DIV/0!</v>
      </c>
      <c r="K7" s="75" t="e">
        <f t="shared" si="0"/>
        <v>#DIV/0!</v>
      </c>
      <c r="L7" s="85" t="e">
        <f t="shared" si="0"/>
        <v>#DIV/0!</v>
      </c>
      <c r="M7" s="75" t="e">
        <f t="shared" si="0"/>
        <v>#DIV/0!</v>
      </c>
      <c r="N7" s="75" t="e">
        <f t="shared" si="0"/>
        <v>#DIV/0!</v>
      </c>
      <c r="O7" s="75" t="e">
        <f t="shared" si="0"/>
        <v>#DIV/0!</v>
      </c>
      <c r="P7" s="75" t="e">
        <f t="shared" si="0"/>
        <v>#DIV/0!</v>
      </c>
      <c r="Q7" s="85" t="e">
        <f t="shared" si="0"/>
        <v>#DIV/0!</v>
      </c>
      <c r="R7" s="75">
        <f t="shared" si="0"/>
        <v>0.20482844869773259</v>
      </c>
      <c r="S7" s="75" t="e">
        <f t="shared" si="0"/>
        <v>#DIV/0!</v>
      </c>
      <c r="T7" s="75" t="e">
        <f t="shared" si="0"/>
        <v>#DIV/0!</v>
      </c>
      <c r="U7" s="75" t="e">
        <f t="shared" si="0"/>
        <v>#DIV/0!</v>
      </c>
      <c r="V7" s="85" t="e">
        <f t="shared" si="0"/>
        <v>#DIV/0!</v>
      </c>
    </row>
    <row r="8" spans="2:22" x14ac:dyDescent="0.25">
      <c r="B8" s="1" t="s">
        <v>246</v>
      </c>
      <c r="G8" s="77"/>
      <c r="L8" s="83"/>
      <c r="Q8" s="83"/>
      <c r="V8" s="83"/>
    </row>
    <row r="9" spans="2:22" x14ac:dyDescent="0.25">
      <c r="B9" s="2" t="s">
        <v>244</v>
      </c>
      <c r="C9" s="15"/>
      <c r="D9" s="15"/>
      <c r="E9" s="15"/>
      <c r="F9" s="15"/>
      <c r="G9" s="78"/>
      <c r="H9" s="15"/>
      <c r="I9" s="15"/>
      <c r="J9" s="15"/>
      <c r="K9" s="15"/>
      <c r="L9" s="84"/>
      <c r="M9" s="15"/>
      <c r="N9" s="15"/>
      <c r="O9" s="15"/>
      <c r="P9" s="15"/>
      <c r="Q9" s="84"/>
      <c r="R9" s="15">
        <v>14765</v>
      </c>
      <c r="S9" s="15"/>
      <c r="T9" s="15"/>
      <c r="U9" s="15"/>
      <c r="V9" s="84"/>
    </row>
    <row r="10" spans="2:22" x14ac:dyDescent="0.25">
      <c r="B10" s="70" t="s">
        <v>245</v>
      </c>
      <c r="C10" s="70"/>
      <c r="D10" s="70"/>
      <c r="E10" s="70"/>
      <c r="F10" s="70"/>
      <c r="G10" s="79"/>
      <c r="H10" s="75" t="e">
        <f t="shared" ref="H10:V10" si="1">(H9-C9)/C9</f>
        <v>#DIV/0!</v>
      </c>
      <c r="I10" s="75" t="e">
        <f t="shared" si="1"/>
        <v>#DIV/0!</v>
      </c>
      <c r="J10" s="75" t="e">
        <f t="shared" si="1"/>
        <v>#DIV/0!</v>
      </c>
      <c r="K10" s="75" t="e">
        <f t="shared" si="1"/>
        <v>#DIV/0!</v>
      </c>
      <c r="L10" s="85" t="e">
        <f t="shared" si="1"/>
        <v>#DIV/0!</v>
      </c>
      <c r="M10" s="75" t="e">
        <f t="shared" si="1"/>
        <v>#DIV/0!</v>
      </c>
      <c r="N10" s="75" t="e">
        <f t="shared" si="1"/>
        <v>#DIV/0!</v>
      </c>
      <c r="O10" s="75" t="e">
        <f t="shared" si="1"/>
        <v>#DIV/0!</v>
      </c>
      <c r="P10" s="75" t="e">
        <f t="shared" si="1"/>
        <v>#DIV/0!</v>
      </c>
      <c r="Q10" s="85" t="e">
        <f t="shared" si="1"/>
        <v>#DIV/0!</v>
      </c>
      <c r="R10" s="75" t="e">
        <f t="shared" si="1"/>
        <v>#DIV/0!</v>
      </c>
      <c r="S10" s="75" t="e">
        <f t="shared" si="1"/>
        <v>#DIV/0!</v>
      </c>
      <c r="T10" s="75" t="e">
        <f t="shared" si="1"/>
        <v>#DIV/0!</v>
      </c>
      <c r="U10" s="75" t="e">
        <f t="shared" si="1"/>
        <v>#DIV/0!</v>
      </c>
      <c r="V10" s="85" t="e">
        <f t="shared" si="1"/>
        <v>#DIV/0!</v>
      </c>
    </row>
    <row r="11" spans="2:22" x14ac:dyDescent="0.25">
      <c r="B11" s="71" t="s">
        <v>247</v>
      </c>
      <c r="C11" s="72"/>
      <c r="D11" s="72"/>
      <c r="E11" s="72"/>
      <c r="F11" s="72"/>
      <c r="G11" s="80"/>
      <c r="H11" s="72"/>
      <c r="I11" s="72"/>
      <c r="J11" s="72"/>
      <c r="K11" s="72"/>
      <c r="L11" s="86"/>
      <c r="M11" s="72"/>
      <c r="N11" s="72"/>
      <c r="O11" s="72"/>
      <c r="P11" s="72"/>
      <c r="Q11" s="86"/>
      <c r="R11" s="72"/>
      <c r="S11" s="72"/>
      <c r="T11" s="72"/>
      <c r="U11" s="72"/>
      <c r="V11" s="86"/>
    </row>
    <row r="12" spans="2:22" x14ac:dyDescent="0.25">
      <c r="B12" s="72" t="s">
        <v>244</v>
      </c>
      <c r="C12" s="73"/>
      <c r="D12" s="73"/>
      <c r="E12" s="73"/>
      <c r="F12" s="73"/>
      <c r="G12" s="81"/>
      <c r="H12" s="73"/>
      <c r="I12" s="73"/>
      <c r="J12" s="73"/>
      <c r="K12" s="73"/>
      <c r="L12" s="87"/>
      <c r="M12" s="73"/>
      <c r="N12" s="73"/>
      <c r="O12" s="73"/>
      <c r="P12" s="73"/>
      <c r="Q12" s="87"/>
      <c r="R12" s="73">
        <v>8790</v>
      </c>
      <c r="S12" s="73"/>
      <c r="T12" s="73"/>
      <c r="U12" s="73"/>
      <c r="V12" s="87"/>
    </row>
    <row r="13" spans="2:22" x14ac:dyDescent="0.25">
      <c r="B13" s="74" t="s">
        <v>245</v>
      </c>
      <c r="C13" s="74"/>
      <c r="D13" s="74"/>
      <c r="E13" s="74"/>
      <c r="F13" s="74"/>
      <c r="G13" s="82"/>
      <c r="H13" s="75" t="e">
        <f t="shared" ref="H13:V13" si="2">(H12-C12)/C12</f>
        <v>#DIV/0!</v>
      </c>
      <c r="I13" s="75" t="e">
        <f t="shared" si="2"/>
        <v>#DIV/0!</v>
      </c>
      <c r="J13" s="75" t="e">
        <f t="shared" si="2"/>
        <v>#DIV/0!</v>
      </c>
      <c r="K13" s="75" t="e">
        <f t="shared" si="2"/>
        <v>#DIV/0!</v>
      </c>
      <c r="L13" s="85" t="e">
        <f t="shared" si="2"/>
        <v>#DIV/0!</v>
      </c>
      <c r="M13" s="75" t="e">
        <f t="shared" si="2"/>
        <v>#DIV/0!</v>
      </c>
      <c r="N13" s="75" t="e">
        <f t="shared" si="2"/>
        <v>#DIV/0!</v>
      </c>
      <c r="O13" s="75" t="e">
        <f t="shared" si="2"/>
        <v>#DIV/0!</v>
      </c>
      <c r="P13" s="75" t="e">
        <f t="shared" si="2"/>
        <v>#DIV/0!</v>
      </c>
      <c r="Q13" s="85" t="e">
        <f t="shared" si="2"/>
        <v>#DIV/0!</v>
      </c>
      <c r="R13" s="75" t="e">
        <f t="shared" si="2"/>
        <v>#DIV/0!</v>
      </c>
      <c r="S13" s="75" t="e">
        <f t="shared" si="2"/>
        <v>#DIV/0!</v>
      </c>
      <c r="T13" s="75" t="e">
        <f t="shared" si="2"/>
        <v>#DIV/0!</v>
      </c>
      <c r="U13" s="75" t="e">
        <f t="shared" si="2"/>
        <v>#DIV/0!</v>
      </c>
      <c r="V13" s="85" t="e">
        <f t="shared" si="2"/>
        <v>#DIV/0!</v>
      </c>
    </row>
    <row r="14" spans="2:22" x14ac:dyDescent="0.25">
      <c r="B14" s="71" t="s">
        <v>248</v>
      </c>
      <c r="C14" s="72"/>
      <c r="D14" s="72"/>
      <c r="E14" s="72"/>
      <c r="F14" s="72"/>
      <c r="G14" s="80"/>
      <c r="H14" s="72"/>
      <c r="I14" s="72"/>
      <c r="J14" s="72"/>
      <c r="K14" s="72"/>
      <c r="L14" s="86"/>
      <c r="M14" s="72"/>
      <c r="N14" s="72"/>
      <c r="O14" s="72"/>
      <c r="P14" s="72"/>
      <c r="Q14" s="86"/>
      <c r="R14" s="72"/>
      <c r="S14" s="72"/>
      <c r="T14" s="72"/>
      <c r="U14" s="72"/>
      <c r="V14" s="86"/>
    </row>
    <row r="15" spans="2:22" x14ac:dyDescent="0.25">
      <c r="B15" s="72" t="s">
        <v>244</v>
      </c>
      <c r="C15" s="73"/>
      <c r="D15" s="73"/>
      <c r="E15" s="73"/>
      <c r="F15" s="73"/>
      <c r="G15" s="81"/>
      <c r="H15" s="73"/>
      <c r="I15" s="73"/>
      <c r="J15" s="73"/>
      <c r="K15" s="73"/>
      <c r="L15" s="87"/>
      <c r="M15" s="73"/>
      <c r="N15" s="73"/>
      <c r="O15" s="73"/>
      <c r="P15" s="73"/>
      <c r="Q15" s="87"/>
      <c r="R15" s="73">
        <v>4594</v>
      </c>
      <c r="S15" s="73"/>
      <c r="T15" s="73"/>
      <c r="U15" s="73"/>
      <c r="V15" s="87"/>
    </row>
    <row r="16" spans="2:22" x14ac:dyDescent="0.25">
      <c r="B16" s="74" t="s">
        <v>245</v>
      </c>
      <c r="C16" s="74"/>
      <c r="D16" s="74"/>
      <c r="E16" s="74"/>
      <c r="F16" s="74"/>
      <c r="G16" s="82"/>
      <c r="H16" s="75" t="e">
        <f t="shared" ref="H16:V16" si="3">(H15-C15)/C15</f>
        <v>#DIV/0!</v>
      </c>
      <c r="I16" s="75" t="e">
        <f t="shared" si="3"/>
        <v>#DIV/0!</v>
      </c>
      <c r="J16" s="75" t="e">
        <f t="shared" si="3"/>
        <v>#DIV/0!</v>
      </c>
      <c r="K16" s="75" t="e">
        <f t="shared" si="3"/>
        <v>#DIV/0!</v>
      </c>
      <c r="L16" s="85" t="e">
        <f t="shared" si="3"/>
        <v>#DIV/0!</v>
      </c>
      <c r="M16" s="75" t="e">
        <f t="shared" si="3"/>
        <v>#DIV/0!</v>
      </c>
      <c r="N16" s="75" t="e">
        <f t="shared" si="3"/>
        <v>#DIV/0!</v>
      </c>
      <c r="O16" s="75" t="e">
        <f t="shared" si="3"/>
        <v>#DIV/0!</v>
      </c>
      <c r="P16" s="75" t="e">
        <f t="shared" si="3"/>
        <v>#DIV/0!</v>
      </c>
      <c r="Q16" s="85" t="e">
        <f t="shared" si="3"/>
        <v>#DIV/0!</v>
      </c>
      <c r="R16" s="75" t="e">
        <f t="shared" si="3"/>
        <v>#DIV/0!</v>
      </c>
      <c r="S16" s="75" t="e">
        <f t="shared" si="3"/>
        <v>#DIV/0!</v>
      </c>
      <c r="T16" s="75" t="e">
        <f t="shared" si="3"/>
        <v>#DIV/0!</v>
      </c>
      <c r="U16" s="75" t="e">
        <f t="shared" si="3"/>
        <v>#DIV/0!</v>
      </c>
      <c r="V16" s="85" t="e">
        <f t="shared" si="3"/>
        <v>#DIV/0!</v>
      </c>
    </row>
    <row r="17" spans="2:22" x14ac:dyDescent="0.25">
      <c r="B17" s="71" t="s">
        <v>249</v>
      </c>
      <c r="C17" s="72"/>
      <c r="D17" s="72"/>
      <c r="E17" s="72"/>
      <c r="F17" s="72"/>
      <c r="G17" s="80"/>
      <c r="H17" s="72"/>
      <c r="I17" s="72"/>
      <c r="J17" s="72"/>
      <c r="K17" s="72"/>
      <c r="L17" s="86"/>
      <c r="M17" s="72"/>
      <c r="N17" s="72"/>
      <c r="O17" s="72"/>
      <c r="P17" s="72"/>
      <c r="Q17" s="86"/>
      <c r="R17" s="72"/>
      <c r="S17" s="72"/>
      <c r="T17" s="72"/>
      <c r="U17" s="72"/>
      <c r="V17" s="86"/>
    </row>
    <row r="18" spans="2:22" x14ac:dyDescent="0.25">
      <c r="B18" s="72" t="s">
        <v>244</v>
      </c>
      <c r="C18" s="73"/>
      <c r="D18" s="73"/>
      <c r="E18" s="73"/>
      <c r="F18" s="73"/>
      <c r="G18" s="81"/>
      <c r="H18" s="73"/>
      <c r="I18" s="73"/>
      <c r="J18" s="73"/>
      <c r="K18" s="73"/>
      <c r="L18" s="87"/>
      <c r="M18" s="73">
        <v>4506</v>
      </c>
      <c r="N18" s="73"/>
      <c r="O18" s="73"/>
      <c r="P18" s="73"/>
      <c r="Q18" s="87"/>
      <c r="R18" s="73">
        <v>5622</v>
      </c>
      <c r="S18" s="73"/>
      <c r="T18" s="73"/>
      <c r="U18" s="73"/>
      <c r="V18" s="87"/>
    </row>
    <row r="19" spans="2:22" x14ac:dyDescent="0.25">
      <c r="B19" s="74" t="s">
        <v>245</v>
      </c>
      <c r="C19" s="74"/>
      <c r="D19" s="74"/>
      <c r="E19" s="74"/>
      <c r="F19" s="74"/>
      <c r="G19" s="82"/>
      <c r="H19" s="75" t="e">
        <f t="shared" ref="H19:V19" si="4">(H18-C18)/C18</f>
        <v>#DIV/0!</v>
      </c>
      <c r="I19" s="75" t="e">
        <f t="shared" si="4"/>
        <v>#DIV/0!</v>
      </c>
      <c r="J19" s="75" t="e">
        <f t="shared" si="4"/>
        <v>#DIV/0!</v>
      </c>
      <c r="K19" s="75" t="e">
        <f t="shared" si="4"/>
        <v>#DIV/0!</v>
      </c>
      <c r="L19" s="85" t="e">
        <f t="shared" si="4"/>
        <v>#DIV/0!</v>
      </c>
      <c r="M19" s="75" t="e">
        <f t="shared" si="4"/>
        <v>#DIV/0!</v>
      </c>
      <c r="N19" s="75" t="e">
        <f t="shared" si="4"/>
        <v>#DIV/0!</v>
      </c>
      <c r="O19" s="75" t="e">
        <f t="shared" si="4"/>
        <v>#DIV/0!</v>
      </c>
      <c r="P19" s="75" t="e">
        <f t="shared" si="4"/>
        <v>#DIV/0!</v>
      </c>
      <c r="Q19" s="85" t="e">
        <f t="shared" si="4"/>
        <v>#DIV/0!</v>
      </c>
      <c r="R19" s="75">
        <f t="shared" si="4"/>
        <v>0.24766977363515313</v>
      </c>
      <c r="S19" s="75" t="e">
        <f t="shared" si="4"/>
        <v>#DIV/0!</v>
      </c>
      <c r="T19" s="75" t="e">
        <f t="shared" si="4"/>
        <v>#DIV/0!</v>
      </c>
      <c r="U19" s="75" t="e">
        <f t="shared" si="4"/>
        <v>#DIV/0!</v>
      </c>
      <c r="V19" s="85" t="e">
        <f t="shared" si="4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E18" sqref="E18"/>
    </sheetView>
  </sheetViews>
  <sheetFormatPr baseColWidth="10" defaultRowHeight="16" x14ac:dyDescent="0.2"/>
  <cols>
    <col min="3" max="3" width="44.1640625" bestFit="1" customWidth="1"/>
    <col min="4" max="6" width="43.1640625" bestFit="1" customWidth="1"/>
  </cols>
  <sheetData>
    <row r="4" spans="3:6" ht="92" x14ac:dyDescent="1">
      <c r="C4" s="26"/>
      <c r="D4" s="26">
        <v>2025</v>
      </c>
      <c r="E4" s="26">
        <v>2026</v>
      </c>
      <c r="F4" s="26">
        <v>2027</v>
      </c>
    </row>
    <row r="5" spans="3:6" ht="92" x14ac:dyDescent="1">
      <c r="C5" s="26" t="s">
        <v>33</v>
      </c>
      <c r="D5" s="64">
        <f>Modell!$B$9/Modell!AC42</f>
        <v>13.363693471005764</v>
      </c>
      <c r="E5" s="64">
        <f>Modell!$B$9/Modell!AD42</f>
        <v>10.896595678641063</v>
      </c>
      <c r="F5" s="64">
        <f>Modell!$B$9/Modell!AE42</f>
        <v>9.7604203761158743</v>
      </c>
    </row>
    <row r="6" spans="3:6" ht="92" x14ac:dyDescent="1">
      <c r="C6" s="26" t="s">
        <v>34</v>
      </c>
      <c r="D6" s="64">
        <f>Modell!$B$4/Modell!AC48</f>
        <v>16.096858493281665</v>
      </c>
      <c r="E6" s="64">
        <f>Modell!$B$4/Modell!AD48</f>
        <v>13.128125948689783</v>
      </c>
      <c r="F6" s="64">
        <f>Modell!$B$4/Modell!AE48</f>
        <v>11.761905247126194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155A-13C0-5A4F-B249-C97C3A597866}">
  <dimension ref="A1:C17"/>
  <sheetViews>
    <sheetView showGridLines="0" workbookViewId="0">
      <selection activeCell="G29" sqref="G29"/>
    </sheetView>
  </sheetViews>
  <sheetFormatPr baseColWidth="10" defaultRowHeight="19" x14ac:dyDescent="0.25"/>
  <cols>
    <col min="1" max="1" width="5.6640625" style="2" customWidth="1"/>
    <col min="2" max="16384" width="10.83203125" style="2"/>
  </cols>
  <sheetData>
    <row r="1" spans="1:3" x14ac:dyDescent="0.25">
      <c r="A1" s="62" t="s">
        <v>221</v>
      </c>
    </row>
    <row r="3" spans="1:3" x14ac:dyDescent="0.25">
      <c r="B3" s="52" t="s">
        <v>170</v>
      </c>
      <c r="C3" s="52" t="s">
        <v>171</v>
      </c>
    </row>
    <row r="4" spans="1:3" x14ac:dyDescent="0.25">
      <c r="B4" s="52" t="s">
        <v>172</v>
      </c>
      <c r="C4" s="52" t="s">
        <v>173</v>
      </c>
    </row>
    <row r="5" spans="1:3" x14ac:dyDescent="0.25">
      <c r="B5" s="52" t="s">
        <v>174</v>
      </c>
      <c r="C5" s="52" t="s">
        <v>175</v>
      </c>
    </row>
    <row r="6" spans="1:3" x14ac:dyDescent="0.25">
      <c r="C6" s="52" t="s">
        <v>176</v>
      </c>
    </row>
    <row r="7" spans="1:3" x14ac:dyDescent="0.25">
      <c r="C7" s="53" t="s">
        <v>177</v>
      </c>
    </row>
    <row r="8" spans="1:3" x14ac:dyDescent="0.25">
      <c r="C8" s="54" t="s">
        <v>178</v>
      </c>
    </row>
    <row r="9" spans="1:3" x14ac:dyDescent="0.25">
      <c r="C9" s="52" t="s">
        <v>179</v>
      </c>
    </row>
    <row r="10" spans="1:3" x14ac:dyDescent="0.25">
      <c r="C10" s="52" t="s">
        <v>180</v>
      </c>
    </row>
    <row r="11" spans="1:3" x14ac:dyDescent="0.25">
      <c r="C11" s="52" t="s">
        <v>181</v>
      </c>
    </row>
    <row r="12" spans="1:3" x14ac:dyDescent="0.25">
      <c r="C12" s="52" t="s">
        <v>182</v>
      </c>
    </row>
    <row r="13" spans="1:3" x14ac:dyDescent="0.25">
      <c r="C13" s="52" t="s">
        <v>183</v>
      </c>
    </row>
    <row r="14" spans="1:3" x14ac:dyDescent="0.25">
      <c r="C14" s="55" t="s">
        <v>184</v>
      </c>
    </row>
    <row r="15" spans="1:3" x14ac:dyDescent="0.25">
      <c r="C15" s="55" t="s">
        <v>185</v>
      </c>
    </row>
    <row r="16" spans="1:3" x14ac:dyDescent="0.25">
      <c r="C16" s="55" t="s">
        <v>186</v>
      </c>
    </row>
    <row r="17" spans="3:3" x14ac:dyDescent="0.25">
      <c r="C17" s="55" t="s">
        <v>187</v>
      </c>
    </row>
  </sheetData>
  <hyperlinks>
    <hyperlink ref="A1" location="Info!A1" display="Info" xr:uid="{D39CAA09-C79D-EE4C-8C0B-CE56F3B512D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0906-58CC-F747-ABA1-CD7D69243962}">
  <dimension ref="A1:U30"/>
  <sheetViews>
    <sheetView showGridLines="0" topLeftCell="A26" workbookViewId="0">
      <selection activeCell="L61" sqref="L61"/>
    </sheetView>
  </sheetViews>
  <sheetFormatPr baseColWidth="10" defaultRowHeight="19" x14ac:dyDescent="0.25"/>
  <cols>
    <col min="1" max="1" width="4.83203125" style="2" bestFit="1" customWidth="1"/>
    <col min="13" max="13" width="20.6640625" bestFit="1" customWidth="1"/>
    <col min="20" max="20" width="20.6640625" bestFit="1" customWidth="1"/>
  </cols>
  <sheetData>
    <row r="1" spans="1:21" x14ac:dyDescent="0.25">
      <c r="A1" s="62" t="s">
        <v>221</v>
      </c>
    </row>
    <row r="3" spans="1:21" ht="23" x14ac:dyDescent="0.25">
      <c r="T3" s="57" t="s">
        <v>170</v>
      </c>
      <c r="U3" s="57" t="s">
        <v>190</v>
      </c>
    </row>
    <row r="4" spans="1:21" ht="23" x14ac:dyDescent="0.25">
      <c r="T4" s="57" t="s">
        <v>172</v>
      </c>
      <c r="U4" s="57" t="s">
        <v>173</v>
      </c>
    </row>
    <row r="5" spans="1:21" ht="23" x14ac:dyDescent="0.25">
      <c r="T5" s="57" t="s">
        <v>191</v>
      </c>
      <c r="U5" s="57" t="s">
        <v>192</v>
      </c>
    </row>
    <row r="6" spans="1:21" ht="23" x14ac:dyDescent="0.25">
      <c r="T6" s="57" t="s">
        <v>193</v>
      </c>
      <c r="U6" s="57" t="s">
        <v>194</v>
      </c>
    </row>
    <row r="7" spans="1:21" ht="23" x14ac:dyDescent="0.25">
      <c r="T7" s="57" t="s">
        <v>195</v>
      </c>
      <c r="U7" s="57" t="s">
        <v>196</v>
      </c>
    </row>
    <row r="8" spans="1:21" ht="23" x14ac:dyDescent="0.25">
      <c r="T8" s="57" t="s">
        <v>197</v>
      </c>
      <c r="U8" s="57" t="s">
        <v>198</v>
      </c>
    </row>
    <row r="9" spans="1:21" ht="23" x14ac:dyDescent="0.25">
      <c r="T9" s="57" t="s">
        <v>199</v>
      </c>
      <c r="U9" s="57" t="s">
        <v>200</v>
      </c>
    </row>
    <row r="10" spans="1:21" ht="23" x14ac:dyDescent="0.25">
      <c r="T10" s="57"/>
      <c r="U10" s="57" t="s">
        <v>201</v>
      </c>
    </row>
    <row r="11" spans="1:21" ht="23" x14ac:dyDescent="0.25">
      <c r="T11" s="57"/>
      <c r="U11" s="57" t="s">
        <v>202</v>
      </c>
    </row>
    <row r="12" spans="1:21" ht="23" x14ac:dyDescent="0.25">
      <c r="T12" s="57"/>
      <c r="U12" s="57" t="s">
        <v>203</v>
      </c>
    </row>
    <row r="13" spans="1:21" ht="23" x14ac:dyDescent="0.25">
      <c r="T13" s="57"/>
      <c r="U13" s="57" t="s">
        <v>204</v>
      </c>
    </row>
    <row r="14" spans="1:21" ht="23" x14ac:dyDescent="0.25">
      <c r="T14" s="57" t="s">
        <v>174</v>
      </c>
      <c r="U14" s="57" t="s">
        <v>205</v>
      </c>
    </row>
    <row r="15" spans="1:21" ht="23" x14ac:dyDescent="0.25">
      <c r="T15" s="57" t="s">
        <v>206</v>
      </c>
      <c r="U15" s="57" t="s">
        <v>207</v>
      </c>
    </row>
    <row r="16" spans="1:21" ht="23" x14ac:dyDescent="0.25">
      <c r="T16" s="57" t="s">
        <v>208</v>
      </c>
      <c r="U16" s="57"/>
    </row>
    <row r="17" spans="1:21" ht="23" x14ac:dyDescent="0.25">
      <c r="T17" s="57"/>
      <c r="U17" s="58" t="s">
        <v>209</v>
      </c>
    </row>
    <row r="18" spans="1:21" ht="23" x14ac:dyDescent="0.25">
      <c r="T18" s="57"/>
      <c r="U18" s="57" t="s">
        <v>210</v>
      </c>
    </row>
    <row r="19" spans="1:21" ht="23" x14ac:dyDescent="0.25">
      <c r="T19" s="57"/>
      <c r="U19" s="57" t="s">
        <v>211</v>
      </c>
    </row>
    <row r="20" spans="1:21" ht="23" x14ac:dyDescent="0.25">
      <c r="T20" s="57"/>
      <c r="U20" s="57"/>
    </row>
    <row r="21" spans="1:21" ht="23" x14ac:dyDescent="0.25">
      <c r="A21" s="1" t="s">
        <v>256</v>
      </c>
      <c r="T21" s="57"/>
      <c r="U21" s="57"/>
    </row>
    <row r="22" spans="1:21" ht="23" x14ac:dyDescent="0.25">
      <c r="T22" s="57"/>
      <c r="U22" s="58" t="s">
        <v>212</v>
      </c>
    </row>
    <row r="23" spans="1:21" ht="23" x14ac:dyDescent="0.25">
      <c r="T23" s="57"/>
      <c r="U23" s="57" t="s">
        <v>213</v>
      </c>
    </row>
    <row r="24" spans="1:21" ht="23" x14ac:dyDescent="0.25">
      <c r="T24" s="57"/>
      <c r="U24" s="57" t="s">
        <v>214</v>
      </c>
    </row>
    <row r="25" spans="1:21" ht="23" x14ac:dyDescent="0.25">
      <c r="T25" s="57"/>
      <c r="U25" s="59" t="s">
        <v>215</v>
      </c>
    </row>
    <row r="26" spans="1:21" ht="23" x14ac:dyDescent="0.25">
      <c r="T26" s="57"/>
      <c r="U26" s="57" t="s">
        <v>216</v>
      </c>
    </row>
    <row r="27" spans="1:21" ht="23" x14ac:dyDescent="0.25">
      <c r="T27" s="57"/>
      <c r="U27" s="57"/>
    </row>
    <row r="28" spans="1:21" ht="23" x14ac:dyDescent="0.25">
      <c r="T28" s="57"/>
      <c r="U28" s="58" t="s">
        <v>217</v>
      </c>
    </row>
    <row r="29" spans="1:21" ht="23" x14ac:dyDescent="0.25">
      <c r="T29" s="57"/>
      <c r="U29" s="57" t="s">
        <v>218</v>
      </c>
    </row>
    <row r="30" spans="1:21" ht="23" x14ac:dyDescent="0.25">
      <c r="T30" s="57"/>
      <c r="U30" s="57" t="s">
        <v>219</v>
      </c>
    </row>
  </sheetData>
  <hyperlinks>
    <hyperlink ref="A1" location="Info!A1" display="Info" xr:uid="{3ACE6924-1395-F74F-B2A7-8C2ED3472BE2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1D25-0194-2947-B137-E30291DC3838}">
  <dimension ref="A1:B17"/>
  <sheetViews>
    <sheetView showGridLines="0" workbookViewId="0"/>
  </sheetViews>
  <sheetFormatPr baseColWidth="10" defaultRowHeight="19" x14ac:dyDescent="0.25"/>
  <cols>
    <col min="1" max="1" width="5.1640625" style="2" customWidth="1"/>
    <col min="2" max="16384" width="10.83203125" style="2"/>
  </cols>
  <sheetData>
    <row r="1" spans="1:1" x14ac:dyDescent="0.25">
      <c r="A1" s="62" t="s">
        <v>221</v>
      </c>
    </row>
    <row r="17" spans="2:2" x14ac:dyDescent="0.25">
      <c r="B17" s="1" t="s">
        <v>220</v>
      </c>
    </row>
  </sheetData>
  <hyperlinks>
    <hyperlink ref="A1" location="Info!A1" display="Info" xr:uid="{D2DDAB5D-95DE-CD4E-BD71-AC5EEA22A8B7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9208-B445-CE44-A943-A6049A2A64D2}">
  <dimension ref="A1:P62"/>
  <sheetViews>
    <sheetView showGridLines="0" zoomScale="110" zoomScaleNormal="110" workbookViewId="0">
      <selection activeCell="L64" sqref="L64"/>
    </sheetView>
  </sheetViews>
  <sheetFormatPr baseColWidth="10" defaultRowHeight="19" x14ac:dyDescent="0.25"/>
  <cols>
    <col min="1" max="1" width="5.1640625" style="2" customWidth="1"/>
    <col min="2" max="2" width="11.83203125" style="2" bestFit="1" customWidth="1"/>
    <col min="3" max="7" width="10.83203125" style="2"/>
    <col min="8" max="8" width="12" style="2" bestFit="1" customWidth="1"/>
    <col min="9" max="16384" width="10.83203125" style="2"/>
  </cols>
  <sheetData>
    <row r="1" spans="1:16" x14ac:dyDescent="0.25">
      <c r="A1" s="61" t="s">
        <v>221</v>
      </c>
    </row>
    <row r="2" spans="1:16" x14ac:dyDescent="0.25">
      <c r="L2" s="1" t="s">
        <v>227</v>
      </c>
    </row>
    <row r="11" spans="1:16" x14ac:dyDescent="0.25">
      <c r="B11" s="1" t="s">
        <v>257</v>
      </c>
      <c r="H11" s="60">
        <v>45726</v>
      </c>
      <c r="P11" s="1" t="s">
        <v>242</v>
      </c>
    </row>
    <row r="62" spans="8:8" x14ac:dyDescent="0.25">
      <c r="H62" s="2" t="s">
        <v>258</v>
      </c>
    </row>
  </sheetData>
  <hyperlinks>
    <hyperlink ref="A1" location="Info!A1" display="Info" xr:uid="{72E3B120-C033-3A44-932F-38D588C939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9042-F029-0244-9910-823A1395B8CC}">
  <dimension ref="A1:O22"/>
  <sheetViews>
    <sheetView showGridLines="0" workbookViewId="0">
      <selection activeCell="A22" sqref="A22"/>
    </sheetView>
  </sheetViews>
  <sheetFormatPr baseColWidth="10" defaultRowHeight="19" x14ac:dyDescent="0.25"/>
  <cols>
    <col min="1" max="1" width="6.1640625" style="2" customWidth="1"/>
    <col min="2" max="16384" width="10.83203125" style="2"/>
  </cols>
  <sheetData>
    <row r="1" spans="1:1" x14ac:dyDescent="0.25">
      <c r="A1" s="62" t="s">
        <v>221</v>
      </c>
    </row>
    <row r="22" spans="1:15" x14ac:dyDescent="0.25">
      <c r="A22" s="1" t="s">
        <v>256</v>
      </c>
      <c r="H22" s="1" t="s">
        <v>252</v>
      </c>
      <c r="O22" s="1" t="s">
        <v>223</v>
      </c>
    </row>
  </sheetData>
  <hyperlinks>
    <hyperlink ref="A1" location="Info!A1" display="Info" xr:uid="{DF6FAD4D-2A28-6545-B444-9B6D60EBA4E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Info</vt:lpstr>
      <vt:lpstr>Modell</vt:lpstr>
      <vt:lpstr>Land de selger i</vt:lpstr>
      <vt:lpstr>Nøkkeltall</vt:lpstr>
      <vt:lpstr>Ozempic</vt:lpstr>
      <vt:lpstr>Wegovy</vt:lpstr>
      <vt:lpstr>Rybelsus</vt:lpstr>
      <vt:lpstr>Cagrisema</vt:lpstr>
      <vt:lpstr>Amycretin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2025-06-24T17:52:30Z</dcterms:modified>
</cp:coreProperties>
</file>