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BB00C8A0-22BA-EF45-A020-E1D1BAF49862}" xr6:coauthVersionLast="47" xr6:coauthVersionMax="47" xr10:uidLastSave="{00000000-0000-0000-0000-000000000000}"/>
  <bookViews>
    <workbookView xWindow="0" yWindow="500" windowWidth="26780" windowHeight="26740" activeTab="1" xr2:uid="{5AE0DF26-B7DD-1242-A60E-253C73A930AF}"/>
  </bookViews>
  <sheets>
    <sheet name="Info" sheetId="1" r:id="rId1"/>
    <sheet name="Modell" sheetId="2" r:id="rId2"/>
    <sheet name="Segementer" sheetId="4" r:id="rId3"/>
    <sheet name="Land" sheetId="6" r:id="rId4"/>
    <sheet name="Nøkkeltall" sheetId="3" r:id="rId5"/>
    <sheet name="Nedsideberegnin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6" l="1"/>
  <c r="F39" i="6"/>
  <c r="F35" i="6"/>
  <c r="F31" i="6"/>
  <c r="F27" i="6"/>
  <c r="F23" i="6"/>
  <c r="F19" i="6"/>
  <c r="F15" i="6"/>
  <c r="F11" i="6"/>
  <c r="F7" i="6"/>
  <c r="K43" i="6"/>
  <c r="K39" i="6"/>
  <c r="K35" i="6"/>
  <c r="K31" i="6"/>
  <c r="K27" i="6"/>
  <c r="K23" i="6"/>
  <c r="K19" i="6"/>
  <c r="K15" i="6"/>
  <c r="K11" i="6"/>
  <c r="K7" i="6"/>
  <c r="P43" i="6"/>
  <c r="P39" i="6"/>
  <c r="P35" i="6"/>
  <c r="P31" i="6"/>
  <c r="P27" i="6"/>
  <c r="P23" i="6"/>
  <c r="P19" i="6"/>
  <c r="P15" i="6"/>
  <c r="P11" i="6"/>
  <c r="P7" i="6"/>
  <c r="G21" i="4"/>
  <c r="G33" i="4"/>
  <c r="G30" i="4"/>
  <c r="G24" i="4"/>
  <c r="L33" i="4"/>
  <c r="L30" i="4"/>
  <c r="L27" i="4"/>
  <c r="L24" i="4"/>
  <c r="L21" i="4"/>
  <c r="Q33" i="4"/>
  <c r="Q30" i="4"/>
  <c r="Q27" i="4"/>
  <c r="Q24" i="4"/>
  <c r="Q21" i="4"/>
  <c r="Q7" i="4"/>
  <c r="Q16" i="4"/>
  <c r="Q13" i="4"/>
  <c r="Q10" i="4"/>
  <c r="L16" i="4"/>
  <c r="L13" i="4"/>
  <c r="L10" i="4"/>
  <c r="L7" i="4"/>
  <c r="G16" i="4"/>
  <c r="G13" i="4"/>
  <c r="G10" i="4"/>
  <c r="G7" i="4"/>
  <c r="S35" i="6"/>
  <c r="S43" i="6" s="1"/>
  <c r="T35" i="6"/>
  <c r="T43" i="6" s="1"/>
  <c r="B35" i="6"/>
  <c r="B43" i="6" s="1"/>
  <c r="C35" i="6"/>
  <c r="C43" i="6" s="1"/>
  <c r="D35" i="6"/>
  <c r="D43" i="6" s="1"/>
  <c r="E35" i="6"/>
  <c r="E43" i="6" s="1"/>
  <c r="G35" i="6"/>
  <c r="G43" i="6" s="1"/>
  <c r="H35" i="6"/>
  <c r="H43" i="6" s="1"/>
  <c r="I35" i="6"/>
  <c r="I43" i="6" s="1"/>
  <c r="J35" i="6"/>
  <c r="J43" i="6" s="1"/>
  <c r="L35" i="6"/>
  <c r="L43" i="6" s="1"/>
  <c r="M35" i="6"/>
  <c r="M43" i="6" s="1"/>
  <c r="N35" i="6"/>
  <c r="N43" i="6" s="1"/>
  <c r="O35" i="6"/>
  <c r="O43" i="6" s="1"/>
  <c r="Q35" i="6"/>
  <c r="Q43" i="6" s="1"/>
  <c r="R35" i="6"/>
  <c r="R43" i="6" s="1"/>
  <c r="C16" i="4"/>
  <c r="D16" i="4"/>
  <c r="E16" i="4"/>
  <c r="F16" i="4"/>
  <c r="H16" i="4"/>
  <c r="I16" i="4"/>
  <c r="J16" i="4"/>
  <c r="K16" i="4"/>
  <c r="M16" i="4"/>
  <c r="N16" i="4"/>
  <c r="O16" i="4"/>
  <c r="P16" i="4"/>
  <c r="R16" i="4"/>
  <c r="C33" i="4"/>
  <c r="D33" i="4"/>
  <c r="E33" i="4"/>
  <c r="F33" i="4"/>
  <c r="H33" i="4"/>
  <c r="I33" i="4"/>
  <c r="J33" i="4"/>
  <c r="K33" i="4"/>
  <c r="M33" i="4"/>
  <c r="O33" i="4"/>
  <c r="P33" i="4"/>
  <c r="S33" i="4"/>
  <c r="R33" i="4"/>
  <c r="N33" i="4"/>
  <c r="S16" i="4"/>
  <c r="AH10" i="2"/>
  <c r="AI10" i="2"/>
  <c r="AJ10" i="2"/>
  <c r="AK10" i="2"/>
  <c r="AL10" i="2"/>
  <c r="AM10" i="2"/>
  <c r="AN10" i="2"/>
  <c r="AO10" i="2"/>
  <c r="AP10" i="2" s="1"/>
  <c r="AH11" i="2"/>
  <c r="AI11" i="2"/>
  <c r="AJ11" i="2"/>
  <c r="AK11" i="2"/>
  <c r="AL11" i="2"/>
  <c r="AM11" i="2"/>
  <c r="AN11" i="2"/>
  <c r="AO11" i="2" s="1"/>
  <c r="AP11" i="2" s="1"/>
  <c r="AG11" i="2"/>
  <c r="AG10" i="2"/>
  <c r="AF4" i="2"/>
  <c r="O8" i="5" l="1"/>
  <c r="O7" i="5"/>
  <c r="P5" i="5"/>
  <c r="Q5" i="5"/>
  <c r="R5" i="5"/>
  <c r="S5" i="5"/>
  <c r="T5" i="5"/>
  <c r="U5" i="5"/>
  <c r="V5" i="5"/>
  <c r="W5" i="5"/>
  <c r="X5" i="5"/>
  <c r="O5" i="5"/>
  <c r="AI7" i="2" l="1"/>
  <c r="AJ7" i="2"/>
  <c r="AK7" i="2"/>
  <c r="AL7" i="2"/>
  <c r="AM7" i="2"/>
  <c r="AN7" i="2"/>
  <c r="AO7" i="2"/>
  <c r="AP7" i="2"/>
  <c r="AI8" i="2"/>
  <c r="AJ8" i="2"/>
  <c r="AK8" i="2"/>
  <c r="AL8" i="2"/>
  <c r="AM8" i="2"/>
  <c r="AN8" i="2"/>
  <c r="AO8" i="2"/>
  <c r="AP8" i="2"/>
  <c r="AH7" i="2"/>
  <c r="AH8" i="2"/>
  <c r="AG8" i="2"/>
  <c r="AG7" i="2"/>
  <c r="AG4" i="2"/>
  <c r="AG18" i="2" s="1"/>
  <c r="F76" i="2"/>
  <c r="F6" i="2"/>
  <c r="F9" i="2" s="1"/>
  <c r="G76" i="2"/>
  <c r="G6" i="2"/>
  <c r="G20" i="2" s="1"/>
  <c r="D76" i="2"/>
  <c r="H76" i="2"/>
  <c r="H79" i="2" s="1"/>
  <c r="D6" i="2"/>
  <c r="D9" i="2" s="1"/>
  <c r="H6" i="2"/>
  <c r="H9" i="2" s="1"/>
  <c r="E76" i="2"/>
  <c r="I76" i="2"/>
  <c r="E6" i="2"/>
  <c r="E9" i="2" s="1"/>
  <c r="I6" i="2"/>
  <c r="I9" i="2" s="1"/>
  <c r="J76" i="2"/>
  <c r="N76" i="2"/>
  <c r="K76" i="2"/>
  <c r="O76" i="2"/>
  <c r="O6" i="5"/>
  <c r="O9" i="5" s="1"/>
  <c r="J6" i="2"/>
  <c r="J20" i="2" s="1"/>
  <c r="N6" i="2"/>
  <c r="N9" i="2" s="1"/>
  <c r="K6" i="2"/>
  <c r="K9" i="2" s="1"/>
  <c r="O6" i="2"/>
  <c r="O9" i="2" s="1"/>
  <c r="P7" i="5"/>
  <c r="Q7" i="5" s="1"/>
  <c r="R7" i="5" s="1"/>
  <c r="S7" i="5" s="1"/>
  <c r="T7" i="5" s="1"/>
  <c r="U7" i="5" s="1"/>
  <c r="V7" i="5" s="1"/>
  <c r="W7" i="5" s="1"/>
  <c r="X7" i="5" s="1"/>
  <c r="R6" i="5"/>
  <c r="P8" i="5"/>
  <c r="Q8" i="5" s="1"/>
  <c r="R8" i="5" s="1"/>
  <c r="S8" i="5" s="1"/>
  <c r="T8" i="5" s="1"/>
  <c r="U8" i="5" s="1"/>
  <c r="V8" i="5" s="1"/>
  <c r="W8" i="5" s="1"/>
  <c r="X8" i="5" s="1"/>
  <c r="P4" i="5"/>
  <c r="Q4" i="5"/>
  <c r="R4" i="5"/>
  <c r="R18" i="5" s="1"/>
  <c r="O4" i="5"/>
  <c r="O18" i="5" s="1"/>
  <c r="N8" i="5"/>
  <c r="N7" i="5"/>
  <c r="N4" i="5"/>
  <c r="N18" i="5" s="1"/>
  <c r="AF8" i="2"/>
  <c r="AF7" i="2"/>
  <c r="AF5" i="2"/>
  <c r="AF6" i="2" s="1"/>
  <c r="AF20" i="2" s="1"/>
  <c r="L21" i="5"/>
  <c r="L20" i="5"/>
  <c r="K20" i="5"/>
  <c r="J20" i="5"/>
  <c r="D20" i="5"/>
  <c r="Q18" i="5"/>
  <c r="P18" i="5"/>
  <c r="M18" i="5"/>
  <c r="L18" i="5"/>
  <c r="K18" i="5"/>
  <c r="J18" i="5"/>
  <c r="I18" i="5"/>
  <c r="H18" i="5"/>
  <c r="G18" i="5"/>
  <c r="F18" i="5"/>
  <c r="E18" i="5"/>
  <c r="L12" i="5"/>
  <c r="L14" i="5" s="1"/>
  <c r="L16" i="5" s="1"/>
  <c r="K12" i="5"/>
  <c r="K14" i="5" s="1"/>
  <c r="K16" i="5" s="1"/>
  <c r="L9" i="5"/>
  <c r="K9" i="5"/>
  <c r="K21" i="5" s="1"/>
  <c r="J9" i="5"/>
  <c r="D9" i="5"/>
  <c r="D12" i="5" s="1"/>
  <c r="D14" i="5" s="1"/>
  <c r="D16" i="5" s="1"/>
  <c r="Q6" i="5"/>
  <c r="Q20" i="5" s="1"/>
  <c r="P6" i="5"/>
  <c r="P20" i="5" s="1"/>
  <c r="M6" i="5"/>
  <c r="L6" i="5"/>
  <c r="K6" i="5"/>
  <c r="J6" i="5"/>
  <c r="I6" i="5"/>
  <c r="I20" i="5" s="1"/>
  <c r="H6" i="5"/>
  <c r="H9" i="5" s="1"/>
  <c r="G6" i="5"/>
  <c r="F6" i="5"/>
  <c r="E6" i="5"/>
  <c r="D6" i="5"/>
  <c r="L76" i="2"/>
  <c r="P76" i="2"/>
  <c r="P59" i="2"/>
  <c r="L6" i="2"/>
  <c r="L20" i="2" s="1"/>
  <c r="P6" i="2"/>
  <c r="P9" i="2" s="1"/>
  <c r="B8" i="2"/>
  <c r="AF18" i="2"/>
  <c r="V6" i="2"/>
  <c r="V9" i="2" s="1"/>
  <c r="W6" i="2"/>
  <c r="W20" i="2" s="1"/>
  <c r="X6" i="2"/>
  <c r="X9" i="2" s="1"/>
  <c r="Y6" i="2"/>
  <c r="Y9" i="2" s="1"/>
  <c r="Z83" i="2"/>
  <c r="Z76" i="2"/>
  <c r="AA83" i="2"/>
  <c r="AA87" i="2"/>
  <c r="AA76" i="2"/>
  <c r="AA79" i="2" s="1"/>
  <c r="Z6" i="2"/>
  <c r="Z9" i="2" s="1"/>
  <c r="AA6" i="2"/>
  <c r="AA20" i="2" s="1"/>
  <c r="AB76" i="2"/>
  <c r="AB79" i="2" s="1"/>
  <c r="AC76" i="2"/>
  <c r="AB6" i="2"/>
  <c r="AB9" i="2" s="1"/>
  <c r="AC6" i="2"/>
  <c r="AC9" i="2" s="1"/>
  <c r="Q16" i="2"/>
  <c r="R16" i="2"/>
  <c r="S16" i="2"/>
  <c r="AD76" i="2"/>
  <c r="AE76" i="2"/>
  <c r="Y93" i="2"/>
  <c r="X93" i="2"/>
  <c r="W93" i="2"/>
  <c r="V93" i="2"/>
  <c r="Y91" i="2"/>
  <c r="AE87" i="2"/>
  <c r="AD87" i="2"/>
  <c r="AC87" i="2"/>
  <c r="AB87" i="2"/>
  <c r="Z87" i="2"/>
  <c r="Y87" i="2"/>
  <c r="X87" i="2"/>
  <c r="X91" i="2" s="1"/>
  <c r="W87" i="2"/>
  <c r="W91" i="2" s="1"/>
  <c r="V87" i="2"/>
  <c r="V91" i="2" s="1"/>
  <c r="AE79" i="2"/>
  <c r="AD79" i="2"/>
  <c r="AC79" i="2"/>
  <c r="Z79" i="2"/>
  <c r="Y79" i="2"/>
  <c r="X79" i="2"/>
  <c r="W79" i="2"/>
  <c r="V79" i="2"/>
  <c r="AE74" i="2"/>
  <c r="AE93" i="2" s="1"/>
  <c r="AD74" i="2"/>
  <c r="AD93" i="2" s="1"/>
  <c r="AC74" i="2"/>
  <c r="AC93" i="2" s="1"/>
  <c r="AB74" i="2"/>
  <c r="AA74" i="2"/>
  <c r="Z74" i="2"/>
  <c r="Y74" i="2"/>
  <c r="X74" i="2"/>
  <c r="W74" i="2"/>
  <c r="V74" i="2"/>
  <c r="AE63" i="2"/>
  <c r="AD63" i="2"/>
  <c r="V20" i="2"/>
  <c r="Z20" i="2"/>
  <c r="AC20" i="2"/>
  <c r="AD20" i="2"/>
  <c r="AD21" i="2"/>
  <c r="W18" i="2"/>
  <c r="X18" i="2"/>
  <c r="Y18" i="2"/>
  <c r="Z18" i="2"/>
  <c r="AA18" i="2"/>
  <c r="AB18" i="2"/>
  <c r="AC18" i="2"/>
  <c r="AD18" i="2"/>
  <c r="AD6" i="2"/>
  <c r="AD9" i="2" s="1"/>
  <c r="AD12" i="2" s="1"/>
  <c r="AD14" i="2" s="1"/>
  <c r="AD16" i="2" s="1"/>
  <c r="AE18" i="2"/>
  <c r="AE21" i="2"/>
  <c r="AE20" i="2"/>
  <c r="AE6" i="2"/>
  <c r="AE9" i="2" s="1"/>
  <c r="AE12" i="2" s="1"/>
  <c r="AE14" i="2" s="1"/>
  <c r="AE16" i="2" s="1"/>
  <c r="M76" i="2"/>
  <c r="D74" i="2"/>
  <c r="E74" i="2"/>
  <c r="E93" i="2" s="1"/>
  <c r="F74" i="2"/>
  <c r="G74" i="2"/>
  <c r="G93" i="2" s="1"/>
  <c r="H74" i="2"/>
  <c r="I74" i="2"/>
  <c r="I93" i="2" s="1"/>
  <c r="J74" i="2"/>
  <c r="J93" i="2" s="1"/>
  <c r="K74" i="2"/>
  <c r="K93" i="2" s="1"/>
  <c r="L74" i="2"/>
  <c r="M74" i="2"/>
  <c r="N74" i="2"/>
  <c r="N93" i="2" s="1"/>
  <c r="O74" i="2"/>
  <c r="O93" i="2" s="1"/>
  <c r="P74" i="2"/>
  <c r="P93" i="2" s="1"/>
  <c r="D79" i="2"/>
  <c r="E79" i="2"/>
  <c r="F79" i="2"/>
  <c r="G79" i="2"/>
  <c r="I79" i="2"/>
  <c r="J79" i="2"/>
  <c r="K79" i="2"/>
  <c r="L79" i="2"/>
  <c r="M79" i="2"/>
  <c r="M91" i="2" s="1"/>
  <c r="N79" i="2"/>
  <c r="O79" i="2"/>
  <c r="P79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Q76" i="2"/>
  <c r="Q93" i="2" s="1"/>
  <c r="Q74" i="2"/>
  <c r="B7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Q46" i="2"/>
  <c r="Q40" i="2"/>
  <c r="Q18" i="2"/>
  <c r="H18" i="2"/>
  <c r="I18" i="2"/>
  <c r="J18" i="2"/>
  <c r="K18" i="2"/>
  <c r="L18" i="2"/>
  <c r="M18" i="2"/>
  <c r="N18" i="2"/>
  <c r="O18" i="2"/>
  <c r="P18" i="2"/>
  <c r="E20" i="2"/>
  <c r="H20" i="2"/>
  <c r="I20" i="2"/>
  <c r="K20" i="2"/>
  <c r="N20" i="2"/>
  <c r="P20" i="2"/>
  <c r="R18" i="2"/>
  <c r="S18" i="2"/>
  <c r="R20" i="2"/>
  <c r="S20" i="2"/>
  <c r="R21" i="2"/>
  <c r="S21" i="2"/>
  <c r="M6" i="2"/>
  <c r="M9" i="2" s="1"/>
  <c r="M12" i="2" s="1"/>
  <c r="M14" i="2" s="1"/>
  <c r="M16" i="2" s="1"/>
  <c r="Q6" i="2"/>
  <c r="Q20" i="2" s="1"/>
  <c r="B6" i="2"/>
  <c r="AG5" i="2" l="1"/>
  <c r="AH4" i="2"/>
  <c r="AG6" i="2"/>
  <c r="AH18" i="2"/>
  <c r="F91" i="2"/>
  <c r="F63" i="2"/>
  <c r="F12" i="2"/>
  <c r="F14" i="2" s="1"/>
  <c r="F16" i="2" s="1"/>
  <c r="F21" i="2"/>
  <c r="F20" i="2"/>
  <c r="G91" i="2"/>
  <c r="G60" i="2"/>
  <c r="G9" i="2"/>
  <c r="D91" i="2"/>
  <c r="D93" i="2"/>
  <c r="H93" i="2"/>
  <c r="D60" i="2"/>
  <c r="H60" i="2"/>
  <c r="D63" i="2"/>
  <c r="D21" i="2"/>
  <c r="D12" i="2"/>
  <c r="D14" i="2" s="1"/>
  <c r="D16" i="2" s="1"/>
  <c r="D20" i="2"/>
  <c r="H12" i="2"/>
  <c r="H14" i="2" s="1"/>
  <c r="H16" i="2" s="1"/>
  <c r="H63" i="2"/>
  <c r="H21" i="2"/>
  <c r="E91" i="2"/>
  <c r="F60" i="2"/>
  <c r="M60" i="2"/>
  <c r="E60" i="2"/>
  <c r="E12" i="2"/>
  <c r="E14" i="2" s="1"/>
  <c r="E16" i="2" s="1"/>
  <c r="E63" i="2"/>
  <c r="E21" i="2"/>
  <c r="I21" i="2"/>
  <c r="I12" i="2"/>
  <c r="I14" i="2" s="1"/>
  <c r="I16" i="2" s="1"/>
  <c r="I63" i="2"/>
  <c r="N60" i="2"/>
  <c r="J9" i="2"/>
  <c r="N12" i="2"/>
  <c r="N14" i="2" s="1"/>
  <c r="N16" i="2" s="1"/>
  <c r="N21" i="2"/>
  <c r="N63" i="2"/>
  <c r="K21" i="2"/>
  <c r="K63" i="2"/>
  <c r="K12" i="2"/>
  <c r="K14" i="2" s="1"/>
  <c r="K16" i="2" s="1"/>
  <c r="O12" i="2"/>
  <c r="O14" i="2" s="1"/>
  <c r="O16" i="2" s="1"/>
  <c r="O63" i="2"/>
  <c r="O21" i="2"/>
  <c r="O20" i="2"/>
  <c r="P9" i="5"/>
  <c r="P21" i="5" s="1"/>
  <c r="R9" i="5"/>
  <c r="R21" i="5" s="1"/>
  <c r="S4" i="5"/>
  <c r="R20" i="5"/>
  <c r="Q9" i="5"/>
  <c r="Q12" i="5" s="1"/>
  <c r="N5" i="5"/>
  <c r="N6" i="5"/>
  <c r="N9" i="5" s="1"/>
  <c r="N12" i="5" s="1"/>
  <c r="AF9" i="2"/>
  <c r="H21" i="5"/>
  <c r="H12" i="5"/>
  <c r="H14" i="5" s="1"/>
  <c r="H16" i="5" s="1"/>
  <c r="I9" i="5"/>
  <c r="G20" i="5"/>
  <c r="G9" i="5"/>
  <c r="H20" i="5"/>
  <c r="D21" i="5"/>
  <c r="J21" i="5"/>
  <c r="J12" i="5"/>
  <c r="J14" i="5" s="1"/>
  <c r="J16" i="5" s="1"/>
  <c r="E20" i="5"/>
  <c r="E9" i="5"/>
  <c r="M20" i="5"/>
  <c r="M9" i="5"/>
  <c r="O20" i="5"/>
  <c r="F20" i="5"/>
  <c r="F9" i="5"/>
  <c r="L91" i="2"/>
  <c r="L93" i="2"/>
  <c r="L9" i="2"/>
  <c r="P63" i="2"/>
  <c r="P12" i="2"/>
  <c r="P14" i="2" s="1"/>
  <c r="P16" i="2" s="1"/>
  <c r="P21" i="2"/>
  <c r="V21" i="2"/>
  <c r="V63" i="2"/>
  <c r="V12" i="2"/>
  <c r="V14" i="2" s="1"/>
  <c r="V16" i="2" s="1"/>
  <c r="W9" i="2"/>
  <c r="X12" i="2"/>
  <c r="X14" i="2" s="1"/>
  <c r="X16" i="2" s="1"/>
  <c r="X63" i="2"/>
  <c r="X20" i="2"/>
  <c r="X21" i="2"/>
  <c r="Y12" i="2"/>
  <c r="Y14" i="2" s="1"/>
  <c r="Y16" i="2" s="1"/>
  <c r="Y21" i="2"/>
  <c r="Y63" i="2"/>
  <c r="Y20" i="2"/>
  <c r="Z91" i="2"/>
  <c r="Z93" i="2"/>
  <c r="AA91" i="2"/>
  <c r="AA93" i="2"/>
  <c r="Z63" i="2"/>
  <c r="Z21" i="2"/>
  <c r="Z12" i="2"/>
  <c r="Z14" i="2" s="1"/>
  <c r="Z16" i="2" s="1"/>
  <c r="AA9" i="2"/>
  <c r="AA21" i="2" s="1"/>
  <c r="AB91" i="2"/>
  <c r="AB93" i="2"/>
  <c r="AC91" i="2"/>
  <c r="AB20" i="2"/>
  <c r="AB12" i="2"/>
  <c r="AB14" i="2" s="1"/>
  <c r="AB16" i="2" s="1"/>
  <c r="AB21" i="2"/>
  <c r="AB63" i="2"/>
  <c r="AC12" i="2"/>
  <c r="AC14" i="2" s="1"/>
  <c r="AC16" i="2" s="1"/>
  <c r="AC21" i="2"/>
  <c r="AC63" i="2"/>
  <c r="AD91" i="2"/>
  <c r="AE91" i="2"/>
  <c r="Q79" i="2"/>
  <c r="Q91" i="2" s="1"/>
  <c r="F93" i="2"/>
  <c r="M63" i="2"/>
  <c r="M93" i="2"/>
  <c r="Q60" i="2"/>
  <c r="N91" i="2"/>
  <c r="O91" i="2"/>
  <c r="K91" i="2"/>
  <c r="J91" i="2"/>
  <c r="I91" i="2"/>
  <c r="P91" i="2"/>
  <c r="H91" i="2"/>
  <c r="L60" i="2"/>
  <c r="P60" i="2"/>
  <c r="O60" i="2"/>
  <c r="K60" i="2"/>
  <c r="J60" i="2"/>
  <c r="I60" i="2"/>
  <c r="Q9" i="2"/>
  <c r="M20" i="2"/>
  <c r="M21" i="2"/>
  <c r="B9" i="2"/>
  <c r="AI4" i="2" l="1"/>
  <c r="AH5" i="2"/>
  <c r="AH6" i="2" s="1"/>
  <c r="AG9" i="2"/>
  <c r="E5" i="3" s="1"/>
  <c r="AG20" i="2"/>
  <c r="G12" i="2"/>
  <c r="G14" i="2" s="1"/>
  <c r="G16" i="2" s="1"/>
  <c r="G21" i="2"/>
  <c r="G63" i="2"/>
  <c r="P12" i="5"/>
  <c r="P13" i="5" s="1"/>
  <c r="P14" i="5" s="1"/>
  <c r="P16" i="5" s="1"/>
  <c r="J21" i="2"/>
  <c r="J63" i="2"/>
  <c r="J12" i="2"/>
  <c r="J14" i="2" s="1"/>
  <c r="J16" i="2" s="1"/>
  <c r="R12" i="5"/>
  <c r="R13" i="5" s="1"/>
  <c r="R14" i="5" s="1"/>
  <c r="R16" i="5" s="1"/>
  <c r="Q13" i="5"/>
  <c r="Q14" i="5" s="1"/>
  <c r="Q16" i="5" s="1"/>
  <c r="Q21" i="5"/>
  <c r="S6" i="5"/>
  <c r="T4" i="5"/>
  <c r="S18" i="5"/>
  <c r="N13" i="5"/>
  <c r="N14" i="5" s="1"/>
  <c r="N16" i="5" s="1"/>
  <c r="N20" i="5"/>
  <c r="AF21" i="2"/>
  <c r="AF12" i="2"/>
  <c r="G21" i="5"/>
  <c r="G12" i="5"/>
  <c r="G14" i="5" s="1"/>
  <c r="G16" i="5" s="1"/>
  <c r="N21" i="5"/>
  <c r="O12" i="5"/>
  <c r="O21" i="5"/>
  <c r="E12" i="5"/>
  <c r="E14" i="5" s="1"/>
  <c r="E16" i="5" s="1"/>
  <c r="E21" i="5"/>
  <c r="F21" i="5"/>
  <c r="F12" i="5"/>
  <c r="F14" i="5" s="1"/>
  <c r="F16" i="5" s="1"/>
  <c r="I12" i="5"/>
  <c r="I14" i="5" s="1"/>
  <c r="I16" i="5" s="1"/>
  <c r="I21" i="5"/>
  <c r="M12" i="5"/>
  <c r="M14" i="5" s="1"/>
  <c r="M16" i="5" s="1"/>
  <c r="M21" i="5"/>
  <c r="L12" i="2"/>
  <c r="L14" i="2" s="1"/>
  <c r="L16" i="2" s="1"/>
  <c r="L63" i="2"/>
  <c r="L21" i="2"/>
  <c r="D5" i="3"/>
  <c r="W63" i="2"/>
  <c r="W21" i="2"/>
  <c r="W12" i="2"/>
  <c r="W14" i="2" s="1"/>
  <c r="W16" i="2" s="1"/>
  <c r="AA12" i="2"/>
  <c r="AA14" i="2" s="1"/>
  <c r="AA16" i="2" s="1"/>
  <c r="AA63" i="2"/>
  <c r="Q21" i="2"/>
  <c r="Q63" i="2"/>
  <c r="Q12" i="2"/>
  <c r="Q14" i="2" s="1"/>
  <c r="AH20" i="2" l="1"/>
  <c r="AH9" i="2"/>
  <c r="AI18" i="2"/>
  <c r="AJ4" i="2"/>
  <c r="AI5" i="2"/>
  <c r="AI6" i="2" s="1"/>
  <c r="AF13" i="2"/>
  <c r="AF14" i="2" s="1"/>
  <c r="AF16" i="2" s="1"/>
  <c r="D6" i="3" s="1"/>
  <c r="AG12" i="2"/>
  <c r="AG21" i="2"/>
  <c r="O13" i="5"/>
  <c r="O14" i="5" s="1"/>
  <c r="O16" i="5" s="1"/>
  <c r="T6" i="5"/>
  <c r="U4" i="5"/>
  <c r="T18" i="5"/>
  <c r="S9" i="5"/>
  <c r="S20" i="5"/>
  <c r="AI20" i="2" l="1"/>
  <c r="AI9" i="2"/>
  <c r="AK4" i="2"/>
  <c r="AJ18" i="2"/>
  <c r="AJ5" i="2"/>
  <c r="AJ6" i="2" s="1"/>
  <c r="AH12" i="2"/>
  <c r="AH13" i="2" s="1"/>
  <c r="AH14" i="2" s="1"/>
  <c r="AH16" i="2" s="1"/>
  <c r="F6" i="3" s="1"/>
  <c r="AH21" i="2"/>
  <c r="F5" i="3"/>
  <c r="AG13" i="2"/>
  <c r="AG14" i="2" s="1"/>
  <c r="AG16" i="2" s="1"/>
  <c r="E6" i="3" s="1"/>
  <c r="S12" i="5"/>
  <c r="S21" i="5"/>
  <c r="V4" i="5"/>
  <c r="U6" i="5"/>
  <c r="U18" i="5"/>
  <c r="T9" i="5"/>
  <c r="T20" i="5"/>
  <c r="AJ9" i="2" l="1"/>
  <c r="AJ20" i="2"/>
  <c r="AI12" i="2"/>
  <c r="AI13" i="2" s="1"/>
  <c r="AI14" i="2" s="1"/>
  <c r="AI16" i="2" s="1"/>
  <c r="AI21" i="2"/>
  <c r="AK5" i="2"/>
  <c r="AK18" i="2"/>
  <c r="AK6" i="2"/>
  <c r="AL4" i="2"/>
  <c r="S13" i="5"/>
  <c r="S14" i="5" s="1"/>
  <c r="S16" i="5" s="1"/>
  <c r="T21" i="5"/>
  <c r="T12" i="5"/>
  <c r="U20" i="5"/>
  <c r="U9" i="5"/>
  <c r="V6" i="5"/>
  <c r="V18" i="5"/>
  <c r="W4" i="5"/>
  <c r="AK20" i="2" l="1"/>
  <c r="AK9" i="2"/>
  <c r="AL5" i="2"/>
  <c r="AL6" i="2" s="1"/>
  <c r="AM4" i="2"/>
  <c r="AL18" i="2"/>
  <c r="AJ21" i="2"/>
  <c r="AJ12" i="2"/>
  <c r="AJ13" i="2" s="1"/>
  <c r="AJ14" i="2" s="1"/>
  <c r="AJ16" i="2" s="1"/>
  <c r="T13" i="5"/>
  <c r="T14" i="5" s="1"/>
  <c r="T16" i="5" s="1"/>
  <c r="V20" i="5"/>
  <c r="V9" i="5"/>
  <c r="X4" i="5"/>
  <c r="W6" i="5"/>
  <c r="W18" i="5"/>
  <c r="U21" i="5"/>
  <c r="U12" i="5"/>
  <c r="AM18" i="2" l="1"/>
  <c r="AN4" i="2"/>
  <c r="AM5" i="2"/>
  <c r="AM6" i="2" s="1"/>
  <c r="AL20" i="2"/>
  <c r="AL9" i="2"/>
  <c r="AK12" i="2"/>
  <c r="AK13" i="2" s="1"/>
  <c r="AK14" i="2" s="1"/>
  <c r="AK21" i="2"/>
  <c r="U13" i="5"/>
  <c r="U14" i="5" s="1"/>
  <c r="U16" i="5" s="1"/>
  <c r="V12" i="5"/>
  <c r="V21" i="5"/>
  <c r="W20" i="5"/>
  <c r="W9" i="5"/>
  <c r="X6" i="5"/>
  <c r="X18" i="5"/>
  <c r="AK16" i="2" l="1"/>
  <c r="AN18" i="2"/>
  <c r="AN5" i="2"/>
  <c r="AN6" i="2" s="1"/>
  <c r="AO4" i="2"/>
  <c r="AL21" i="2"/>
  <c r="AL12" i="2"/>
  <c r="AL13" i="2" s="1"/>
  <c r="AL14" i="2" s="1"/>
  <c r="AL16" i="2" s="1"/>
  <c r="AM20" i="2"/>
  <c r="AM9" i="2"/>
  <c r="V13" i="5"/>
  <c r="V14" i="5" s="1"/>
  <c r="V16" i="5" s="1"/>
  <c r="X20" i="5"/>
  <c r="X9" i="5"/>
  <c r="W21" i="5"/>
  <c r="W12" i="5"/>
  <c r="AN20" i="2" l="1"/>
  <c r="AN9" i="2"/>
  <c r="AP4" i="2"/>
  <c r="AO5" i="2"/>
  <c r="AO6" i="2"/>
  <c r="AO18" i="2"/>
  <c r="AM21" i="2"/>
  <c r="AM12" i="2"/>
  <c r="AM13" i="2" s="1"/>
  <c r="AM14" i="2" s="1"/>
  <c r="AM16" i="2" s="1"/>
  <c r="W13" i="5"/>
  <c r="W14" i="5" s="1"/>
  <c r="W16" i="5" s="1"/>
  <c r="X12" i="5"/>
  <c r="X21" i="5"/>
  <c r="AO9" i="2" l="1"/>
  <c r="AO20" i="2"/>
  <c r="AP5" i="2"/>
  <c r="AP18" i="2"/>
  <c r="AP6" i="2"/>
  <c r="AN21" i="2"/>
  <c r="AN12" i="2"/>
  <c r="AN13" i="2" s="1"/>
  <c r="AN14" i="2" s="1"/>
  <c r="X13" i="5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BC14" i="5" s="1"/>
  <c r="BD14" i="5" s="1"/>
  <c r="BE14" i="5" s="1"/>
  <c r="BF14" i="5" s="1"/>
  <c r="BG14" i="5" s="1"/>
  <c r="BH14" i="5" s="1"/>
  <c r="BI14" i="5" s="1"/>
  <c r="BJ14" i="5" s="1"/>
  <c r="BK14" i="5" s="1"/>
  <c r="BL14" i="5" s="1"/>
  <c r="BM14" i="5" s="1"/>
  <c r="BN14" i="5" s="1"/>
  <c r="BO14" i="5" s="1"/>
  <c r="BP14" i="5" s="1"/>
  <c r="BQ14" i="5" s="1"/>
  <c r="BR14" i="5" s="1"/>
  <c r="BS14" i="5" s="1"/>
  <c r="BT14" i="5" s="1"/>
  <c r="BU14" i="5" s="1"/>
  <c r="BV14" i="5" s="1"/>
  <c r="BW14" i="5" s="1"/>
  <c r="BX14" i="5" s="1"/>
  <c r="BY14" i="5" s="1"/>
  <c r="BZ14" i="5" s="1"/>
  <c r="CA14" i="5" s="1"/>
  <c r="CB14" i="5" s="1"/>
  <c r="CC14" i="5" s="1"/>
  <c r="CD14" i="5" s="1"/>
  <c r="CE14" i="5" s="1"/>
  <c r="CF14" i="5" s="1"/>
  <c r="CG14" i="5" s="1"/>
  <c r="CH14" i="5" s="1"/>
  <c r="CI14" i="5" s="1"/>
  <c r="CJ14" i="5" s="1"/>
  <c r="CK14" i="5" s="1"/>
  <c r="CL14" i="5" s="1"/>
  <c r="CM14" i="5" s="1"/>
  <c r="CN14" i="5" s="1"/>
  <c r="CO14" i="5" s="1"/>
  <c r="CP14" i="5" s="1"/>
  <c r="CQ14" i="5" s="1"/>
  <c r="CR14" i="5" s="1"/>
  <c r="CS14" i="5" s="1"/>
  <c r="CT14" i="5" s="1"/>
  <c r="CU14" i="5" s="1"/>
  <c r="CV14" i="5" s="1"/>
  <c r="CW14" i="5" s="1"/>
  <c r="CX14" i="5" s="1"/>
  <c r="CY14" i="5" s="1"/>
  <c r="CZ14" i="5" s="1"/>
  <c r="DA14" i="5" s="1"/>
  <c r="DB14" i="5" s="1"/>
  <c r="DC14" i="5" s="1"/>
  <c r="DD14" i="5" s="1"/>
  <c r="DE14" i="5" s="1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DS14" i="5" s="1"/>
  <c r="DT14" i="5" s="1"/>
  <c r="DU14" i="5" s="1"/>
  <c r="DV14" i="5" s="1"/>
  <c r="DW14" i="5" s="1"/>
  <c r="DX14" i="5" s="1"/>
  <c r="DY14" i="5" s="1"/>
  <c r="DZ14" i="5" s="1"/>
  <c r="EA14" i="5" s="1"/>
  <c r="EB14" i="5" s="1"/>
  <c r="EC14" i="5" s="1"/>
  <c r="ED14" i="5" s="1"/>
  <c r="EE14" i="5" s="1"/>
  <c r="EF14" i="5" s="1"/>
  <c r="EG14" i="5" s="1"/>
  <c r="EH14" i="5" s="1"/>
  <c r="EI14" i="5" s="1"/>
  <c r="EJ14" i="5" s="1"/>
  <c r="EK14" i="5" s="1"/>
  <c r="EL14" i="5" s="1"/>
  <c r="EM14" i="5" s="1"/>
  <c r="EN14" i="5" s="1"/>
  <c r="EO14" i="5" s="1"/>
  <c r="EP14" i="5" s="1"/>
  <c r="EQ14" i="5" s="1"/>
  <c r="ER14" i="5" s="1"/>
  <c r="ES14" i="5" s="1"/>
  <c r="ET14" i="5" s="1"/>
  <c r="EU14" i="5" s="1"/>
  <c r="EV14" i="5" s="1"/>
  <c r="EW14" i="5" s="1"/>
  <c r="EX14" i="5" s="1"/>
  <c r="EY14" i="5" s="1"/>
  <c r="EZ14" i="5" s="1"/>
  <c r="FA14" i="5" s="1"/>
  <c r="FB14" i="5" s="1"/>
  <c r="FC14" i="5" s="1"/>
  <c r="FD14" i="5" s="1"/>
  <c r="FE14" i="5" s="1"/>
  <c r="FF14" i="5" s="1"/>
  <c r="FG14" i="5" s="1"/>
  <c r="FH14" i="5" s="1"/>
  <c r="FI14" i="5" s="1"/>
  <c r="FJ14" i="5" s="1"/>
  <c r="FK14" i="5" s="1"/>
  <c r="FL14" i="5" s="1"/>
  <c r="FM14" i="5" s="1"/>
  <c r="FN14" i="5" s="1"/>
  <c r="FO14" i="5" s="1"/>
  <c r="FP14" i="5" s="1"/>
  <c r="FQ14" i="5" s="1"/>
  <c r="FR14" i="5" s="1"/>
  <c r="FS14" i="5" s="1"/>
  <c r="FT14" i="5" s="1"/>
  <c r="FU14" i="5" s="1"/>
  <c r="FV14" i="5" s="1"/>
  <c r="FW14" i="5" s="1"/>
  <c r="FX14" i="5" s="1"/>
  <c r="FY14" i="5" s="1"/>
  <c r="FZ14" i="5" s="1"/>
  <c r="GA14" i="5" s="1"/>
  <c r="GB14" i="5" s="1"/>
  <c r="GC14" i="5" s="1"/>
  <c r="GD14" i="5" s="1"/>
  <c r="GE14" i="5" s="1"/>
  <c r="GF14" i="5" s="1"/>
  <c r="GG14" i="5" s="1"/>
  <c r="GH14" i="5" s="1"/>
  <c r="GI14" i="5" s="1"/>
  <c r="GJ14" i="5" s="1"/>
  <c r="GK14" i="5" s="1"/>
  <c r="GL14" i="5" s="1"/>
  <c r="GM14" i="5" s="1"/>
  <c r="GN14" i="5" s="1"/>
  <c r="GO14" i="5" s="1"/>
  <c r="GP14" i="5" s="1"/>
  <c r="GQ14" i="5" s="1"/>
  <c r="GR14" i="5" s="1"/>
  <c r="GS14" i="5" s="1"/>
  <c r="GT14" i="5" s="1"/>
  <c r="GU14" i="5" s="1"/>
  <c r="GV14" i="5" s="1"/>
  <c r="GW14" i="5" s="1"/>
  <c r="GX14" i="5" s="1"/>
  <c r="GY14" i="5" s="1"/>
  <c r="GZ14" i="5" s="1"/>
  <c r="HA14" i="5" s="1"/>
  <c r="HB14" i="5" s="1"/>
  <c r="HC14" i="5" s="1"/>
  <c r="HD14" i="5" s="1"/>
  <c r="HE14" i="5" s="1"/>
  <c r="HF14" i="5" s="1"/>
  <c r="HG14" i="5" s="1"/>
  <c r="AN16" i="2" l="1"/>
  <c r="AP20" i="2"/>
  <c r="AP9" i="2"/>
  <c r="AO21" i="2"/>
  <c r="AO12" i="2"/>
  <c r="AO13" i="2" s="1"/>
  <c r="AO14" i="2" s="1"/>
  <c r="AO16" i="2" s="1"/>
  <c r="X16" i="5"/>
  <c r="AP21" i="2" l="1"/>
  <c r="AP12" i="2"/>
  <c r="AP13" i="2" s="1"/>
  <c r="AP14" i="2" s="1"/>
  <c r="AA19" i="5"/>
  <c r="AA21" i="5" s="1"/>
  <c r="AQ14" i="2" l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GN14" i="2" s="1"/>
  <c r="GO14" i="2" s="1"/>
  <c r="GP14" i="2" s="1"/>
  <c r="GQ14" i="2" s="1"/>
  <c r="GR14" i="2" s="1"/>
  <c r="GS14" i="2" s="1"/>
  <c r="GT14" i="2" s="1"/>
  <c r="GU14" i="2" s="1"/>
  <c r="GV14" i="2" s="1"/>
  <c r="GW14" i="2" s="1"/>
  <c r="GX14" i="2" s="1"/>
  <c r="GY14" i="2" s="1"/>
  <c r="GZ14" i="2" s="1"/>
  <c r="HA14" i="2" s="1"/>
  <c r="HB14" i="2" s="1"/>
  <c r="HC14" i="2" s="1"/>
  <c r="HD14" i="2" s="1"/>
  <c r="HE14" i="2" s="1"/>
  <c r="HF14" i="2" s="1"/>
  <c r="HG14" i="2" s="1"/>
  <c r="HH14" i="2" s="1"/>
  <c r="HI14" i="2" s="1"/>
  <c r="HJ14" i="2" s="1"/>
  <c r="HK14" i="2" s="1"/>
  <c r="HL14" i="2" s="1"/>
  <c r="HM14" i="2" s="1"/>
  <c r="HN14" i="2" s="1"/>
  <c r="HO14" i="2" s="1"/>
  <c r="HP14" i="2" s="1"/>
  <c r="HQ14" i="2" s="1"/>
  <c r="HR14" i="2" s="1"/>
  <c r="HS14" i="2" s="1"/>
  <c r="HT14" i="2" s="1"/>
  <c r="HU14" i="2" s="1"/>
  <c r="HV14" i="2" s="1"/>
  <c r="HW14" i="2" s="1"/>
  <c r="HX14" i="2" s="1"/>
  <c r="HY14" i="2" s="1"/>
  <c r="AS19" i="2" s="1"/>
  <c r="AS21" i="2" s="1"/>
  <c r="AS22" i="2" s="1"/>
  <c r="AP16" i="2"/>
  <c r="AA22" i="5"/>
  <c r="A6" i="5" s="1"/>
  <c r="A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tc={BD8788F7-DF38-6B45-BC66-5F2D86A2F219}</author>
  </authors>
  <commentList>
    <comment ref="B26" authorId="0" shapeId="0" xr:uid="{BD8788F7-DF38-6B45-BC66-5F2D86A2F219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lansert i Q224
</t>
      </text>
    </comment>
  </commentList>
</comments>
</file>

<file path=xl/sharedStrings.xml><?xml version="1.0" encoding="utf-8"?>
<sst xmlns="http://schemas.openxmlformats.org/spreadsheetml/2006/main" count="297" uniqueCount="170">
  <si>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</si>
  <si>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</si>
  <si>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</si>
  <si>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</si>
  <si>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</si>
  <si>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</si>
  <si>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</si>
  <si>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</si>
  <si>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</si>
  <si>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</si>
  <si>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</si>
  <si>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</si>
  <si>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</si>
  <si>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</si>
  <si>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</si>
  <si>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</si>
  <si>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</si>
  <si>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</si>
  <si>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</si>
  <si>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</si>
  <si>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</si>
  <si>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</si>
  <si>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</si>
  <si>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</si>
  <si>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</si>
  <si>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</si>
  <si>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</si>
  <si>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</si>
  <si>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</si>
  <si>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</si>
  <si>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</si>
  <si>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</si>
  <si>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</si>
  <si>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</si>
  <si>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</si>
  <si>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</si>
  <si>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</si>
  <si>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</si>
  <si>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Revenue y/y</t>
  </si>
  <si>
    <t>EBIT margin</t>
  </si>
  <si>
    <t>Nedside</t>
  </si>
  <si>
    <t>FY 2015</t>
  </si>
  <si>
    <t>FY 2016</t>
  </si>
  <si>
    <t>FY 2017</t>
  </si>
  <si>
    <t>FY 2018</t>
  </si>
  <si>
    <t>Gross margin</t>
  </si>
  <si>
    <t>DKKm</t>
  </si>
  <si>
    <t>MC DKKm</t>
  </si>
  <si>
    <t>Cash DKKm</t>
  </si>
  <si>
    <t>Debt DKKm</t>
  </si>
  <si>
    <t>EV DKKm</t>
  </si>
  <si>
    <t>Balanse DKKm</t>
  </si>
  <si>
    <t xml:space="preserve">Cash flow DKKm </t>
  </si>
  <si>
    <t>Revenue</t>
  </si>
  <si>
    <t>Cost of sales</t>
  </si>
  <si>
    <t>Gross profit</t>
  </si>
  <si>
    <t>Sales, distribution and marketing ex</t>
  </si>
  <si>
    <t>Adminstrative expenses</t>
  </si>
  <si>
    <t>Operating profit (EBIT)</t>
  </si>
  <si>
    <t>Finance income</t>
  </si>
  <si>
    <t>Finance expense</t>
  </si>
  <si>
    <t>PTP</t>
  </si>
  <si>
    <t>Tax</t>
  </si>
  <si>
    <t>Net income</t>
  </si>
  <si>
    <t xml:space="preserve">Share </t>
  </si>
  <si>
    <t>EPS</t>
  </si>
  <si>
    <t>Goodwill</t>
  </si>
  <si>
    <t>Brand</t>
  </si>
  <si>
    <t>Distribution</t>
  </si>
  <si>
    <t>Other intangiable assets</t>
  </si>
  <si>
    <t>PP&amp;E</t>
  </si>
  <si>
    <t>Right-of-use assets</t>
  </si>
  <si>
    <t>Deferred tax assets</t>
  </si>
  <si>
    <t>Other financial assets</t>
  </si>
  <si>
    <t>Inventories</t>
  </si>
  <si>
    <t>Trade receivables</t>
  </si>
  <si>
    <t>Contract assets</t>
  </si>
  <si>
    <t>Derivative financial instruments</t>
  </si>
  <si>
    <t>Other receivables</t>
  </si>
  <si>
    <t>Cash</t>
  </si>
  <si>
    <t>Total assets</t>
  </si>
  <si>
    <t>Reserves</t>
  </si>
  <si>
    <t>Proposed dividends</t>
  </si>
  <si>
    <t>Retained earnings</t>
  </si>
  <si>
    <t>Provisions</t>
  </si>
  <si>
    <t>Deferred tax liabilities</t>
  </si>
  <si>
    <t>Other payables</t>
  </si>
  <si>
    <t>Refund libailities</t>
  </si>
  <si>
    <t>Contract libailities</t>
  </si>
  <si>
    <t>Trade payables</t>
  </si>
  <si>
    <t>Income tax payable</t>
  </si>
  <si>
    <t>Total debt</t>
  </si>
  <si>
    <t>Total E/D</t>
  </si>
  <si>
    <t>Total equity</t>
  </si>
  <si>
    <t xml:space="preserve">Share capital </t>
  </si>
  <si>
    <t>Treasury shares</t>
  </si>
  <si>
    <t>Model OP</t>
  </si>
  <si>
    <t>Reported OP</t>
  </si>
  <si>
    <t>D/A</t>
  </si>
  <si>
    <t>SBC</t>
  </si>
  <si>
    <t>Change in inventories</t>
  </si>
  <si>
    <t>Change in receivables</t>
  </si>
  <si>
    <t>Change in payables and other lia</t>
  </si>
  <si>
    <t>Other non-cash</t>
  </si>
  <si>
    <t>Finance income received</t>
  </si>
  <si>
    <t>Finance costs paid</t>
  </si>
  <si>
    <t>Income tax paid</t>
  </si>
  <si>
    <t>CFFO</t>
  </si>
  <si>
    <t>Capex</t>
  </si>
  <si>
    <t>Change in other assets</t>
  </si>
  <si>
    <t>Proceeds from sale of PP&amp;E</t>
  </si>
  <si>
    <t>CFFI</t>
  </si>
  <si>
    <t>Dividend paid</t>
  </si>
  <si>
    <t>Dividend paid - withholding tax</t>
  </si>
  <si>
    <t>Buybacks</t>
  </si>
  <si>
    <t>Proceeds from loans</t>
  </si>
  <si>
    <t>Repyament of loans</t>
  </si>
  <si>
    <t>Repayment of lease commitments</t>
  </si>
  <si>
    <t>CFFF</t>
  </si>
  <si>
    <t>FX</t>
  </si>
  <si>
    <t>CIC</t>
  </si>
  <si>
    <t>FCF</t>
  </si>
  <si>
    <t>ROIC</t>
  </si>
  <si>
    <t xml:space="preserve">Like-for-Like </t>
  </si>
  <si>
    <t>Discount</t>
  </si>
  <si>
    <t>TV</t>
  </si>
  <si>
    <t>NPV</t>
  </si>
  <si>
    <t>NPV/Share</t>
  </si>
  <si>
    <t>Opp/nedside</t>
  </si>
  <si>
    <t>Current loans and borrowings</t>
  </si>
  <si>
    <t>Income tax receivables</t>
  </si>
  <si>
    <t>Non-current loans and borrowings</t>
  </si>
  <si>
    <t>Guidance (Q225):</t>
  </si>
  <si>
    <t xml:space="preserve">Nullvekst og nedgang i marginer </t>
  </si>
  <si>
    <r>
      <t xml:space="preserve">Produksjon i Thailand, tarfiff på </t>
    </r>
    <r>
      <rPr>
        <b/>
        <sz val="14"/>
        <color theme="1"/>
        <rFont val="Calibri"/>
        <family val="2"/>
        <scheme val="minor"/>
      </rPr>
      <t>19%</t>
    </r>
    <r>
      <rPr>
        <sz val="14"/>
        <color theme="1"/>
        <rFont val="Calibri"/>
        <family val="2"/>
        <scheme val="minor"/>
      </rPr>
      <t xml:space="preserve"> til USA</t>
    </r>
  </si>
  <si>
    <t>Gull og sølv-priser er viktig innsatsfaktor</t>
  </si>
  <si>
    <t>Gulpris:</t>
  </si>
  <si>
    <t>Sølvpris:</t>
  </si>
  <si>
    <t>DKK million</t>
  </si>
  <si>
    <t>CORE</t>
  </si>
  <si>
    <t>Moments</t>
  </si>
  <si>
    <t>Like-for-like</t>
  </si>
  <si>
    <t>Collabs</t>
  </si>
  <si>
    <t>ME</t>
  </si>
  <si>
    <t>Total</t>
  </si>
  <si>
    <t>Fuel with more</t>
  </si>
  <si>
    <t>Timeless</t>
  </si>
  <si>
    <t>Signature</t>
  </si>
  <si>
    <t>PANDORA ESSENCE</t>
  </si>
  <si>
    <t>Key market</t>
  </si>
  <si>
    <t>US</t>
  </si>
  <si>
    <t>China</t>
  </si>
  <si>
    <t>UK</t>
  </si>
  <si>
    <t>Italy</t>
  </si>
  <si>
    <t>Australia</t>
  </si>
  <si>
    <t>France</t>
  </si>
  <si>
    <t>Germany</t>
  </si>
  <si>
    <t>Total key market</t>
  </si>
  <si>
    <t>Rest of Pandora</t>
  </si>
  <si>
    <t>Organic growth</t>
  </si>
  <si>
    <t xml:space="preserve">I 2023 kunngjorde Pandora at de skal ha EBIT-margin rundt 26-27% innen 26. </t>
  </si>
  <si>
    <t>Siden CMD har det oppstått headwinds fra råvarer og FX på 380 basispoint.</t>
  </si>
  <si>
    <t>Samtidig er det også 120 bp fra tariffer</t>
  </si>
  <si>
    <t>Kan denne bli enda mer nedjustert??</t>
  </si>
  <si>
    <t>I Q1225 nedjusterte de 26-27 til "Around 25%" noe igjen nedjsuterte i Q225 til "Around 24%"</t>
  </si>
  <si>
    <t>Update on CMD targets Q225</t>
  </si>
  <si>
    <t>De har også et kostnadsprogram som heter "Silverstone" hvor besparelser er forevntet å sees fra Q126</t>
  </si>
  <si>
    <t>Pandora Lab-grown diamonds</t>
  </si>
  <si>
    <t>Total CORE</t>
  </si>
  <si>
    <t>Total Fuel with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</si>
</sst>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 %"/>
    <numFmt numFmtId="168" formatCode="[$DKK]\ #,##0.00_);[Red]\([$DKK]\ #,##0.00\)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2" fontId="2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4" fontId="2" fillId="0" borderId="1" xfId="0" applyNumberFormat="1" applyFont="1" applyBorder="1"/>
    <xf numFmtId="166" fontId="1" fillId="0" borderId="0" xfId="0" applyNumberFormat="1" applyFont="1"/>
    <xf numFmtId="10" fontId="4" fillId="0" borderId="0" xfId="0" applyNumberFormat="1" applyFont="1"/>
    <xf numFmtId="10" fontId="4" fillId="0" borderId="1" xfId="0" applyNumberFormat="1" applyFont="1" applyBorder="1"/>
    <xf numFmtId="10" fontId="1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0" fontId="5" fillId="0" borderId="2" xfId="0" applyFont="1" applyBorder="1"/>
    <xf numFmtId="10" fontId="1" fillId="0" borderId="1" xfId="0" applyNumberFormat="1" applyFont="1" applyBorder="1"/>
    <xf numFmtId="0" fontId="2" fillId="0" borderId="3" xfId="0" applyFont="1" applyBorder="1"/>
    <xf numFmtId="9" fontId="2" fillId="0" borderId="0" xfId="0" applyNumberFormat="1" applyFont="1"/>
    <xf numFmtId="168" fontId="2" fillId="0" borderId="3" xfId="0" applyNumberFormat="1" applyFont="1" applyBorder="1"/>
    <xf numFmtId="168" fontId="2" fillId="0" borderId="0" xfId="0" applyNumberFormat="1" applyFont="1"/>
    <xf numFmtId="168" fontId="1" fillId="0" borderId="0" xfId="0" applyNumberFormat="1" applyFont="1"/>
    <xf numFmtId="165" fontId="6" fillId="0" borderId="2" xfId="0" applyNumberFormat="1" applyFont="1" applyBorder="1"/>
    <xf numFmtId="3" fontId="2" fillId="0" borderId="0" xfId="0" applyNumberFormat="1" applyFont="1" applyBorder="1"/>
    <xf numFmtId="0" fontId="2" fillId="0" borderId="4" xfId="0" applyFont="1" applyBorder="1"/>
    <xf numFmtId="10" fontId="2" fillId="0" borderId="3" xfId="0" applyNumberFormat="1" applyFont="1" applyBorder="1"/>
    <xf numFmtId="0" fontId="1" fillId="0" borderId="3" xfId="0" applyFont="1" applyBorder="1"/>
    <xf numFmtId="10" fontId="1" fillId="0" borderId="3" xfId="0" applyNumberFormat="1" applyFont="1" applyBorder="1"/>
    <xf numFmtId="2" fontId="2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2" fillId="0" borderId="0" xfId="0" applyFont="1" applyBorder="1" applyAlignment="1">
      <alignment horizontal="right"/>
    </xf>
    <xf numFmtId="10" fontId="4" fillId="0" borderId="3" xfId="0" applyNumberFormat="1" applyFont="1" applyBorder="1"/>
    <xf numFmtId="10" fontId="3" fillId="0" borderId="3" xfId="0" applyNumberFormat="1" applyFont="1" applyBorder="1"/>
    <xf numFmtId="0" fontId="1" fillId="0" borderId="5" xfId="0" applyFont="1" applyBorder="1"/>
    <xf numFmtId="0" fontId="2" fillId="0" borderId="5" xfId="0" applyFont="1" applyBorder="1"/>
    <xf numFmtId="10" fontId="3" fillId="0" borderId="6" xfId="0" applyNumberFormat="1" applyFont="1" applyBorder="1"/>
    <xf numFmtId="0" fontId="1" fillId="0" borderId="0" xfId="0" applyFont="1" applyBorder="1"/>
    <xf numFmtId="0" fontId="2" fillId="0" borderId="0" xfId="0" applyFont="1" applyBorder="1"/>
    <xf numFmtId="10" fontId="4" fillId="0" borderId="0" xfId="0" applyNumberFormat="1" applyFont="1" applyBorder="1"/>
    <xf numFmtId="10" fontId="3" fillId="0" borderId="0" xfId="0" applyNumberFormat="1" applyFont="1" applyBorder="1"/>
    <xf numFmtId="10" fontId="4" fillId="0" borderId="6" xfId="0" applyNumberFormat="1" applyFont="1" applyBorder="1"/>
    <xf numFmtId="0" fontId="2" fillId="0" borderId="6" xfId="0" applyFont="1" applyBorder="1"/>
    <xf numFmtId="0" fontId="1" fillId="0" borderId="8" xfId="0" applyFont="1" applyBorder="1" applyAlignment="1">
      <alignment horizontal="right"/>
    </xf>
    <xf numFmtId="0" fontId="2" fillId="0" borderId="8" xfId="0" applyFont="1" applyBorder="1"/>
    <xf numFmtId="0" fontId="1" fillId="0" borderId="8" xfId="0" applyFont="1" applyBorder="1"/>
    <xf numFmtId="10" fontId="3" fillId="0" borderId="7" xfId="0" applyNumberFormat="1" applyFont="1" applyBorder="1"/>
    <xf numFmtId="0" fontId="2" fillId="0" borderId="10" xfId="0" applyFont="1" applyBorder="1"/>
    <xf numFmtId="10" fontId="3" fillId="0" borderId="9" xfId="0" applyNumberFormat="1" applyFont="1" applyBorder="1"/>
    <xf numFmtId="0" fontId="1" fillId="0" borderId="10" xfId="0" applyFont="1" applyBorder="1"/>
    <xf numFmtId="10" fontId="3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762000</xdr:colOff>
      <xdr:row>2</xdr:row>
      <xdr:rowOff>88900</xdr:rowOff>
    </xdr:from>
    <xdr:to>
      <xdr:col>21</xdr:col>
      <xdr:colOff>791354</xdr:colOff>
      <xdr:row>18</xdr:row>
      <xdr:rowOff>114300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ABD7B24-F5C8-C77D-418B-D704C74F1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0" y="571500"/>
          <a:ext cx="8284354" cy="38862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18</xdr:row>
      <xdr:rowOff>177800</xdr:rowOff>
    </xdr:from>
    <xdr:to>
      <xdr:col>22</xdr:col>
      <xdr:colOff>238646</xdr:colOff>
      <xdr:row>36</xdr:row>
      <xdr:rowOff>25400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1D0D6DD3-AF4A-4D60-5BB1-542B1AB0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0" y="4521200"/>
          <a:ext cx="8277746" cy="419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393699</xdr:colOff>
      <xdr:row>36</xdr:row>
      <xdr:rowOff>127000</xdr:rowOff>
    </xdr:from>
    <xdr:to>
      <xdr:col>22</xdr:col>
      <xdr:colOff>257224</xdr:colOff>
      <xdr:row>41</xdr:row>
      <xdr:rowOff>228600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6D34723E-EE8D-2711-39B3-98EC95AE9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09299" y="8813800"/>
          <a:ext cx="8118525" cy="1308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8871B6E6-CA49-A94E-9A72-CF975C8356BB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5-08-17T09:26:54.37" personId="{8871B6E6-CA49-A94E-9A72-CF975C8356BB}" id="{BD8788F7-DF38-6B45-BC66-5F2D86A2F219}">
    <text xml:space="preserve">lansert i Q224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2:M21"/>
  <sheetViews>
    <sheetView showGridLines="0" workbookViewId="0">
      <selection activeCell="A22" sqref="A22"/>
    </sheetView>
  </sheetViews>
  <sheetFormatPr baseColWidth="10" defaultRowHeight="19" x14ac:dyDescent="0.25"/>
  <cols>
    <col min="1" max="6" width="10.83203125" style="2"/>
    <col min="7" max="7" width="18.83203125" style="2" customWidth="1"/>
    <col min="8" max="16384" width="10.83203125" style="2"/>
  </cols>
  <sheetData>
    <row r="2" spans="1:13" x14ac:dyDescent="0.25">
      <c r="M2" s="1" t="s">
        <v>132</v>
      </c>
    </row>
    <row r="3" spans="1:13" x14ac:dyDescent="0.25">
      <c r="A3" s="2" t="s">
        <v>134</v>
      </c>
    </row>
    <row r="5" spans="1:13" x14ac:dyDescent="0.25">
      <c r="A5" s="2" t="s">
        <v>135</v>
      </c>
      <c r="G5" s="1"/>
    </row>
    <row r="6" spans="1:13" x14ac:dyDescent="0.25">
      <c r="A6" s="1"/>
    </row>
    <row r="7" spans="1:13" x14ac:dyDescent="0.25">
      <c r="A7" s="1" t="s">
        <v>136</v>
      </c>
    </row>
    <row r="8" spans="1:13" x14ac:dyDescent="0.25">
      <c r="A8" s="1" t="s">
        <v>137</v>
      </c>
    </row>
    <row r="13" spans="1:13" x14ac:dyDescent="0.25">
      <c r="A13" s="1" t="s">
        <v>165</v>
      </c>
    </row>
    <row r="14" spans="1:13" x14ac:dyDescent="0.25">
      <c r="A14" s="2" t="s">
        <v>160</v>
      </c>
    </row>
    <row r="15" spans="1:13" x14ac:dyDescent="0.25">
      <c r="A15" s="2" t="s">
        <v>161</v>
      </c>
    </row>
    <row r="16" spans="1:13" x14ac:dyDescent="0.25">
      <c r="A16" s="2" t="s">
        <v>162</v>
      </c>
    </row>
    <row r="17" spans="1:1" x14ac:dyDescent="0.25">
      <c r="A17" s="2" t="s">
        <v>164</v>
      </c>
    </row>
    <row r="19" spans="1:1" x14ac:dyDescent="0.25">
      <c r="A19" s="1" t="s">
        <v>163</v>
      </c>
    </row>
    <row r="21" spans="1:1" x14ac:dyDescent="0.25">
      <c r="A21" s="2" t="s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HY126"/>
  <sheetViews>
    <sheetView showGridLines="0" tabSelected="1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M16" sqref="M16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4.832031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31" width="10.83203125" style="2"/>
    <col min="32" max="32" width="10.83203125" style="4"/>
    <col min="33" max="43" width="10.83203125" style="2"/>
    <col min="44" max="44" width="14.1640625" style="2" bestFit="1" customWidth="1"/>
    <col min="45" max="45" width="16.6640625" style="2" bestFit="1" customWidth="1"/>
    <col min="46" max="16384" width="10.83203125" style="2"/>
  </cols>
  <sheetData>
    <row r="1" spans="1:233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B1" s="1"/>
    </row>
    <row r="3" spans="1:233" x14ac:dyDescent="0.25">
      <c r="A3" s="1" t="s">
        <v>0</v>
      </c>
      <c r="C3" s="2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37</v>
      </c>
      <c r="Q3" s="17" t="s">
        <v>31</v>
      </c>
      <c r="R3" s="7" t="s">
        <v>35</v>
      </c>
      <c r="S3" s="7" t="s">
        <v>36</v>
      </c>
      <c r="V3" s="7" t="s">
        <v>41</v>
      </c>
      <c r="W3" s="7" t="s">
        <v>42</v>
      </c>
      <c r="X3" s="7" t="s">
        <v>43</v>
      </c>
      <c r="Y3" s="7" t="s">
        <v>44</v>
      </c>
      <c r="Z3" s="7" t="s">
        <v>32</v>
      </c>
      <c r="AA3" s="7" t="s">
        <v>33</v>
      </c>
      <c r="AB3" s="7" t="s">
        <v>34</v>
      </c>
      <c r="AC3" s="7" t="s">
        <v>15</v>
      </c>
      <c r="AD3" s="7" t="s">
        <v>16</v>
      </c>
      <c r="AE3" s="7" t="s">
        <v>17</v>
      </c>
      <c r="AF3" s="17" t="s">
        <v>18</v>
      </c>
      <c r="AG3" s="7" t="s">
        <v>19</v>
      </c>
      <c r="AH3" s="7" t="s">
        <v>20</v>
      </c>
      <c r="AI3" s="7" t="s">
        <v>21</v>
      </c>
      <c r="AJ3" s="7" t="s">
        <v>22</v>
      </c>
      <c r="AK3" s="7" t="s">
        <v>23</v>
      </c>
      <c r="AL3" s="7" t="s">
        <v>24</v>
      </c>
      <c r="AM3" s="7" t="s">
        <v>25</v>
      </c>
      <c r="AN3" s="7" t="s">
        <v>26</v>
      </c>
      <c r="AO3" s="7" t="s">
        <v>27</v>
      </c>
      <c r="AP3" s="7" t="s">
        <v>28</v>
      </c>
    </row>
    <row r="4" spans="1:233" x14ac:dyDescent="0.25">
      <c r="A4" s="2" t="s">
        <v>1</v>
      </c>
      <c r="B4" s="21">
        <v>844.6</v>
      </c>
      <c r="C4" s="1" t="s">
        <v>53</v>
      </c>
      <c r="D4" s="12">
        <v>5689</v>
      </c>
      <c r="E4" s="12">
        <v>5655</v>
      </c>
      <c r="F4" s="12">
        <v>5263</v>
      </c>
      <c r="G4" s="12">
        <v>9856</v>
      </c>
      <c r="H4" s="12">
        <v>5850</v>
      </c>
      <c r="I4" s="12">
        <v>5894</v>
      </c>
      <c r="J4" s="12">
        <v>5572</v>
      </c>
      <c r="K4" s="12">
        <v>10820</v>
      </c>
      <c r="L4" s="12">
        <v>6834</v>
      </c>
      <c r="M4" s="12">
        <v>6771</v>
      </c>
      <c r="N4" s="12">
        <v>6103</v>
      </c>
      <c r="O4" s="12">
        <v>11973</v>
      </c>
      <c r="P4" s="12">
        <v>7347</v>
      </c>
      <c r="Q4" s="13">
        <v>7075</v>
      </c>
      <c r="R4" s="12"/>
      <c r="S4" s="12"/>
      <c r="V4" s="12">
        <v>16737</v>
      </c>
      <c r="W4" s="12">
        <v>20281</v>
      </c>
      <c r="X4" s="12">
        <v>22781</v>
      </c>
      <c r="Y4" s="12">
        <v>22806</v>
      </c>
      <c r="Z4" s="12">
        <v>21868</v>
      </c>
      <c r="AA4" s="12">
        <v>19009</v>
      </c>
      <c r="AB4" s="12">
        <v>23394</v>
      </c>
      <c r="AC4" s="12">
        <v>26463</v>
      </c>
      <c r="AD4" s="12">
        <v>28136</v>
      </c>
      <c r="AE4" s="12">
        <v>31680</v>
      </c>
      <c r="AF4" s="13">
        <f>AE4*1.05</f>
        <v>33264</v>
      </c>
      <c r="AG4" s="12">
        <f>AF4*1.05</f>
        <v>34927.200000000004</v>
      </c>
      <c r="AH4" s="12">
        <f t="shared" ref="AH4:AP4" si="0">AG4*1.05</f>
        <v>36673.560000000005</v>
      </c>
      <c r="AI4" s="12">
        <f t="shared" si="0"/>
        <v>38507.238000000005</v>
      </c>
      <c r="AJ4" s="12">
        <f t="shared" si="0"/>
        <v>40432.599900000008</v>
      </c>
      <c r="AK4" s="12">
        <f t="shared" si="0"/>
        <v>42454.229895000011</v>
      </c>
      <c r="AL4" s="12">
        <f t="shared" si="0"/>
        <v>44576.941389750013</v>
      </c>
      <c r="AM4" s="12">
        <f t="shared" si="0"/>
        <v>46805.788459237512</v>
      </c>
      <c r="AN4" s="12">
        <f t="shared" si="0"/>
        <v>49146.077882199388</v>
      </c>
      <c r="AO4" s="12">
        <f t="shared" si="0"/>
        <v>51603.381776309361</v>
      </c>
      <c r="AP4" s="12">
        <f t="shared" si="0"/>
        <v>54183.550865124831</v>
      </c>
    </row>
    <row r="5" spans="1:233" x14ac:dyDescent="0.25">
      <c r="A5" s="2" t="s">
        <v>2</v>
      </c>
      <c r="B5" s="5">
        <v>94.1</v>
      </c>
      <c r="C5" s="2" t="s">
        <v>54</v>
      </c>
      <c r="D5" s="14">
        <v>-1365</v>
      </c>
      <c r="E5" s="14">
        <v>-1337</v>
      </c>
      <c r="F5" s="14">
        <v>-1227</v>
      </c>
      <c r="G5" s="14">
        <v>-2345</v>
      </c>
      <c r="H5" s="14">
        <v>-1315</v>
      </c>
      <c r="I5" s="14">
        <v>-1289</v>
      </c>
      <c r="J5" s="14">
        <v>-1168</v>
      </c>
      <c r="K5" s="14">
        <v>-2241</v>
      </c>
      <c r="L5" s="14">
        <v>-1410</v>
      </c>
      <c r="M5" s="14">
        <v>-1342</v>
      </c>
      <c r="N5" s="14">
        <v>-1217</v>
      </c>
      <c r="O5" s="14">
        <v>-2422</v>
      </c>
      <c r="P5" s="14">
        <v>-1436</v>
      </c>
      <c r="Q5" s="15">
        <v>-1468</v>
      </c>
      <c r="R5" s="14"/>
      <c r="S5" s="14"/>
      <c r="T5" s="14"/>
      <c r="V5" s="14">
        <v>-4544</v>
      </c>
      <c r="W5" s="14">
        <v>-5058</v>
      </c>
      <c r="X5" s="14">
        <v>-5815</v>
      </c>
      <c r="Y5" s="14">
        <v>-5864</v>
      </c>
      <c r="Z5" s="14">
        <v>-5966</v>
      </c>
      <c r="AA5" s="14">
        <v>-4634</v>
      </c>
      <c r="AB5" s="14">
        <v>-5590</v>
      </c>
      <c r="AC5" s="14">
        <v>-6273</v>
      </c>
      <c r="AD5" s="14">
        <v>-6012</v>
      </c>
      <c r="AE5" s="14">
        <v>-6391</v>
      </c>
      <c r="AF5" s="15">
        <f>AF4*-0.205</f>
        <v>-6819.12</v>
      </c>
      <c r="AG5" s="36">
        <f t="shared" ref="AG5:AP5" si="1">AG4*-0.205</f>
        <v>-7160.076</v>
      </c>
      <c r="AH5" s="36">
        <f t="shared" si="1"/>
        <v>-7518.0798000000004</v>
      </c>
      <c r="AI5" s="36">
        <f t="shared" si="1"/>
        <v>-7893.9837900000002</v>
      </c>
      <c r="AJ5" s="36">
        <f t="shared" si="1"/>
        <v>-8288.6829795000012</v>
      </c>
      <c r="AK5" s="36">
        <f t="shared" si="1"/>
        <v>-8703.1171284750017</v>
      </c>
      <c r="AL5" s="36">
        <f t="shared" si="1"/>
        <v>-9138.2729848987528</v>
      </c>
      <c r="AM5" s="36">
        <f t="shared" si="1"/>
        <v>-9595.1866341436889</v>
      </c>
      <c r="AN5" s="36">
        <f t="shared" si="1"/>
        <v>-10074.945965850873</v>
      </c>
      <c r="AO5" s="36">
        <f t="shared" si="1"/>
        <v>-10578.693264143418</v>
      </c>
      <c r="AP5" s="36">
        <f t="shared" si="1"/>
        <v>-11107.62792735059</v>
      </c>
    </row>
    <row r="6" spans="1:233" x14ac:dyDescent="0.25">
      <c r="A6" s="2" t="s">
        <v>47</v>
      </c>
      <c r="B6" s="5">
        <f>B4*B5</f>
        <v>79476.86</v>
      </c>
      <c r="C6" s="2" t="s">
        <v>55</v>
      </c>
      <c r="D6" s="14">
        <f>SUM(D4:D5)</f>
        <v>4324</v>
      </c>
      <c r="E6" s="14">
        <f>SUM(E4:E5)</f>
        <v>4318</v>
      </c>
      <c r="F6" s="14">
        <f>SUM(F4:F5)</f>
        <v>4036</v>
      </c>
      <c r="G6" s="14">
        <f>SUM(G4:G5)</f>
        <v>7511</v>
      </c>
      <c r="H6" s="14">
        <f>SUM(H4:H5)</f>
        <v>4535</v>
      </c>
      <c r="I6" s="14">
        <f>SUM(I4:I5)</f>
        <v>4605</v>
      </c>
      <c r="J6" s="14">
        <f>SUM(J4:J5)</f>
        <v>4404</v>
      </c>
      <c r="K6" s="14">
        <f>SUM(K4:K5)</f>
        <v>8579</v>
      </c>
      <c r="L6" s="14">
        <f>SUM(L4:L5)</f>
        <v>5424</v>
      </c>
      <c r="M6" s="14">
        <f>SUM(M4:M5)</f>
        <v>5429</v>
      </c>
      <c r="N6" s="14">
        <f>SUM(N4:N5)</f>
        <v>4886</v>
      </c>
      <c r="O6" s="14">
        <f>SUM(O4:O5)</f>
        <v>9551</v>
      </c>
      <c r="P6" s="14">
        <f>SUM(P4:P5)</f>
        <v>5911</v>
      </c>
      <c r="Q6" s="15">
        <f>SUM(Q4:Q5)</f>
        <v>5607</v>
      </c>
      <c r="R6" s="14"/>
      <c r="S6" s="14"/>
      <c r="V6" s="14">
        <f>SUM(V4:V5)</f>
        <v>12193</v>
      </c>
      <c r="W6" s="14">
        <f>SUM(W4:W5)</f>
        <v>15223</v>
      </c>
      <c r="X6" s="14">
        <f>SUM(X4:X5)</f>
        <v>16966</v>
      </c>
      <c r="Y6" s="14">
        <f>SUM(Y4:Y5)</f>
        <v>16942</v>
      </c>
      <c r="Z6" s="14">
        <f>SUM(Z4:Z5)</f>
        <v>15902</v>
      </c>
      <c r="AA6" s="14">
        <f>SUM(AA4:AA5)</f>
        <v>14375</v>
      </c>
      <c r="AB6" s="14">
        <f>SUM(AB4:AB5)</f>
        <v>17804</v>
      </c>
      <c r="AC6" s="14">
        <f>SUM(AC4:AC5)</f>
        <v>20190</v>
      </c>
      <c r="AD6" s="14">
        <f>SUM(AD4:AD5)</f>
        <v>22124</v>
      </c>
      <c r="AE6" s="14">
        <f>SUM(AE4:AE5)</f>
        <v>25289</v>
      </c>
      <c r="AF6" s="15">
        <f t="shared" ref="AF6:AP6" si="2">SUM(AF4:AF5)</f>
        <v>26444.880000000001</v>
      </c>
      <c r="AG6" s="14">
        <f t="shared" si="2"/>
        <v>27767.124000000003</v>
      </c>
      <c r="AH6" s="14">
        <f t="shared" si="2"/>
        <v>29155.480200000005</v>
      </c>
      <c r="AI6" s="14">
        <f t="shared" si="2"/>
        <v>30613.254210000006</v>
      </c>
      <c r="AJ6" s="14">
        <f t="shared" si="2"/>
        <v>32143.916920500007</v>
      </c>
      <c r="AK6" s="14">
        <f t="shared" si="2"/>
        <v>33751.11276652501</v>
      </c>
      <c r="AL6" s="14">
        <f t="shared" si="2"/>
        <v>35438.668404851262</v>
      </c>
      <c r="AM6" s="14">
        <f t="shared" si="2"/>
        <v>37210.601825093821</v>
      </c>
      <c r="AN6" s="14">
        <f t="shared" si="2"/>
        <v>39071.131916348517</v>
      </c>
      <c r="AO6" s="14">
        <f t="shared" si="2"/>
        <v>41024.688512165943</v>
      </c>
      <c r="AP6" s="14">
        <f t="shared" si="2"/>
        <v>43075.922937774245</v>
      </c>
    </row>
    <row r="7" spans="1:233" x14ac:dyDescent="0.25">
      <c r="A7" s="2" t="s">
        <v>48</v>
      </c>
      <c r="B7" s="5">
        <f>Q39</f>
        <v>817</v>
      </c>
      <c r="C7" s="2" t="s">
        <v>56</v>
      </c>
      <c r="D7" s="14">
        <v>-2505</v>
      </c>
      <c r="E7" s="14">
        <v>-2615</v>
      </c>
      <c r="F7" s="14">
        <v>-2483</v>
      </c>
      <c r="G7" s="14">
        <v>-3720</v>
      </c>
      <c r="H7" s="14">
        <v>-2718</v>
      </c>
      <c r="I7" s="14">
        <v>-2839</v>
      </c>
      <c r="J7" s="14">
        <v>-2913</v>
      </c>
      <c r="K7" s="14">
        <v>-4237</v>
      </c>
      <c r="L7" s="14">
        <v>-3325</v>
      </c>
      <c r="M7" s="14">
        <v>-3504</v>
      </c>
      <c r="N7" s="14">
        <v>-3352</v>
      </c>
      <c r="O7" s="14">
        <v>-4664</v>
      </c>
      <c r="P7" s="14">
        <v>-3657</v>
      </c>
      <c r="Q7" s="15">
        <v>-3680</v>
      </c>
      <c r="R7" s="14"/>
      <c r="S7" s="14"/>
      <c r="V7" s="14">
        <v>-4722</v>
      </c>
      <c r="W7" s="14">
        <v>-5838</v>
      </c>
      <c r="X7" s="14">
        <v>-7045</v>
      </c>
      <c r="Y7" s="14">
        <v>-8222</v>
      </c>
      <c r="Z7" s="14">
        <v>-9305</v>
      </c>
      <c r="AA7" s="14">
        <v>-9155</v>
      </c>
      <c r="AB7" s="14">
        <v>-9939</v>
      </c>
      <c r="AC7" s="14">
        <v>-11322</v>
      </c>
      <c r="AD7" s="14">
        <v>-12707</v>
      </c>
      <c r="AE7" s="14">
        <v>-14844</v>
      </c>
      <c r="AF7" s="15">
        <f>AE7*1.06</f>
        <v>-15734.640000000001</v>
      </c>
      <c r="AG7" s="14">
        <f>AF7*1.05</f>
        <v>-16521.372000000003</v>
      </c>
      <c r="AH7" s="14">
        <f>AG7*1.045</f>
        <v>-17264.833740000002</v>
      </c>
      <c r="AI7" s="14">
        <f t="shared" ref="AI7:AP7" si="3">AH7*1.045</f>
        <v>-18041.751258300003</v>
      </c>
      <c r="AJ7" s="14">
        <f t="shared" si="3"/>
        <v>-18853.630064923502</v>
      </c>
      <c r="AK7" s="14">
        <f t="shared" si="3"/>
        <v>-19702.04341784506</v>
      </c>
      <c r="AL7" s="14">
        <f t="shared" si="3"/>
        <v>-20588.635371648084</v>
      </c>
      <c r="AM7" s="14">
        <f t="shared" si="3"/>
        <v>-21515.123963372247</v>
      </c>
      <c r="AN7" s="14">
        <f t="shared" si="3"/>
        <v>-22483.304541723995</v>
      </c>
      <c r="AO7" s="14">
        <f t="shared" si="3"/>
        <v>-23495.053246101575</v>
      </c>
      <c r="AP7" s="14">
        <f t="shared" si="3"/>
        <v>-24552.330642176144</v>
      </c>
    </row>
    <row r="8" spans="1:233" x14ac:dyDescent="0.25">
      <c r="A8" s="2" t="s">
        <v>49</v>
      </c>
      <c r="B8" s="5">
        <f>Q48+Q54</f>
        <v>16113</v>
      </c>
      <c r="C8" s="2" t="s">
        <v>57</v>
      </c>
      <c r="D8" s="14">
        <v>-509</v>
      </c>
      <c r="E8" s="14">
        <v>-454</v>
      </c>
      <c r="F8" s="14">
        <v>-576</v>
      </c>
      <c r="G8" s="14">
        <v>-586</v>
      </c>
      <c r="H8" s="14">
        <v>-562</v>
      </c>
      <c r="I8" s="14">
        <v>-578</v>
      </c>
      <c r="J8" s="14">
        <v>-571</v>
      </c>
      <c r="K8" s="14">
        <v>-668</v>
      </c>
      <c r="L8" s="14">
        <v>-592</v>
      </c>
      <c r="M8" s="14">
        <v>-588</v>
      </c>
      <c r="N8" s="14">
        <v>-553</v>
      </c>
      <c r="O8" s="14">
        <v>-738</v>
      </c>
      <c r="P8" s="14">
        <v>-613</v>
      </c>
      <c r="Q8" s="15">
        <v>-640</v>
      </c>
      <c r="R8" s="14"/>
      <c r="S8" s="14"/>
      <c r="V8" s="14">
        <v>-1657</v>
      </c>
      <c r="W8" s="14">
        <v>-1981</v>
      </c>
      <c r="X8" s="14">
        <v>-2137</v>
      </c>
      <c r="Y8" s="14">
        <v>-2289</v>
      </c>
      <c r="Z8" s="14">
        <v>-2770</v>
      </c>
      <c r="AA8" s="14">
        <v>-2536</v>
      </c>
      <c r="AB8" s="14">
        <v>-2026</v>
      </c>
      <c r="AC8" s="14">
        <v>-2125</v>
      </c>
      <c r="AD8" s="14">
        <v>-2379</v>
      </c>
      <c r="AE8" s="14">
        <v>-2471</v>
      </c>
      <c r="AF8" s="15">
        <f>AE8*1.06</f>
        <v>-2619.2600000000002</v>
      </c>
      <c r="AG8" s="14">
        <f>AF8*1.05</f>
        <v>-2750.2230000000004</v>
      </c>
      <c r="AH8" s="14">
        <f t="shared" ref="AH8:AP8" si="4">AG8*1.05</f>
        <v>-2887.7341500000007</v>
      </c>
      <c r="AI8" s="14">
        <f t="shared" ref="AI8:AP8" si="5">AH8*1.05</f>
        <v>-3032.120857500001</v>
      </c>
      <c r="AJ8" s="14">
        <f t="shared" si="5"/>
        <v>-3183.7269003750012</v>
      </c>
      <c r="AK8" s="14">
        <f t="shared" si="5"/>
        <v>-3342.9132453937514</v>
      </c>
      <c r="AL8" s="14">
        <f t="shared" si="5"/>
        <v>-3510.0589076634392</v>
      </c>
      <c r="AM8" s="14">
        <f t="shared" si="5"/>
        <v>-3685.5618530466113</v>
      </c>
      <c r="AN8" s="14">
        <f t="shared" si="5"/>
        <v>-3869.8399456989418</v>
      </c>
      <c r="AO8" s="14">
        <f t="shared" si="5"/>
        <v>-4063.3319429838889</v>
      </c>
      <c r="AP8" s="14">
        <f t="shared" si="5"/>
        <v>-4266.4985401330832</v>
      </c>
    </row>
    <row r="9" spans="1:233" x14ac:dyDescent="0.25">
      <c r="A9" s="3" t="s">
        <v>50</v>
      </c>
      <c r="B9" s="6">
        <f>B6-B7+B8</f>
        <v>94772.86</v>
      </c>
      <c r="C9" s="1" t="s">
        <v>58</v>
      </c>
      <c r="D9" s="12">
        <f>SUM(D6:D8)</f>
        <v>1310</v>
      </c>
      <c r="E9" s="12">
        <f>SUM(E6:E8)</f>
        <v>1249</v>
      </c>
      <c r="F9" s="12">
        <f>SUM(F6:F8)</f>
        <v>977</v>
      </c>
      <c r="G9" s="12">
        <f>SUM(G6:G8)</f>
        <v>3205</v>
      </c>
      <c r="H9" s="12">
        <f>SUM(H6:H8)</f>
        <v>1255</v>
      </c>
      <c r="I9" s="12">
        <f>SUM(I6:I8)</f>
        <v>1188</v>
      </c>
      <c r="J9" s="12">
        <f>SUM(J6:J8)</f>
        <v>920</v>
      </c>
      <c r="K9" s="12">
        <f>SUM(K6:K8)</f>
        <v>3674</v>
      </c>
      <c r="L9" s="12">
        <f>SUM(L6:L8)</f>
        <v>1507</v>
      </c>
      <c r="M9" s="12">
        <f>SUM(M6:M8)</f>
        <v>1337</v>
      </c>
      <c r="N9" s="12">
        <f>SUM(N6:N8)</f>
        <v>981</v>
      </c>
      <c r="O9" s="12">
        <f>SUM(O6:O8)</f>
        <v>4149</v>
      </c>
      <c r="P9" s="12">
        <f>SUM(P6:P8)</f>
        <v>1641</v>
      </c>
      <c r="Q9" s="13">
        <f>SUM(Q6:Q8)</f>
        <v>1287</v>
      </c>
      <c r="R9" s="12"/>
      <c r="S9" s="12"/>
      <c r="V9" s="12">
        <f>SUM(V6:V8)</f>
        <v>5814</v>
      </c>
      <c r="W9" s="12">
        <f>SUM(W6:W8)</f>
        <v>7404</v>
      </c>
      <c r="X9" s="12">
        <f>SUM(X6:X8)</f>
        <v>7784</v>
      </c>
      <c r="Y9" s="12">
        <f>SUM(Y6:Y8)</f>
        <v>6431</v>
      </c>
      <c r="Z9" s="12">
        <f>SUM(Z6:Z8)</f>
        <v>3827</v>
      </c>
      <c r="AA9" s="12">
        <f>SUM(AA6:AA8)</f>
        <v>2684</v>
      </c>
      <c r="AB9" s="12">
        <f>SUM(AB6:AB8)</f>
        <v>5839</v>
      </c>
      <c r="AC9" s="12">
        <f>SUM(AC6:AC8)</f>
        <v>6743</v>
      </c>
      <c r="AD9" s="12">
        <f>SUM(AD6:AD8)</f>
        <v>7038</v>
      </c>
      <c r="AE9" s="12">
        <f>SUM(AE6:AE8)</f>
        <v>7974</v>
      </c>
      <c r="AF9" s="13">
        <f t="shared" ref="AF9:AP9" si="6">SUM(AF6:AF8)</f>
        <v>8090.98</v>
      </c>
      <c r="AG9" s="12">
        <f t="shared" si="6"/>
        <v>8495.5290000000005</v>
      </c>
      <c r="AH9" s="12">
        <f t="shared" si="6"/>
        <v>9002.9123100000033</v>
      </c>
      <c r="AI9" s="12">
        <f t="shared" si="6"/>
        <v>9539.382094200002</v>
      </c>
      <c r="AJ9" s="12">
        <f t="shared" si="6"/>
        <v>10106.559955201505</v>
      </c>
      <c r="AK9" s="12">
        <f t="shared" si="6"/>
        <v>10706.156103286199</v>
      </c>
      <c r="AL9" s="12">
        <f t="shared" si="6"/>
        <v>11339.974125539738</v>
      </c>
      <c r="AM9" s="12">
        <f t="shared" si="6"/>
        <v>12009.916008674963</v>
      </c>
      <c r="AN9" s="12">
        <f t="shared" si="6"/>
        <v>12717.987428925579</v>
      </c>
      <c r="AO9" s="12">
        <f t="shared" si="6"/>
        <v>13466.303323080479</v>
      </c>
      <c r="AP9" s="12">
        <f t="shared" si="6"/>
        <v>14257.093755465017</v>
      </c>
    </row>
    <row r="10" spans="1:233" x14ac:dyDescent="0.25">
      <c r="C10" s="2" t="s">
        <v>59</v>
      </c>
      <c r="D10" s="14">
        <v>88</v>
      </c>
      <c r="E10" s="14">
        <v>132</v>
      </c>
      <c r="F10" s="14">
        <v>91</v>
      </c>
      <c r="G10" s="14">
        <v>101</v>
      </c>
      <c r="H10" s="14">
        <v>92</v>
      </c>
      <c r="I10" s="14">
        <v>67</v>
      </c>
      <c r="J10" s="14">
        <v>49</v>
      </c>
      <c r="K10" s="14">
        <v>42</v>
      </c>
      <c r="L10" s="14">
        <v>47</v>
      </c>
      <c r="M10" s="14">
        <v>47</v>
      </c>
      <c r="N10" s="14">
        <v>111</v>
      </c>
      <c r="O10" s="14">
        <v>43</v>
      </c>
      <c r="P10" s="14">
        <v>38</v>
      </c>
      <c r="Q10" s="15">
        <v>77</v>
      </c>
      <c r="R10" s="14"/>
      <c r="S10" s="14"/>
      <c r="V10" s="14">
        <v>84</v>
      </c>
      <c r="W10" s="14">
        <v>328</v>
      </c>
      <c r="X10" s="14">
        <v>198</v>
      </c>
      <c r="Y10" s="14">
        <v>533</v>
      </c>
      <c r="Z10" s="14">
        <v>351</v>
      </c>
      <c r="AA10" s="14">
        <v>316</v>
      </c>
      <c r="AB10" s="14">
        <v>152</v>
      </c>
      <c r="AC10" s="14">
        <v>412</v>
      </c>
      <c r="AD10" s="14">
        <v>251</v>
      </c>
      <c r="AE10" s="14">
        <v>248</v>
      </c>
      <c r="AF10" s="15">
        <v>230</v>
      </c>
      <c r="AG10" s="14">
        <f>AF10*1.02</f>
        <v>234.6</v>
      </c>
      <c r="AH10" s="14">
        <f t="shared" ref="AH10:AP10" si="7">AG10*1.02</f>
        <v>239.292</v>
      </c>
      <c r="AI10" s="14">
        <f t="shared" si="7"/>
        <v>244.07784000000001</v>
      </c>
      <c r="AJ10" s="14">
        <f t="shared" si="7"/>
        <v>248.95939680000001</v>
      </c>
      <c r="AK10" s="14">
        <f t="shared" si="7"/>
        <v>253.93858473600002</v>
      </c>
      <c r="AL10" s="14">
        <f t="shared" si="7"/>
        <v>259.01735643072004</v>
      </c>
      <c r="AM10" s="14">
        <f t="shared" si="7"/>
        <v>264.19770355933446</v>
      </c>
      <c r="AN10" s="14">
        <f t="shared" si="7"/>
        <v>269.48165763052117</v>
      </c>
      <c r="AO10" s="14">
        <f t="shared" si="7"/>
        <v>274.8712907831316</v>
      </c>
      <c r="AP10" s="14">
        <f t="shared" si="7"/>
        <v>280.36871659879421</v>
      </c>
    </row>
    <row r="11" spans="1:233" x14ac:dyDescent="0.25">
      <c r="C11" s="2" t="s">
        <v>60</v>
      </c>
      <c r="D11" s="14">
        <v>-98</v>
      </c>
      <c r="E11" s="14">
        <v>-160</v>
      </c>
      <c r="F11" s="14">
        <v>-109</v>
      </c>
      <c r="G11" s="14">
        <v>-255</v>
      </c>
      <c r="H11" s="14">
        <v>-186</v>
      </c>
      <c r="I11" s="14">
        <v>-239</v>
      </c>
      <c r="J11" s="14">
        <v>-259</v>
      </c>
      <c r="K11" s="14">
        <v>-372</v>
      </c>
      <c r="L11" s="14">
        <v>-276</v>
      </c>
      <c r="M11" s="14">
        <v>-327</v>
      </c>
      <c r="N11" s="14">
        <v>-304</v>
      </c>
      <c r="O11" s="14">
        <v>-390</v>
      </c>
      <c r="P11" s="14">
        <v>-276</v>
      </c>
      <c r="Q11" s="15">
        <v>-301</v>
      </c>
      <c r="R11" s="14"/>
      <c r="S11" s="14"/>
      <c r="V11" s="14">
        <v>-553</v>
      </c>
      <c r="W11" s="14">
        <v>-82</v>
      </c>
      <c r="X11" s="14">
        <v>-315</v>
      </c>
      <c r="Y11" s="14">
        <v>-382</v>
      </c>
      <c r="Z11" s="14">
        <v>-351</v>
      </c>
      <c r="AA11" s="14">
        <v>-507</v>
      </c>
      <c r="AB11" s="14">
        <v>-613</v>
      </c>
      <c r="AC11" s="14">
        <v>-622</v>
      </c>
      <c r="AD11" s="14">
        <v>-1056</v>
      </c>
      <c r="AE11" s="14">
        <v>-1297</v>
      </c>
      <c r="AF11" s="15">
        <v>-1154</v>
      </c>
      <c r="AG11" s="14">
        <f>AF11*1.02</f>
        <v>-1177.08</v>
      </c>
      <c r="AH11" s="14">
        <f t="shared" ref="AH11:AP11" si="8">AG11*1.02</f>
        <v>-1200.6215999999999</v>
      </c>
      <c r="AI11" s="14">
        <f t="shared" si="8"/>
        <v>-1224.6340319999999</v>
      </c>
      <c r="AJ11" s="14">
        <f t="shared" si="8"/>
        <v>-1249.1267126400001</v>
      </c>
      <c r="AK11" s="14">
        <f t="shared" si="8"/>
        <v>-1274.1092468928</v>
      </c>
      <c r="AL11" s="14">
        <f t="shared" si="8"/>
        <v>-1299.5914318306561</v>
      </c>
      <c r="AM11" s="14">
        <f t="shared" si="8"/>
        <v>-1325.5832604672692</v>
      </c>
      <c r="AN11" s="14">
        <f t="shared" si="8"/>
        <v>-1352.0949256766146</v>
      </c>
      <c r="AO11" s="14">
        <f t="shared" si="8"/>
        <v>-1379.1368241901469</v>
      </c>
      <c r="AP11" s="14">
        <f t="shared" si="8"/>
        <v>-1406.7195606739499</v>
      </c>
    </row>
    <row r="12" spans="1:233" x14ac:dyDescent="0.25">
      <c r="C12" s="2" t="s">
        <v>61</v>
      </c>
      <c r="D12" s="14">
        <f>SUM(D9:D11)</f>
        <v>1300</v>
      </c>
      <c r="E12" s="14">
        <f>SUM(E9:E11)</f>
        <v>1221</v>
      </c>
      <c r="F12" s="14">
        <f>SUM(F9:F11)</f>
        <v>959</v>
      </c>
      <c r="G12" s="14">
        <f>SUM(G9:G11)</f>
        <v>3051</v>
      </c>
      <c r="H12" s="14">
        <f>SUM(H9:H11)</f>
        <v>1161</v>
      </c>
      <c r="I12" s="14">
        <f>SUM(I9:I11)</f>
        <v>1016</v>
      </c>
      <c r="J12" s="14">
        <f>SUM(J9:J11)</f>
        <v>710</v>
      </c>
      <c r="K12" s="14">
        <f>SUM(K9:K11)</f>
        <v>3344</v>
      </c>
      <c r="L12" s="14">
        <f>SUM(L9:L11)</f>
        <v>1278</v>
      </c>
      <c r="M12" s="14">
        <f>SUM(M9:M11)</f>
        <v>1057</v>
      </c>
      <c r="N12" s="14">
        <f>SUM(N9:N11)</f>
        <v>788</v>
      </c>
      <c r="O12" s="14">
        <f>SUM(O9:O11)</f>
        <v>3802</v>
      </c>
      <c r="P12" s="14">
        <f>SUM(P9:P11)</f>
        <v>1403</v>
      </c>
      <c r="Q12" s="15">
        <f>SUM(Q9:Q11)</f>
        <v>1063</v>
      </c>
      <c r="R12" s="14"/>
      <c r="S12" s="14"/>
      <c r="V12" s="14">
        <f>SUM(V9:V11)</f>
        <v>5345</v>
      </c>
      <c r="W12" s="14">
        <f>SUM(W9:W11)</f>
        <v>7650</v>
      </c>
      <c r="X12" s="14">
        <f>SUM(X9:X11)</f>
        <v>7667</v>
      </c>
      <c r="Y12" s="14">
        <f>SUM(Y9:Y11)</f>
        <v>6582</v>
      </c>
      <c r="Z12" s="14">
        <f>SUM(Z9:Z11)</f>
        <v>3827</v>
      </c>
      <c r="AA12" s="14">
        <f>SUM(AA9:AA11)</f>
        <v>2493</v>
      </c>
      <c r="AB12" s="14">
        <f>SUM(AB9:AB11)</f>
        <v>5378</v>
      </c>
      <c r="AC12" s="14">
        <f>SUM(AC9:AC11)</f>
        <v>6533</v>
      </c>
      <c r="AD12" s="14">
        <f>SUM(AD9:AD11)</f>
        <v>6233</v>
      </c>
      <c r="AE12" s="14">
        <f>SUM(AE9:AE11)</f>
        <v>6925</v>
      </c>
      <c r="AF12" s="15">
        <f t="shared" ref="AF12:AP12" si="9">SUM(AF9:AF11)</f>
        <v>7166.98</v>
      </c>
      <c r="AG12" s="14">
        <f t="shared" si="9"/>
        <v>7553.0490000000009</v>
      </c>
      <c r="AH12" s="14">
        <f t="shared" si="9"/>
        <v>8041.5827100000024</v>
      </c>
      <c r="AI12" s="14">
        <f t="shared" si="9"/>
        <v>8558.825902200002</v>
      </c>
      <c r="AJ12" s="14">
        <f t="shared" si="9"/>
        <v>9106.3926393615056</v>
      </c>
      <c r="AK12" s="14">
        <f t="shared" si="9"/>
        <v>9685.9854411294</v>
      </c>
      <c r="AL12" s="14">
        <f t="shared" si="9"/>
        <v>10299.400050139802</v>
      </c>
      <c r="AM12" s="14">
        <f t="shared" si="9"/>
        <v>10948.530451767028</v>
      </c>
      <c r="AN12" s="14">
        <f t="shared" si="9"/>
        <v>11635.374160879486</v>
      </c>
      <c r="AO12" s="14">
        <f t="shared" si="9"/>
        <v>12362.037789673464</v>
      </c>
      <c r="AP12" s="14">
        <f t="shared" si="9"/>
        <v>13130.742911389862</v>
      </c>
    </row>
    <row r="13" spans="1:233" x14ac:dyDescent="0.25">
      <c r="C13" s="2" t="s">
        <v>62</v>
      </c>
      <c r="D13" s="14">
        <v>-306</v>
      </c>
      <c r="E13" s="14">
        <v>-287</v>
      </c>
      <c r="F13" s="14">
        <v>-226</v>
      </c>
      <c r="G13" s="14">
        <v>-686</v>
      </c>
      <c r="H13" s="14">
        <v>-273</v>
      </c>
      <c r="I13" s="14">
        <v>-239</v>
      </c>
      <c r="J13" s="14">
        <v>-167</v>
      </c>
      <c r="K13" s="14">
        <v>-815</v>
      </c>
      <c r="L13" s="14">
        <v>-313</v>
      </c>
      <c r="M13" s="14">
        <v>-260</v>
      </c>
      <c r="N13" s="14">
        <v>-193</v>
      </c>
      <c r="O13" s="14">
        <v>-933</v>
      </c>
      <c r="P13" s="14">
        <v>-302</v>
      </c>
      <c r="Q13" s="15">
        <v>-261</v>
      </c>
      <c r="R13" s="14"/>
      <c r="S13" s="14"/>
      <c r="V13" s="14">
        <v>-1671</v>
      </c>
      <c r="W13" s="14">
        <v>-1625</v>
      </c>
      <c r="X13" s="14">
        <v>-1899</v>
      </c>
      <c r="Y13" s="14">
        <v>-1537</v>
      </c>
      <c r="Z13" s="14">
        <v>-884</v>
      </c>
      <c r="AA13" s="14">
        <v>-556</v>
      </c>
      <c r="AB13" s="14">
        <v>-1218</v>
      </c>
      <c r="AC13" s="14">
        <v>-1504</v>
      </c>
      <c r="AD13" s="14">
        <v>-1494</v>
      </c>
      <c r="AE13" s="14">
        <v>-1699</v>
      </c>
      <c r="AF13" s="15">
        <f>AF12*-0.24</f>
        <v>-1720.0751999999998</v>
      </c>
      <c r="AG13" s="36">
        <f t="shared" ref="AG13:AP13" si="10">AG12*-0.24</f>
        <v>-1812.7317600000001</v>
      </c>
      <c r="AH13" s="36">
        <f t="shared" si="10"/>
        <v>-1929.9798504000005</v>
      </c>
      <c r="AI13" s="36">
        <f t="shared" si="10"/>
        <v>-2054.1182165280006</v>
      </c>
      <c r="AJ13" s="36">
        <f t="shared" si="10"/>
        <v>-2185.5342334467614</v>
      </c>
      <c r="AK13" s="36">
        <f t="shared" si="10"/>
        <v>-2324.6365058710558</v>
      </c>
      <c r="AL13" s="36">
        <f t="shared" si="10"/>
        <v>-2471.8560120335524</v>
      </c>
      <c r="AM13" s="36">
        <f t="shared" si="10"/>
        <v>-2627.6473084240865</v>
      </c>
      <c r="AN13" s="36">
        <f t="shared" si="10"/>
        <v>-2792.4897986110764</v>
      </c>
      <c r="AO13" s="36">
        <f t="shared" si="10"/>
        <v>-2966.8890695216314</v>
      </c>
      <c r="AP13" s="36">
        <f t="shared" si="10"/>
        <v>-3151.3782987335667</v>
      </c>
    </row>
    <row r="14" spans="1:233" x14ac:dyDescent="0.25">
      <c r="C14" s="1" t="s">
        <v>63</v>
      </c>
      <c r="D14" s="12">
        <f>SUM(D12:D13)</f>
        <v>994</v>
      </c>
      <c r="E14" s="12">
        <f>SUM(E12:E13)</f>
        <v>934</v>
      </c>
      <c r="F14" s="12">
        <f>SUM(F12:F13)</f>
        <v>733</v>
      </c>
      <c r="G14" s="12">
        <f>SUM(G12:G13)</f>
        <v>2365</v>
      </c>
      <c r="H14" s="12">
        <f>SUM(H12:H13)</f>
        <v>888</v>
      </c>
      <c r="I14" s="12">
        <f>SUM(I12:I13)</f>
        <v>777</v>
      </c>
      <c r="J14" s="12">
        <f>SUM(J12:J13)</f>
        <v>543</v>
      </c>
      <c r="K14" s="12">
        <f>SUM(K12:K13)</f>
        <v>2529</v>
      </c>
      <c r="L14" s="12">
        <f>SUM(L12:L13)</f>
        <v>965</v>
      </c>
      <c r="M14" s="12">
        <f>SUM(M12:M13)</f>
        <v>797</v>
      </c>
      <c r="N14" s="12">
        <f>SUM(N12:N13)</f>
        <v>595</v>
      </c>
      <c r="O14" s="12">
        <f>SUM(O12:O13)</f>
        <v>2869</v>
      </c>
      <c r="P14" s="12">
        <f>SUM(P12:P13)</f>
        <v>1101</v>
      </c>
      <c r="Q14" s="13">
        <f>SUM(Q12:Q13)</f>
        <v>802</v>
      </c>
      <c r="R14" s="12"/>
      <c r="S14" s="12"/>
      <c r="V14" s="12">
        <f>SUM(V12:V13)</f>
        <v>3674</v>
      </c>
      <c r="W14" s="12">
        <f>SUM(W12:W13)</f>
        <v>6025</v>
      </c>
      <c r="X14" s="12">
        <f>SUM(X12:X13)</f>
        <v>5768</v>
      </c>
      <c r="Y14" s="12">
        <f>SUM(Y12:Y13)</f>
        <v>5045</v>
      </c>
      <c r="Z14" s="12">
        <f>SUM(Z12:Z13)</f>
        <v>2943</v>
      </c>
      <c r="AA14" s="12">
        <f>SUM(AA12:AA13)</f>
        <v>1937</v>
      </c>
      <c r="AB14" s="12">
        <f>SUM(AB12:AB13)</f>
        <v>4160</v>
      </c>
      <c r="AC14" s="12">
        <f>SUM(AC12:AC13)</f>
        <v>5029</v>
      </c>
      <c r="AD14" s="12">
        <f>SUM(AD12:AD13)</f>
        <v>4739</v>
      </c>
      <c r="AE14" s="12">
        <f>SUM(AE12:AE13)</f>
        <v>5226</v>
      </c>
      <c r="AF14" s="13">
        <f t="shared" ref="AF14:AP14" si="11">SUM(AF12:AF13)</f>
        <v>5446.9048000000003</v>
      </c>
      <c r="AG14" s="12">
        <f t="shared" si="11"/>
        <v>5740.3172400000003</v>
      </c>
      <c r="AH14" s="12">
        <f t="shared" si="11"/>
        <v>6111.6028596000015</v>
      </c>
      <c r="AI14" s="12">
        <f t="shared" si="11"/>
        <v>6504.7076856720014</v>
      </c>
      <c r="AJ14" s="12">
        <f t="shared" si="11"/>
        <v>6920.8584059147443</v>
      </c>
      <c r="AK14" s="12">
        <f t="shared" si="11"/>
        <v>7361.3489352583438</v>
      </c>
      <c r="AL14" s="12">
        <f t="shared" si="11"/>
        <v>7827.5440381062499</v>
      </c>
      <c r="AM14" s="12">
        <f t="shared" si="11"/>
        <v>8320.8831433429423</v>
      </c>
      <c r="AN14" s="12">
        <f t="shared" si="11"/>
        <v>8842.8843622684108</v>
      </c>
      <c r="AO14" s="12">
        <f t="shared" si="11"/>
        <v>9395.1487201518321</v>
      </c>
      <c r="AP14" s="12">
        <f t="shared" si="11"/>
        <v>9979.3646126562944</v>
      </c>
      <c r="AQ14" s="12">
        <f>AP14*(1+$AS$18)</f>
        <v>9879.5709665297309</v>
      </c>
      <c r="AR14" s="12">
        <f t="shared" ref="AR14:DC14" si="12">AQ14*(1+$AS$18)</f>
        <v>9780.7752568644337</v>
      </c>
      <c r="AS14" s="12">
        <f t="shared" si="12"/>
        <v>9682.9675042957897</v>
      </c>
      <c r="AT14" s="12">
        <f t="shared" si="12"/>
        <v>9586.1378292528316</v>
      </c>
      <c r="AU14" s="12">
        <f t="shared" si="12"/>
        <v>9490.2764509603039</v>
      </c>
      <c r="AV14" s="12">
        <f t="shared" si="12"/>
        <v>9395.3736864507009</v>
      </c>
      <c r="AW14" s="12">
        <f t="shared" si="12"/>
        <v>9301.419949586194</v>
      </c>
      <c r="AX14" s="12">
        <f t="shared" si="12"/>
        <v>9208.4057500903327</v>
      </c>
      <c r="AY14" s="12">
        <f t="shared" si="12"/>
        <v>9116.3216925894285</v>
      </c>
      <c r="AZ14" s="12">
        <f t="shared" si="12"/>
        <v>9025.1584756635348</v>
      </c>
      <c r="BA14" s="12">
        <f t="shared" si="12"/>
        <v>8934.9068909068992</v>
      </c>
      <c r="BB14" s="12">
        <f t="shared" si="12"/>
        <v>8845.5578219978306</v>
      </c>
      <c r="BC14" s="12">
        <f t="shared" si="12"/>
        <v>8757.102243777852</v>
      </c>
      <c r="BD14" s="12">
        <f t="shared" si="12"/>
        <v>8669.5312213400739</v>
      </c>
      <c r="BE14" s="12">
        <f t="shared" si="12"/>
        <v>8582.8359091266739</v>
      </c>
      <c r="BF14" s="12">
        <f t="shared" si="12"/>
        <v>8497.0075500354069</v>
      </c>
      <c r="BG14" s="12">
        <f t="shared" si="12"/>
        <v>8412.0374745350528</v>
      </c>
      <c r="BH14" s="12">
        <f t="shared" si="12"/>
        <v>8327.9170997897018</v>
      </c>
      <c r="BI14" s="12">
        <f t="shared" si="12"/>
        <v>8244.6379287918044</v>
      </c>
      <c r="BJ14" s="12">
        <f t="shared" si="12"/>
        <v>8162.1915495038866</v>
      </c>
      <c r="BK14" s="12">
        <f t="shared" si="12"/>
        <v>8080.569634008848</v>
      </c>
      <c r="BL14" s="12">
        <f t="shared" si="12"/>
        <v>7999.7639376687594</v>
      </c>
      <c r="BM14" s="12">
        <f t="shared" si="12"/>
        <v>7919.766298292072</v>
      </c>
      <c r="BN14" s="12">
        <f t="shared" si="12"/>
        <v>7840.5686353091514</v>
      </c>
      <c r="BO14" s="12">
        <f t="shared" si="12"/>
        <v>7762.1629489560601</v>
      </c>
      <c r="BP14" s="12">
        <f t="shared" si="12"/>
        <v>7684.5413194664998</v>
      </c>
      <c r="BQ14" s="12">
        <f t="shared" si="12"/>
        <v>7607.6959062718352</v>
      </c>
      <c r="BR14" s="12">
        <f t="shared" si="12"/>
        <v>7531.6189472091164</v>
      </c>
      <c r="BS14" s="12">
        <f t="shared" si="12"/>
        <v>7456.3027577370249</v>
      </c>
      <c r="BT14" s="12">
        <f t="shared" si="12"/>
        <v>7381.7397301596548</v>
      </c>
      <c r="BU14" s="12">
        <f t="shared" si="12"/>
        <v>7307.9223328580583</v>
      </c>
      <c r="BV14" s="12">
        <f t="shared" si="12"/>
        <v>7234.8431095294773</v>
      </c>
      <c r="BW14" s="12">
        <f t="shared" si="12"/>
        <v>7162.4946784341828</v>
      </c>
      <c r="BX14" s="12">
        <f t="shared" si="12"/>
        <v>7090.869731649841</v>
      </c>
      <c r="BY14" s="12">
        <f t="shared" si="12"/>
        <v>7019.9610343333425</v>
      </c>
      <c r="BZ14" s="12">
        <f t="shared" si="12"/>
        <v>6949.7614239900086</v>
      </c>
      <c r="CA14" s="12">
        <f t="shared" si="12"/>
        <v>6880.2638097501085</v>
      </c>
      <c r="CB14" s="12">
        <f t="shared" si="12"/>
        <v>6811.4611716526069</v>
      </c>
      <c r="CC14" s="12">
        <f t="shared" si="12"/>
        <v>6743.3465599360807</v>
      </c>
      <c r="CD14" s="12">
        <f t="shared" si="12"/>
        <v>6675.91309433672</v>
      </c>
      <c r="CE14" s="12">
        <f t="shared" si="12"/>
        <v>6609.1539633933526</v>
      </c>
      <c r="CF14" s="12">
        <f t="shared" si="12"/>
        <v>6543.0624237594193</v>
      </c>
      <c r="CG14" s="12">
        <f t="shared" si="12"/>
        <v>6477.6317995218251</v>
      </c>
      <c r="CH14" s="12">
        <f t="shared" si="12"/>
        <v>6412.855481526607</v>
      </c>
      <c r="CI14" s="12">
        <f t="shared" si="12"/>
        <v>6348.7269267113406</v>
      </c>
      <c r="CJ14" s="12">
        <f t="shared" si="12"/>
        <v>6285.2396574442273</v>
      </c>
      <c r="CK14" s="12">
        <f t="shared" si="12"/>
        <v>6222.3872608697848</v>
      </c>
      <c r="CL14" s="12">
        <f t="shared" si="12"/>
        <v>6160.1633882610868</v>
      </c>
      <c r="CM14" s="12">
        <f t="shared" si="12"/>
        <v>6098.5617543784756</v>
      </c>
      <c r="CN14" s="12">
        <f t="shared" si="12"/>
        <v>6037.5761368346912</v>
      </c>
      <c r="CO14" s="12">
        <f t="shared" si="12"/>
        <v>5977.2003754663438</v>
      </c>
      <c r="CP14" s="12">
        <f t="shared" si="12"/>
        <v>5917.4283717116805</v>
      </c>
      <c r="CQ14" s="12">
        <f t="shared" si="12"/>
        <v>5858.2540879945636</v>
      </c>
      <c r="CR14" s="12">
        <f t="shared" si="12"/>
        <v>5799.6715471146181</v>
      </c>
      <c r="CS14" s="12">
        <f t="shared" si="12"/>
        <v>5741.6748316434714</v>
      </c>
      <c r="CT14" s="12">
        <f t="shared" si="12"/>
        <v>5684.2580833270367</v>
      </c>
      <c r="CU14" s="12">
        <f t="shared" si="12"/>
        <v>5627.4155024937663</v>
      </c>
      <c r="CV14" s="12">
        <f t="shared" si="12"/>
        <v>5571.1413474688288</v>
      </c>
      <c r="CW14" s="12">
        <f t="shared" si="12"/>
        <v>5515.4299339941408</v>
      </c>
      <c r="CX14" s="12">
        <f t="shared" si="12"/>
        <v>5460.2756346541992</v>
      </c>
      <c r="CY14" s="12">
        <f t="shared" si="12"/>
        <v>5405.6728783076569</v>
      </c>
      <c r="CZ14" s="12">
        <f t="shared" si="12"/>
        <v>5351.6161495245806</v>
      </c>
      <c r="DA14" s="12">
        <f t="shared" si="12"/>
        <v>5298.0999880293348</v>
      </c>
      <c r="DB14" s="12">
        <f t="shared" si="12"/>
        <v>5245.1189881490418</v>
      </c>
      <c r="DC14" s="12">
        <f t="shared" si="12"/>
        <v>5192.667798267551</v>
      </c>
      <c r="DD14" s="12">
        <f t="shared" ref="DD14:FO14" si="13">DC14*(1+$AS$18)</f>
        <v>5140.7411202848753</v>
      </c>
      <c r="DE14" s="12">
        <f t="shared" si="13"/>
        <v>5089.3337090820269</v>
      </c>
      <c r="DF14" s="12">
        <f t="shared" si="13"/>
        <v>5038.4403719912061</v>
      </c>
      <c r="DG14" s="12">
        <f t="shared" si="13"/>
        <v>4988.0559682712938</v>
      </c>
      <c r="DH14" s="12">
        <f t="shared" si="13"/>
        <v>4938.1754085885805</v>
      </c>
      <c r="DI14" s="12">
        <f t="shared" si="13"/>
        <v>4888.7936545026951</v>
      </c>
      <c r="DJ14" s="12">
        <f t="shared" si="13"/>
        <v>4839.9057179576685</v>
      </c>
      <c r="DK14" s="12">
        <f t="shared" si="13"/>
        <v>4791.5066607780918</v>
      </c>
      <c r="DL14" s="12">
        <f t="shared" si="13"/>
        <v>4743.5915941703106</v>
      </c>
      <c r="DM14" s="12">
        <f t="shared" si="13"/>
        <v>4696.155678228607</v>
      </c>
      <c r="DN14" s="12">
        <f t="shared" si="13"/>
        <v>4649.1941214463213</v>
      </c>
      <c r="DO14" s="12">
        <f t="shared" si="13"/>
        <v>4602.7021802318577</v>
      </c>
      <c r="DP14" s="12">
        <f t="shared" si="13"/>
        <v>4556.6751584295389</v>
      </c>
      <c r="DQ14" s="12">
        <f t="shared" si="13"/>
        <v>4511.1084068452437</v>
      </c>
      <c r="DR14" s="12">
        <f t="shared" si="13"/>
        <v>4465.9973227767914</v>
      </c>
      <c r="DS14" s="12">
        <f t="shared" si="13"/>
        <v>4421.3373495490232</v>
      </c>
      <c r="DT14" s="12">
        <f t="shared" si="13"/>
        <v>4377.1239760535327</v>
      </c>
      <c r="DU14" s="12">
        <f t="shared" si="13"/>
        <v>4333.3527362929972</v>
      </c>
      <c r="DV14" s="12">
        <f t="shared" si="13"/>
        <v>4290.0192089300672</v>
      </c>
      <c r="DW14" s="12">
        <f t="shared" si="13"/>
        <v>4247.1190168407666</v>
      </c>
      <c r="DX14" s="12">
        <f t="shared" si="13"/>
        <v>4204.6478266723589</v>
      </c>
      <c r="DY14" s="12">
        <f t="shared" si="13"/>
        <v>4162.6013484056348</v>
      </c>
      <c r="DZ14" s="12">
        <f t="shared" si="13"/>
        <v>4120.975334921578</v>
      </c>
      <c r="EA14" s="12">
        <f t="shared" si="13"/>
        <v>4079.765581572362</v>
      </c>
      <c r="EB14" s="12">
        <f t="shared" si="13"/>
        <v>4038.9679257566381</v>
      </c>
      <c r="EC14" s="12">
        <f t="shared" si="13"/>
        <v>3998.5782464990716</v>
      </c>
      <c r="ED14" s="12">
        <f t="shared" si="13"/>
        <v>3958.5924640340809</v>
      </c>
      <c r="EE14" s="12">
        <f t="shared" si="13"/>
        <v>3919.0065393937402</v>
      </c>
      <c r="EF14" s="12">
        <f t="shared" si="13"/>
        <v>3879.8164739998028</v>
      </c>
      <c r="EG14" s="12">
        <f t="shared" si="13"/>
        <v>3841.0183092598049</v>
      </c>
      <c r="EH14" s="12">
        <f t="shared" si="13"/>
        <v>3802.608126167207</v>
      </c>
      <c r="EI14" s="12">
        <f t="shared" si="13"/>
        <v>3764.582044905535</v>
      </c>
      <c r="EJ14" s="12">
        <f t="shared" si="13"/>
        <v>3726.9362244564795</v>
      </c>
      <c r="EK14" s="12">
        <f t="shared" si="13"/>
        <v>3689.6668622119146</v>
      </c>
      <c r="EL14" s="12">
        <f t="shared" si="13"/>
        <v>3652.7701935897953</v>
      </c>
      <c r="EM14" s="12">
        <f t="shared" si="13"/>
        <v>3616.2424916538976</v>
      </c>
      <c r="EN14" s="12">
        <f t="shared" si="13"/>
        <v>3580.0800667373587</v>
      </c>
      <c r="EO14" s="12">
        <f t="shared" si="13"/>
        <v>3544.2792660699852</v>
      </c>
      <c r="EP14" s="12">
        <f t="shared" si="13"/>
        <v>3508.8364734092852</v>
      </c>
      <c r="EQ14" s="12">
        <f t="shared" si="13"/>
        <v>3473.7481086751923</v>
      </c>
      <c r="ER14" s="12">
        <f t="shared" si="13"/>
        <v>3439.0106275884405</v>
      </c>
      <c r="ES14" s="12">
        <f t="shared" si="13"/>
        <v>3404.6205213125559</v>
      </c>
      <c r="ET14" s="12">
        <f t="shared" si="13"/>
        <v>3370.5743160994302</v>
      </c>
      <c r="EU14" s="12">
        <f t="shared" si="13"/>
        <v>3336.868572938436</v>
      </c>
      <c r="EV14" s="12">
        <f t="shared" si="13"/>
        <v>3303.4998872090518</v>
      </c>
      <c r="EW14" s="12">
        <f t="shared" si="13"/>
        <v>3270.4648883369614</v>
      </c>
      <c r="EX14" s="12">
        <f t="shared" si="13"/>
        <v>3237.7602394535916</v>
      </c>
      <c r="EY14" s="12">
        <f t="shared" si="13"/>
        <v>3205.3826370590555</v>
      </c>
      <c r="EZ14" s="12">
        <f t="shared" si="13"/>
        <v>3173.3288106884647</v>
      </c>
      <c r="FA14" s="12">
        <f t="shared" si="13"/>
        <v>3141.5955225815801</v>
      </c>
      <c r="FB14" s="12">
        <f t="shared" si="13"/>
        <v>3110.1795673557644</v>
      </c>
      <c r="FC14" s="12">
        <f t="shared" si="13"/>
        <v>3079.0777716822067</v>
      </c>
      <c r="FD14" s="12">
        <f t="shared" si="13"/>
        <v>3048.2869939653847</v>
      </c>
      <c r="FE14" s="12">
        <f t="shared" si="13"/>
        <v>3017.8041240257307</v>
      </c>
      <c r="FF14" s="12">
        <f t="shared" si="13"/>
        <v>2987.6260827854735</v>
      </c>
      <c r="FG14" s="12">
        <f t="shared" si="13"/>
        <v>2957.7498219576187</v>
      </c>
      <c r="FH14" s="12">
        <f t="shared" si="13"/>
        <v>2928.1723237380425</v>
      </c>
      <c r="FI14" s="12">
        <f t="shared" si="13"/>
        <v>2898.890600500662</v>
      </c>
      <c r="FJ14" s="12">
        <f t="shared" si="13"/>
        <v>2869.9016944956552</v>
      </c>
      <c r="FK14" s="12">
        <f t="shared" si="13"/>
        <v>2841.2026775506988</v>
      </c>
      <c r="FL14" s="12">
        <f t="shared" si="13"/>
        <v>2812.7906507751918</v>
      </c>
      <c r="FM14" s="12">
        <f t="shared" si="13"/>
        <v>2784.6627442674398</v>
      </c>
      <c r="FN14" s="12">
        <f t="shared" si="13"/>
        <v>2756.8161168247652</v>
      </c>
      <c r="FO14" s="12">
        <f t="shared" si="13"/>
        <v>2729.2479556565177</v>
      </c>
      <c r="FP14" s="12">
        <f t="shared" ref="FP14:HY14" si="14">FO14*(1+$AS$18)</f>
        <v>2701.9554760999526</v>
      </c>
      <c r="FQ14" s="12">
        <f t="shared" si="14"/>
        <v>2674.935921338953</v>
      </c>
      <c r="FR14" s="12">
        <f t="shared" si="14"/>
        <v>2648.1865621255633</v>
      </c>
      <c r="FS14" s="12">
        <f t="shared" si="14"/>
        <v>2621.7046965043078</v>
      </c>
      <c r="FT14" s="12">
        <f t="shared" si="14"/>
        <v>2595.4876495392646</v>
      </c>
      <c r="FU14" s="12">
        <f t="shared" si="14"/>
        <v>2569.5327730438721</v>
      </c>
      <c r="FV14" s="12">
        <f t="shared" si="14"/>
        <v>2543.8374453134334</v>
      </c>
      <c r="FW14" s="12">
        <f t="shared" si="14"/>
        <v>2518.3990708602992</v>
      </c>
      <c r="FX14" s="12">
        <f t="shared" si="14"/>
        <v>2493.2150801516959</v>
      </c>
      <c r="FY14" s="12">
        <f t="shared" si="14"/>
        <v>2468.2829293501791</v>
      </c>
      <c r="FZ14" s="12">
        <f t="shared" si="14"/>
        <v>2443.6001000566771</v>
      </c>
      <c r="GA14" s="12">
        <f t="shared" si="14"/>
        <v>2419.1640990561104</v>
      </c>
      <c r="GB14" s="12">
        <f t="shared" si="14"/>
        <v>2394.9724580655493</v>
      </c>
      <c r="GC14" s="12">
        <f t="shared" si="14"/>
        <v>2371.0227334848937</v>
      </c>
      <c r="GD14" s="12">
        <f t="shared" si="14"/>
        <v>2347.3125061500446</v>
      </c>
      <c r="GE14" s="12">
        <f t="shared" si="14"/>
        <v>2323.8393810885441</v>
      </c>
      <c r="GF14" s="12">
        <f t="shared" si="14"/>
        <v>2300.6009872776585</v>
      </c>
      <c r="GG14" s="12">
        <f t="shared" si="14"/>
        <v>2277.5949774048818</v>
      </c>
      <c r="GH14" s="12">
        <f t="shared" si="14"/>
        <v>2254.8190276308328</v>
      </c>
      <c r="GI14" s="12">
        <f t="shared" si="14"/>
        <v>2232.2708373545242</v>
      </c>
      <c r="GJ14" s="12">
        <f t="shared" si="14"/>
        <v>2209.9481289809792</v>
      </c>
      <c r="GK14" s="12">
        <f t="shared" si="14"/>
        <v>2187.8486476911694</v>
      </c>
      <c r="GL14" s="12">
        <f t="shared" si="14"/>
        <v>2165.9701612142576</v>
      </c>
      <c r="GM14" s="12">
        <f t="shared" si="14"/>
        <v>2144.3104596021149</v>
      </c>
      <c r="GN14" s="12">
        <f t="shared" si="14"/>
        <v>2122.8673550060935</v>
      </c>
      <c r="GO14" s="12">
        <f t="shared" si="14"/>
        <v>2101.6386814560324</v>
      </c>
      <c r="GP14" s="12">
        <f t="shared" si="14"/>
        <v>2080.6222946414719</v>
      </c>
      <c r="GQ14" s="12">
        <f t="shared" si="14"/>
        <v>2059.816071695057</v>
      </c>
      <c r="GR14" s="12">
        <f t="shared" si="14"/>
        <v>2039.2179109781064</v>
      </c>
      <c r="GS14" s="12">
        <f t="shared" si="14"/>
        <v>2018.8257318683252</v>
      </c>
      <c r="GT14" s="12">
        <f t="shared" si="14"/>
        <v>1998.6374745496419</v>
      </c>
      <c r="GU14" s="12">
        <f t="shared" si="14"/>
        <v>1978.6510998041454</v>
      </c>
      <c r="GV14" s="12">
        <f t="shared" si="14"/>
        <v>1958.8645888061039</v>
      </c>
      <c r="GW14" s="12">
        <f t="shared" si="14"/>
        <v>1939.2759429180428</v>
      </c>
      <c r="GX14" s="12">
        <f t="shared" si="14"/>
        <v>1919.8831834888624</v>
      </c>
      <c r="GY14" s="12">
        <f t="shared" si="14"/>
        <v>1900.6843516539739</v>
      </c>
      <c r="GZ14" s="12">
        <f t="shared" si="14"/>
        <v>1881.6775081374342</v>
      </c>
      <c r="HA14" s="12">
        <f t="shared" si="14"/>
        <v>1862.8607330560599</v>
      </c>
      <c r="HB14" s="12">
        <f t="shared" si="14"/>
        <v>1844.2321257254991</v>
      </c>
      <c r="HC14" s="12">
        <f t="shared" si="14"/>
        <v>1825.789804468244</v>
      </c>
      <c r="HD14" s="12">
        <f t="shared" si="14"/>
        <v>1807.5319064235616</v>
      </c>
      <c r="HE14" s="12">
        <f t="shared" si="14"/>
        <v>1789.456587359326</v>
      </c>
      <c r="HF14" s="12">
        <f t="shared" si="14"/>
        <v>1771.5620214857327</v>
      </c>
      <c r="HG14" s="12">
        <f t="shared" si="14"/>
        <v>1753.8464012708753</v>
      </c>
      <c r="HH14" s="12">
        <f t="shared" si="14"/>
        <v>1736.3079372581665</v>
      </c>
      <c r="HI14" s="12">
        <f t="shared" si="14"/>
        <v>1718.9448578855847</v>
      </c>
      <c r="HJ14" s="12">
        <f t="shared" si="14"/>
        <v>1701.7554093067288</v>
      </c>
      <c r="HK14" s="12">
        <f t="shared" si="14"/>
        <v>1684.7378552136615</v>
      </c>
      <c r="HL14" s="12">
        <f t="shared" si="14"/>
        <v>1667.8904766615249</v>
      </c>
      <c r="HM14" s="12">
        <f t="shared" si="14"/>
        <v>1651.2115718949096</v>
      </c>
      <c r="HN14" s="12">
        <f t="shared" si="14"/>
        <v>1634.6994561759604</v>
      </c>
      <c r="HO14" s="12">
        <f t="shared" si="14"/>
        <v>1618.3524616142008</v>
      </c>
      <c r="HP14" s="12">
        <f t="shared" si="14"/>
        <v>1602.1689369980588</v>
      </c>
      <c r="HQ14" s="12">
        <f t="shared" si="14"/>
        <v>1586.1472476280783</v>
      </c>
      <c r="HR14" s="12">
        <f t="shared" si="14"/>
        <v>1570.2857751517975</v>
      </c>
      <c r="HS14" s="12">
        <f t="shared" si="14"/>
        <v>1554.5829174002795</v>
      </c>
      <c r="HT14" s="12">
        <f t="shared" si="14"/>
        <v>1539.0370882262766</v>
      </c>
      <c r="HU14" s="12">
        <f t="shared" si="14"/>
        <v>1523.646717344014</v>
      </c>
      <c r="HV14" s="12">
        <f t="shared" si="14"/>
        <v>1508.4102501705738</v>
      </c>
      <c r="HW14" s="12">
        <f t="shared" si="14"/>
        <v>1493.3261476688681</v>
      </c>
      <c r="HX14" s="12">
        <f t="shared" si="14"/>
        <v>1478.3928861921795</v>
      </c>
      <c r="HY14" s="12">
        <f t="shared" si="14"/>
        <v>1463.6089573302577</v>
      </c>
    </row>
    <row r="15" spans="1:233" x14ac:dyDescent="0.25">
      <c r="C15" s="2" t="s">
        <v>64</v>
      </c>
      <c r="D15" s="26">
        <v>93</v>
      </c>
      <c r="E15" s="26">
        <v>93</v>
      </c>
      <c r="F15" s="26">
        <v>93</v>
      </c>
      <c r="G15" s="26">
        <v>93</v>
      </c>
      <c r="H15" s="26">
        <v>85</v>
      </c>
      <c r="I15" s="26">
        <v>85</v>
      </c>
      <c r="J15" s="26">
        <v>85</v>
      </c>
      <c r="K15" s="26">
        <v>85</v>
      </c>
      <c r="L15" s="26">
        <v>81</v>
      </c>
      <c r="M15" s="26">
        <v>81</v>
      </c>
      <c r="N15" s="26">
        <v>81</v>
      </c>
      <c r="O15" s="26">
        <v>81</v>
      </c>
      <c r="P15" s="26">
        <v>79</v>
      </c>
      <c r="Q15" s="5">
        <v>79</v>
      </c>
      <c r="R15" s="26">
        <v>79</v>
      </c>
      <c r="S15" s="26">
        <v>79</v>
      </c>
      <c r="V15" s="26">
        <v>119</v>
      </c>
      <c r="W15" s="26">
        <v>114</v>
      </c>
      <c r="X15" s="26">
        <v>111</v>
      </c>
      <c r="Y15" s="26">
        <v>107</v>
      </c>
      <c r="Z15" s="26">
        <v>97</v>
      </c>
      <c r="AA15" s="26">
        <v>97</v>
      </c>
      <c r="AB15" s="26">
        <v>99</v>
      </c>
      <c r="AC15" s="26">
        <v>93</v>
      </c>
      <c r="AD15" s="26">
        <v>85</v>
      </c>
      <c r="AE15" s="26">
        <v>81</v>
      </c>
      <c r="AF15" s="5">
        <v>79</v>
      </c>
      <c r="AG15" s="26">
        <v>79</v>
      </c>
      <c r="AH15" s="26">
        <v>79</v>
      </c>
      <c r="AI15" s="26">
        <v>79</v>
      </c>
      <c r="AJ15" s="26">
        <v>79</v>
      </c>
      <c r="AK15" s="26">
        <v>79</v>
      </c>
      <c r="AL15" s="26">
        <v>79</v>
      </c>
      <c r="AM15" s="26">
        <v>79</v>
      </c>
      <c r="AN15" s="26">
        <v>79</v>
      </c>
      <c r="AO15" s="26">
        <v>79</v>
      </c>
      <c r="AP15" s="26">
        <v>79</v>
      </c>
    </row>
    <row r="16" spans="1:233" x14ac:dyDescent="0.25">
      <c r="C16" s="2" t="s">
        <v>65</v>
      </c>
      <c r="D16" s="26">
        <f t="shared" ref="D16:L16" si="15">D14/D15</f>
        <v>10.688172043010752</v>
      </c>
      <c r="E16" s="26">
        <f t="shared" si="15"/>
        <v>10.043010752688172</v>
      </c>
      <c r="F16" s="26">
        <f t="shared" si="15"/>
        <v>7.881720430107527</v>
      </c>
      <c r="G16" s="26">
        <f t="shared" si="15"/>
        <v>25.43010752688172</v>
      </c>
      <c r="H16" s="26">
        <f t="shared" si="15"/>
        <v>10.447058823529412</v>
      </c>
      <c r="I16" s="26">
        <f t="shared" si="15"/>
        <v>9.1411764705882348</v>
      </c>
      <c r="J16" s="26">
        <f t="shared" si="15"/>
        <v>6.3882352941176475</v>
      </c>
      <c r="K16" s="26">
        <f t="shared" si="15"/>
        <v>29.752941176470589</v>
      </c>
      <c r="L16" s="26">
        <f t="shared" si="15"/>
        <v>11.913580246913581</v>
      </c>
      <c r="M16" s="26">
        <f>M14/M15</f>
        <v>9.8395061728395063</v>
      </c>
      <c r="N16" s="26">
        <f t="shared" ref="N16:S16" si="16">N14/N15</f>
        <v>7.3456790123456788</v>
      </c>
      <c r="O16" s="26">
        <f t="shared" si="16"/>
        <v>35.419753086419753</v>
      </c>
      <c r="P16" s="26">
        <f t="shared" si="16"/>
        <v>13.936708860759493</v>
      </c>
      <c r="Q16" s="5">
        <f t="shared" si="16"/>
        <v>10.151898734177216</v>
      </c>
      <c r="R16" s="26">
        <f t="shared" si="16"/>
        <v>0</v>
      </c>
      <c r="S16" s="26">
        <f t="shared" si="16"/>
        <v>0</v>
      </c>
      <c r="V16" s="27">
        <f t="shared" ref="V16:AC16" si="17">V14/V15</f>
        <v>30.873949579831933</v>
      </c>
      <c r="W16" s="27">
        <f t="shared" si="17"/>
        <v>52.850877192982459</v>
      </c>
      <c r="X16" s="27">
        <f t="shared" si="17"/>
        <v>51.963963963963963</v>
      </c>
      <c r="Y16" s="27">
        <f t="shared" si="17"/>
        <v>47.149532710280376</v>
      </c>
      <c r="Z16" s="27">
        <f t="shared" si="17"/>
        <v>30.340206185567009</v>
      </c>
      <c r="AA16" s="27">
        <f t="shared" si="17"/>
        <v>19.969072164948454</v>
      </c>
      <c r="AB16" s="27">
        <f t="shared" si="17"/>
        <v>42.020202020202021</v>
      </c>
      <c r="AC16" s="27">
        <f t="shared" si="17"/>
        <v>54.075268817204304</v>
      </c>
      <c r="AD16" s="27">
        <f>AD14/AD15</f>
        <v>55.752941176470586</v>
      </c>
      <c r="AE16" s="27">
        <f>AE14/AE15</f>
        <v>64.518518518518519</v>
      </c>
      <c r="AF16" s="21">
        <f t="shared" ref="AF16:AP16" si="18">AF14/AF15</f>
        <v>68.948162025316464</v>
      </c>
      <c r="AG16" s="27">
        <f t="shared" si="18"/>
        <v>72.662243544303806</v>
      </c>
      <c r="AH16" s="27">
        <f t="shared" si="18"/>
        <v>77.362061513924075</v>
      </c>
      <c r="AI16" s="27">
        <f t="shared" si="18"/>
        <v>82.338071970531658</v>
      </c>
      <c r="AJ16" s="27">
        <f t="shared" si="18"/>
        <v>87.605802606515752</v>
      </c>
      <c r="AK16" s="27">
        <f t="shared" si="18"/>
        <v>93.181632091877773</v>
      </c>
      <c r="AL16" s="27">
        <f t="shared" si="18"/>
        <v>99.082835925395571</v>
      </c>
      <c r="AM16" s="27">
        <f t="shared" si="18"/>
        <v>105.32763472586002</v>
      </c>
      <c r="AN16" s="27">
        <f t="shared" si="18"/>
        <v>111.9352450920052</v>
      </c>
      <c r="AO16" s="27">
        <f t="shared" si="18"/>
        <v>118.92593316647888</v>
      </c>
      <c r="AP16" s="27">
        <f t="shared" si="18"/>
        <v>126.32107104628221</v>
      </c>
    </row>
    <row r="17" spans="3:45" x14ac:dyDescent="0.25"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4"/>
      <c r="S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R17" s="2" t="s">
        <v>124</v>
      </c>
      <c r="AS17" s="31">
        <v>0.08</v>
      </c>
    </row>
    <row r="18" spans="3:45" x14ac:dyDescent="0.25">
      <c r="C18" s="1" t="s">
        <v>38</v>
      </c>
      <c r="D18" s="19"/>
      <c r="E18" s="25"/>
      <c r="F18" s="25"/>
      <c r="G18" s="25"/>
      <c r="H18" s="25">
        <f t="shared" ref="H18:P18" si="19">(H4-D4)/D4</f>
        <v>2.8300228511161891E-2</v>
      </c>
      <c r="I18" s="25">
        <f t="shared" si="19"/>
        <v>4.2263483642793989E-2</v>
      </c>
      <c r="J18" s="25">
        <f t="shared" si="19"/>
        <v>5.8711761352840584E-2</v>
      </c>
      <c r="K18" s="25">
        <f t="shared" si="19"/>
        <v>9.7808441558441553E-2</v>
      </c>
      <c r="L18" s="25">
        <f t="shared" si="19"/>
        <v>0.1682051282051282</v>
      </c>
      <c r="M18" s="25">
        <f t="shared" si="19"/>
        <v>0.1487953851374279</v>
      </c>
      <c r="N18" s="25">
        <f t="shared" si="19"/>
        <v>9.5297918162239773E-2</v>
      </c>
      <c r="O18" s="25">
        <f t="shared" si="19"/>
        <v>0.10656192236598891</v>
      </c>
      <c r="P18" s="25">
        <f t="shared" si="19"/>
        <v>7.5065847234416158E-2</v>
      </c>
      <c r="Q18" s="29">
        <f>(Q4-M4)/M4</f>
        <v>4.4897356372766206E-2</v>
      </c>
      <c r="R18" s="25">
        <f t="shared" ref="R18:S18" si="20">(R4-N4)/N4</f>
        <v>-1</v>
      </c>
      <c r="S18" s="25">
        <f t="shared" si="20"/>
        <v>-1</v>
      </c>
      <c r="V18" s="14"/>
      <c r="W18" s="25">
        <f t="shared" ref="W18:AD18" si="21">(W4-V4)/V4</f>
        <v>0.21174643006512517</v>
      </c>
      <c r="X18" s="25">
        <f t="shared" si="21"/>
        <v>0.12326808342783886</v>
      </c>
      <c r="Y18" s="25">
        <f t="shared" si="21"/>
        <v>1.0974057328475484E-3</v>
      </c>
      <c r="Z18" s="25">
        <f t="shared" si="21"/>
        <v>-4.112952731737262E-2</v>
      </c>
      <c r="AA18" s="25">
        <f t="shared" si="21"/>
        <v>-0.13073897933052864</v>
      </c>
      <c r="AB18" s="25">
        <f t="shared" si="21"/>
        <v>0.23068020411384083</v>
      </c>
      <c r="AC18" s="25">
        <f t="shared" si="21"/>
        <v>0.13118748397024879</v>
      </c>
      <c r="AD18" s="25">
        <f t="shared" si="21"/>
        <v>6.3220345387900084E-2</v>
      </c>
      <c r="AE18" s="25">
        <f>(AE4-AD4)/AD4</f>
        <v>0.12595962468012512</v>
      </c>
      <c r="AF18" s="29">
        <f t="shared" ref="AF18:AP18" si="22">(AF4-AE4)/AE4</f>
        <v>0.05</v>
      </c>
      <c r="AG18" s="25">
        <f t="shared" si="22"/>
        <v>5.0000000000000135E-2</v>
      </c>
      <c r="AH18" s="25">
        <f t="shared" si="22"/>
        <v>5.000000000000001E-2</v>
      </c>
      <c r="AI18" s="25">
        <f t="shared" si="22"/>
        <v>4.9999999999999989E-2</v>
      </c>
      <c r="AJ18" s="25">
        <f t="shared" si="22"/>
        <v>5.0000000000000086E-2</v>
      </c>
      <c r="AK18" s="25">
        <f t="shared" si="22"/>
        <v>5.0000000000000065E-2</v>
      </c>
      <c r="AL18" s="25">
        <f t="shared" si="22"/>
        <v>5.0000000000000017E-2</v>
      </c>
      <c r="AM18" s="25">
        <f t="shared" si="22"/>
        <v>4.9999999999999975E-2</v>
      </c>
      <c r="AN18" s="25">
        <f t="shared" si="22"/>
        <v>5.000000000000001E-2</v>
      </c>
      <c r="AO18" s="25">
        <f t="shared" si="22"/>
        <v>5.0000000000000072E-2</v>
      </c>
      <c r="AP18" s="25">
        <f t="shared" si="22"/>
        <v>5.0000000000000037E-2</v>
      </c>
      <c r="AR18" s="2" t="s">
        <v>125</v>
      </c>
      <c r="AS18" s="31">
        <v>-0.01</v>
      </c>
    </row>
    <row r="19" spans="3:45" x14ac:dyDescent="0.25">
      <c r="C19" s="1" t="s">
        <v>123</v>
      </c>
      <c r="D19" s="25">
        <v>0.17</v>
      </c>
      <c r="E19" s="25">
        <v>0.02</v>
      </c>
      <c r="F19" s="25">
        <v>0.01</v>
      </c>
      <c r="G19" s="25">
        <v>-0.01</v>
      </c>
      <c r="H19" s="25">
        <v>0</v>
      </c>
      <c r="I19" s="25">
        <v>0.02</v>
      </c>
      <c r="J19" s="25">
        <v>0.09</v>
      </c>
      <c r="K19" s="25">
        <v>7.0000000000000007E-2</v>
      </c>
      <c r="L19" s="25">
        <v>0.11</v>
      </c>
      <c r="M19" s="25">
        <v>0.08</v>
      </c>
      <c r="N19" s="25">
        <v>7.0000000000000007E-2</v>
      </c>
      <c r="O19" s="25">
        <v>0.06</v>
      </c>
      <c r="P19" s="25">
        <v>0.06</v>
      </c>
      <c r="Q19" s="29">
        <v>0.03</v>
      </c>
      <c r="R19" s="25"/>
      <c r="S19" s="25"/>
      <c r="V19" s="25">
        <v>0.15</v>
      </c>
      <c r="W19" s="25">
        <v>0.08</v>
      </c>
      <c r="X19" s="25">
        <v>0</v>
      </c>
      <c r="Y19" s="25">
        <v>-0.04</v>
      </c>
      <c r="Z19" s="25">
        <v>-0.08</v>
      </c>
      <c r="AA19" s="25">
        <v>-0.12</v>
      </c>
      <c r="AB19" s="25">
        <v>0.2</v>
      </c>
      <c r="AC19" s="25">
        <v>0.04</v>
      </c>
      <c r="AD19" s="25">
        <v>0.06</v>
      </c>
      <c r="AE19" s="25">
        <v>7.0000000000000007E-2</v>
      </c>
      <c r="AR19" s="30" t="s">
        <v>126</v>
      </c>
      <c r="AS19" s="32">
        <f>NPV(AS17,AG14:HY14)</f>
        <v>100549.31952745657</v>
      </c>
    </row>
    <row r="20" spans="3:45" x14ac:dyDescent="0.25">
      <c r="C20" s="2" t="s">
        <v>45</v>
      </c>
      <c r="D20" s="19">
        <f>D6/D4</f>
        <v>0.7600632800140622</v>
      </c>
      <c r="E20" s="19">
        <f>E6/E4</f>
        <v>0.76357206012378431</v>
      </c>
      <c r="F20" s="19">
        <f>F6/F4</f>
        <v>0.76686300589017675</v>
      </c>
      <c r="G20" s="19">
        <f>G6/G4</f>
        <v>0.76207386363636365</v>
      </c>
      <c r="H20" s="19">
        <f>H6/H4</f>
        <v>0.77521367521367524</v>
      </c>
      <c r="I20" s="19">
        <f>I6/I4</f>
        <v>0.78130302002035967</v>
      </c>
      <c r="J20" s="19">
        <f>J6/J4</f>
        <v>0.79038047379755927</v>
      </c>
      <c r="K20" s="19">
        <f>K6/K4</f>
        <v>0.79288354898336411</v>
      </c>
      <c r="L20" s="19">
        <f>L6/L4</f>
        <v>0.79367866549604915</v>
      </c>
      <c r="M20" s="19">
        <f>M6/M4</f>
        <v>0.80180180180180183</v>
      </c>
      <c r="N20" s="19">
        <f>N6/N4</f>
        <v>0.80058987383254132</v>
      </c>
      <c r="O20" s="19">
        <f>O6/O4</f>
        <v>0.79771151758122438</v>
      </c>
      <c r="P20" s="19">
        <f>P6/P4</f>
        <v>0.80454607322716754</v>
      </c>
      <c r="Q20" s="20">
        <f>Q6/Q4</f>
        <v>0.79250883392226146</v>
      </c>
      <c r="R20" s="19" t="e">
        <f>R6/R4</f>
        <v>#DIV/0!</v>
      </c>
      <c r="S20" s="19" t="e">
        <f>S6/S4</f>
        <v>#DIV/0!</v>
      </c>
      <c r="V20" s="19">
        <f t="shared" ref="V20:AD20" si="23">V6/V4</f>
        <v>0.72850570592101327</v>
      </c>
      <c r="W20" s="19">
        <f t="shared" si="23"/>
        <v>0.75060401360879636</v>
      </c>
      <c r="X20" s="19">
        <f t="shared" si="23"/>
        <v>0.74474342653966019</v>
      </c>
      <c r="Y20" s="19">
        <f t="shared" si="23"/>
        <v>0.74287468210120144</v>
      </c>
      <c r="Z20" s="19">
        <f t="shared" si="23"/>
        <v>0.72718126943479056</v>
      </c>
      <c r="AA20" s="19">
        <f t="shared" si="23"/>
        <v>0.75622073754537322</v>
      </c>
      <c r="AB20" s="19">
        <f t="shared" si="23"/>
        <v>0.76104984183978797</v>
      </c>
      <c r="AC20" s="19">
        <f t="shared" si="23"/>
        <v>0.7629520462532593</v>
      </c>
      <c r="AD20" s="19">
        <f t="shared" si="23"/>
        <v>0.78632357122547625</v>
      </c>
      <c r="AE20" s="19">
        <f>AE6/AE4</f>
        <v>0.79826388888888888</v>
      </c>
      <c r="AF20" s="20">
        <f t="shared" ref="AF20:AP20" si="24">AF6/AF4</f>
        <v>0.79500000000000004</v>
      </c>
      <c r="AG20" s="19">
        <f t="shared" si="24"/>
        <v>0.79500000000000004</v>
      </c>
      <c r="AH20" s="19">
        <f t="shared" si="24"/>
        <v>0.79500000000000004</v>
      </c>
      <c r="AI20" s="19">
        <f t="shared" si="24"/>
        <v>0.79500000000000004</v>
      </c>
      <c r="AJ20" s="19">
        <f t="shared" si="24"/>
        <v>0.79500000000000004</v>
      </c>
      <c r="AK20" s="19">
        <f t="shared" si="24"/>
        <v>0.79500000000000004</v>
      </c>
      <c r="AL20" s="19">
        <f t="shared" si="24"/>
        <v>0.79500000000000004</v>
      </c>
      <c r="AM20" s="19">
        <f t="shared" si="24"/>
        <v>0.79499999999999993</v>
      </c>
      <c r="AN20" s="19">
        <f t="shared" si="24"/>
        <v>0.79500000000000004</v>
      </c>
      <c r="AO20" s="19">
        <f t="shared" si="24"/>
        <v>0.79500000000000004</v>
      </c>
      <c r="AP20" s="19">
        <f t="shared" si="24"/>
        <v>0.79500000000000004</v>
      </c>
      <c r="AR20" s="2" t="s">
        <v>2</v>
      </c>
      <c r="AS20" s="26">
        <v>79</v>
      </c>
    </row>
    <row r="21" spans="3:45" x14ac:dyDescent="0.25">
      <c r="C21" s="2" t="s">
        <v>39</v>
      </c>
      <c r="D21" s="19">
        <f>D9/D4</f>
        <v>0.23026894005976445</v>
      </c>
      <c r="E21" s="19">
        <f>E9/E4</f>
        <v>0.22086648983200707</v>
      </c>
      <c r="F21" s="19">
        <f>F9/F4</f>
        <v>0.18563556906707201</v>
      </c>
      <c r="G21" s="19">
        <f>G9/G4</f>
        <v>0.32518262987012986</v>
      </c>
      <c r="H21" s="19">
        <f>H9/H4</f>
        <v>0.21452991452991452</v>
      </c>
      <c r="I21" s="19">
        <f>I9/I4</f>
        <v>0.2015609093993892</v>
      </c>
      <c r="J21" s="19">
        <f>J9/J4</f>
        <v>0.16511127063890882</v>
      </c>
      <c r="K21" s="19">
        <f>K9/K4</f>
        <v>0.33955637707948244</v>
      </c>
      <c r="L21" s="19">
        <f>L9/L4</f>
        <v>0.22051507170032192</v>
      </c>
      <c r="M21" s="19">
        <f>M9/M4</f>
        <v>0.19745975483680403</v>
      </c>
      <c r="N21" s="19">
        <f>N9/N4</f>
        <v>0.16074061936752418</v>
      </c>
      <c r="O21" s="19">
        <f>O9/O4</f>
        <v>0.34652969180656479</v>
      </c>
      <c r="P21" s="19">
        <f>P9/P4</f>
        <v>0.22335647202939976</v>
      </c>
      <c r="Q21" s="20">
        <f>Q9/Q4</f>
        <v>0.18190812720848057</v>
      </c>
      <c r="R21" s="19" t="e">
        <f>R9/R4</f>
        <v>#DIV/0!</v>
      </c>
      <c r="S21" s="19" t="e">
        <f>S9/S4</f>
        <v>#DIV/0!</v>
      </c>
      <c r="V21" s="19">
        <f t="shared" ref="V21:AD21" si="25">V9/V4</f>
        <v>0.34737408137659076</v>
      </c>
      <c r="W21" s="19">
        <f t="shared" si="25"/>
        <v>0.36507075587988758</v>
      </c>
      <c r="X21" s="19">
        <f t="shared" si="25"/>
        <v>0.34168824897941269</v>
      </c>
      <c r="Y21" s="19">
        <f t="shared" si="25"/>
        <v>0.28198719635183722</v>
      </c>
      <c r="Z21" s="19">
        <f t="shared" si="25"/>
        <v>0.17500457289189683</v>
      </c>
      <c r="AA21" s="19">
        <f t="shared" si="25"/>
        <v>0.14119627544847177</v>
      </c>
      <c r="AB21" s="19">
        <f t="shared" si="25"/>
        <v>0.24959391296913738</v>
      </c>
      <c r="AC21" s="19">
        <f t="shared" si="25"/>
        <v>0.25480860068775268</v>
      </c>
      <c r="AD21" s="19">
        <f t="shared" si="25"/>
        <v>0.25014216661927779</v>
      </c>
      <c r="AE21" s="19">
        <f>AE9/AE4</f>
        <v>0.25170454545454546</v>
      </c>
      <c r="AF21" s="20">
        <f t="shared" ref="AF21:AP21" si="26">AF9/AF4</f>
        <v>0.24323532948532947</v>
      </c>
      <c r="AG21" s="19">
        <f t="shared" si="26"/>
        <v>0.24323532948532947</v>
      </c>
      <c r="AH21" s="19">
        <f t="shared" si="26"/>
        <v>0.24548782038067757</v>
      </c>
      <c r="AI21" s="19">
        <f t="shared" si="26"/>
        <v>0.24772958512890489</v>
      </c>
      <c r="AJ21" s="19">
        <f t="shared" si="26"/>
        <v>0.24996067480690259</v>
      </c>
      <c r="AK21" s="19">
        <f t="shared" si="26"/>
        <v>0.25218114024833843</v>
      </c>
      <c r="AL21" s="19">
        <f t="shared" si="26"/>
        <v>0.25439103204481506</v>
      </c>
      <c r="AM21" s="19">
        <f t="shared" si="26"/>
        <v>0.25659040054702265</v>
      </c>
      <c r="AN21" s="19">
        <f t="shared" si="26"/>
        <v>0.25877929586588655</v>
      </c>
      <c r="AO21" s="19">
        <f t="shared" si="26"/>
        <v>0.26095776787370817</v>
      </c>
      <c r="AP21" s="19">
        <f t="shared" si="26"/>
        <v>0.26312586620530209</v>
      </c>
      <c r="AR21" s="2" t="s">
        <v>127</v>
      </c>
      <c r="AS21" s="33">
        <f>AS19/AS20</f>
        <v>1272.7761965500831</v>
      </c>
    </row>
    <row r="22" spans="3:45" x14ac:dyDescent="0.25">
      <c r="C22" s="2" t="s">
        <v>122</v>
      </c>
      <c r="M22" s="9"/>
      <c r="Q22" s="8"/>
      <c r="V22" s="19">
        <v>0.72</v>
      </c>
      <c r="W22" s="19">
        <v>0.8</v>
      </c>
      <c r="X22" s="19">
        <v>0.68</v>
      </c>
      <c r="Y22" s="19">
        <v>0.53</v>
      </c>
      <c r="Z22" s="19">
        <v>0.27</v>
      </c>
      <c r="AA22" s="19">
        <v>0.2</v>
      </c>
      <c r="AB22" s="19">
        <v>0.52</v>
      </c>
      <c r="AC22" s="19">
        <v>0.49</v>
      </c>
      <c r="AD22" s="19">
        <v>0.45</v>
      </c>
      <c r="AE22" s="19">
        <v>0.46</v>
      </c>
      <c r="AR22" s="1" t="s">
        <v>128</v>
      </c>
      <c r="AS22" s="25">
        <f>(AS21-B4)/B4</f>
        <v>0.50695737218811632</v>
      </c>
    </row>
    <row r="23" spans="3:45" x14ac:dyDescent="0.25">
      <c r="M23" s="18"/>
      <c r="Q23" s="41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3:45" x14ac:dyDescent="0.25">
      <c r="C24" s="1" t="s">
        <v>51</v>
      </c>
    </row>
    <row r="25" spans="3:45" x14ac:dyDescent="0.25">
      <c r="C25" s="2" t="s">
        <v>66</v>
      </c>
      <c r="D25" s="14">
        <v>4660</v>
      </c>
      <c r="E25" s="14">
        <v>4743</v>
      </c>
      <c r="F25" s="14">
        <v>4995</v>
      </c>
      <c r="G25" s="14">
        <v>4822</v>
      </c>
      <c r="H25" s="14">
        <v>4798</v>
      </c>
      <c r="I25" s="14">
        <v>4882</v>
      </c>
      <c r="J25" s="14">
        <v>4977</v>
      </c>
      <c r="K25" s="14">
        <v>4914</v>
      </c>
      <c r="L25" s="14">
        <v>5017</v>
      </c>
      <c r="M25" s="14">
        <v>5070</v>
      </c>
      <c r="N25" s="14">
        <v>5003</v>
      </c>
      <c r="O25" s="14">
        <v>5126</v>
      </c>
      <c r="P25" s="14">
        <v>5124</v>
      </c>
      <c r="Q25" s="15">
        <v>5027</v>
      </c>
      <c r="R25" s="10"/>
      <c r="S25" s="10"/>
      <c r="T25" s="1"/>
      <c r="U25" s="1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3:45" x14ac:dyDescent="0.25">
      <c r="C26" s="2" t="s">
        <v>67</v>
      </c>
      <c r="D26" s="14">
        <v>1057</v>
      </c>
      <c r="E26" s="14">
        <v>1057</v>
      </c>
      <c r="F26" s="14">
        <v>1057</v>
      </c>
      <c r="G26" s="14">
        <v>1057</v>
      </c>
      <c r="H26" s="14">
        <v>1057</v>
      </c>
      <c r="I26" s="14">
        <v>1057</v>
      </c>
      <c r="J26" s="14">
        <v>1057</v>
      </c>
      <c r="K26" s="14">
        <v>1057</v>
      </c>
      <c r="L26" s="14">
        <v>1057</v>
      </c>
      <c r="M26" s="14">
        <v>1057</v>
      </c>
      <c r="N26" s="14">
        <v>1057</v>
      </c>
      <c r="O26" s="14">
        <v>1057</v>
      </c>
      <c r="P26" s="14">
        <v>1057</v>
      </c>
      <c r="Q26" s="15">
        <v>1057</v>
      </c>
      <c r="R26" s="10"/>
      <c r="S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3:45" x14ac:dyDescent="0.25">
      <c r="C27" s="2" t="s">
        <v>68</v>
      </c>
      <c r="D27" s="14">
        <v>1072</v>
      </c>
      <c r="E27" s="14">
        <v>1064</v>
      </c>
      <c r="F27" s="14">
        <v>1055</v>
      </c>
      <c r="G27" s="14">
        <v>1047</v>
      </c>
      <c r="H27" s="14">
        <v>1041</v>
      </c>
      <c r="I27" s="14">
        <v>1040</v>
      </c>
      <c r="J27" s="14">
        <v>1040</v>
      </c>
      <c r="K27" s="14">
        <v>1039</v>
      </c>
      <c r="L27" s="14">
        <v>1038</v>
      </c>
      <c r="M27" s="14">
        <v>1034</v>
      </c>
      <c r="N27" s="14">
        <v>1034</v>
      </c>
      <c r="O27" s="14">
        <v>1034</v>
      </c>
      <c r="P27" s="14">
        <v>1034</v>
      </c>
      <c r="Q27" s="15">
        <v>1034</v>
      </c>
      <c r="R27" s="10"/>
      <c r="S27" s="10"/>
      <c r="T27" s="19"/>
      <c r="U27" s="19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20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3:45" x14ac:dyDescent="0.25">
      <c r="C28" s="2" t="s">
        <v>69</v>
      </c>
      <c r="D28" s="14">
        <v>559</v>
      </c>
      <c r="E28" s="14">
        <v>568</v>
      </c>
      <c r="F28" s="14">
        <v>605</v>
      </c>
      <c r="G28" s="14">
        <v>642</v>
      </c>
      <c r="H28" s="14">
        <v>679</v>
      </c>
      <c r="I28" s="14">
        <v>687</v>
      </c>
      <c r="J28" s="14">
        <v>678</v>
      </c>
      <c r="K28" s="14">
        <v>790</v>
      </c>
      <c r="L28" s="14">
        <v>872</v>
      </c>
      <c r="M28" s="14">
        <v>949</v>
      </c>
      <c r="N28" s="14">
        <v>969</v>
      </c>
      <c r="O28" s="14">
        <v>1015</v>
      </c>
      <c r="P28" s="14">
        <v>1046</v>
      </c>
      <c r="Q28" s="15">
        <v>1126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3:45" x14ac:dyDescent="0.25">
      <c r="C29" s="2" t="s">
        <v>70</v>
      </c>
      <c r="D29" s="14">
        <v>1823</v>
      </c>
      <c r="E29" s="14">
        <v>1937</v>
      </c>
      <c r="F29" s="14">
        <v>2076</v>
      </c>
      <c r="G29" s="14">
        <v>2226</v>
      </c>
      <c r="H29" s="14">
        <v>2247</v>
      </c>
      <c r="I29" s="14">
        <v>2382</v>
      </c>
      <c r="J29" s="14">
        <v>2550</v>
      </c>
      <c r="K29" s="14">
        <v>2746</v>
      </c>
      <c r="L29" s="14">
        <v>2818</v>
      </c>
      <c r="M29" s="14">
        <v>2955</v>
      </c>
      <c r="N29" s="14">
        <v>3169</v>
      </c>
      <c r="O29" s="14">
        <v>3475</v>
      </c>
      <c r="P29" s="14">
        <v>3506</v>
      </c>
      <c r="Q29" s="15">
        <v>3598</v>
      </c>
    </row>
    <row r="30" spans="3:45" x14ac:dyDescent="0.25">
      <c r="C30" s="2" t="s">
        <v>71</v>
      </c>
      <c r="D30" s="14">
        <v>2610</v>
      </c>
      <c r="E30" s="14">
        <v>2704</v>
      </c>
      <c r="F30" s="14">
        <v>2825</v>
      </c>
      <c r="G30" s="14">
        <v>2978</v>
      </c>
      <c r="H30" s="14">
        <v>3109</v>
      </c>
      <c r="I30" s="14">
        <v>3367</v>
      </c>
      <c r="J30" s="14">
        <v>3541</v>
      </c>
      <c r="K30" s="14">
        <v>3779</v>
      </c>
      <c r="L30" s="14">
        <v>3966</v>
      </c>
      <c r="M30" s="14">
        <v>4454</v>
      </c>
      <c r="N30" s="14">
        <v>4698</v>
      </c>
      <c r="O30" s="14">
        <v>4997</v>
      </c>
      <c r="P30" s="14">
        <v>5009</v>
      </c>
      <c r="Q30" s="15">
        <v>5105</v>
      </c>
    </row>
    <row r="31" spans="3:45" x14ac:dyDescent="0.25">
      <c r="C31" s="2" t="s">
        <v>72</v>
      </c>
      <c r="D31" s="14">
        <v>1030</v>
      </c>
      <c r="E31" s="14">
        <v>1174</v>
      </c>
      <c r="F31" s="14">
        <v>1426</v>
      </c>
      <c r="G31" s="14">
        <v>1261</v>
      </c>
      <c r="H31" s="14">
        <v>1273</v>
      </c>
      <c r="I31" s="14">
        <v>1299</v>
      </c>
      <c r="J31" s="14">
        <v>1317</v>
      </c>
      <c r="K31" s="14">
        <v>1260</v>
      </c>
      <c r="L31" s="14">
        <v>1347</v>
      </c>
      <c r="M31" s="14">
        <v>1417</v>
      </c>
      <c r="N31" s="14">
        <v>1632</v>
      </c>
      <c r="O31" s="14">
        <v>1530</v>
      </c>
      <c r="P31" s="14">
        <v>1787</v>
      </c>
      <c r="Q31" s="15">
        <v>1675</v>
      </c>
      <c r="R31" s="14"/>
      <c r="S31" s="14"/>
    </row>
    <row r="32" spans="3:45" x14ac:dyDescent="0.25">
      <c r="C32" s="2" t="s">
        <v>73</v>
      </c>
      <c r="D32" s="14">
        <v>216</v>
      </c>
      <c r="E32" s="14">
        <v>221</v>
      </c>
      <c r="F32" s="14">
        <v>243</v>
      </c>
      <c r="G32" s="14">
        <v>249</v>
      </c>
      <c r="H32" s="14">
        <v>240</v>
      </c>
      <c r="I32" s="14">
        <v>214</v>
      </c>
      <c r="J32" s="14">
        <v>225</v>
      </c>
      <c r="K32" s="14">
        <v>215</v>
      </c>
      <c r="L32" s="14">
        <v>249</v>
      </c>
      <c r="M32" s="14">
        <v>267</v>
      </c>
      <c r="N32" s="14">
        <v>280</v>
      </c>
      <c r="O32" s="14">
        <v>298</v>
      </c>
      <c r="P32" s="14">
        <v>286</v>
      </c>
      <c r="Q32" s="15">
        <v>291</v>
      </c>
      <c r="R32" s="14"/>
      <c r="S32" s="14"/>
    </row>
    <row r="33" spans="3:19" x14ac:dyDescent="0.25">
      <c r="C33" s="2" t="s">
        <v>74</v>
      </c>
      <c r="D33" s="14">
        <v>3534</v>
      </c>
      <c r="E33" s="14">
        <v>4239</v>
      </c>
      <c r="F33" s="14">
        <v>5155</v>
      </c>
      <c r="G33" s="14">
        <v>4211</v>
      </c>
      <c r="H33" s="14">
        <v>4327</v>
      </c>
      <c r="I33" s="14">
        <v>4460</v>
      </c>
      <c r="J33" s="14">
        <v>4824</v>
      </c>
      <c r="K33" s="14">
        <v>4166</v>
      </c>
      <c r="L33" s="14">
        <v>4425</v>
      </c>
      <c r="M33" s="14">
        <v>4459</v>
      </c>
      <c r="N33" s="14">
        <v>4898</v>
      </c>
      <c r="O33" s="14">
        <v>4426</v>
      </c>
      <c r="P33" s="14">
        <v>4604</v>
      </c>
      <c r="Q33" s="15">
        <v>4735</v>
      </c>
      <c r="R33" s="14"/>
      <c r="S33" s="14"/>
    </row>
    <row r="34" spans="3:19" x14ac:dyDescent="0.25">
      <c r="C34" s="2" t="s">
        <v>75</v>
      </c>
      <c r="D34" s="14">
        <v>790</v>
      </c>
      <c r="E34" s="14">
        <v>663</v>
      </c>
      <c r="F34" s="14">
        <v>880</v>
      </c>
      <c r="G34" s="14">
        <v>1262</v>
      </c>
      <c r="H34" s="14">
        <v>840</v>
      </c>
      <c r="I34" s="14">
        <v>791</v>
      </c>
      <c r="J34" s="14">
        <v>931</v>
      </c>
      <c r="K34" s="14">
        <v>1342</v>
      </c>
      <c r="L34" s="14">
        <v>1104</v>
      </c>
      <c r="M34" s="14">
        <v>854</v>
      </c>
      <c r="N34" s="14">
        <v>757</v>
      </c>
      <c r="O34" s="14">
        <v>1217</v>
      </c>
      <c r="P34" s="14">
        <v>719</v>
      </c>
      <c r="Q34" s="15">
        <v>661</v>
      </c>
      <c r="R34" s="14"/>
      <c r="S34" s="14"/>
    </row>
    <row r="35" spans="3:19" x14ac:dyDescent="0.25">
      <c r="C35" s="2" t="s">
        <v>76</v>
      </c>
      <c r="D35" s="14">
        <v>52</v>
      </c>
      <c r="E35" s="14">
        <v>52</v>
      </c>
      <c r="F35" s="14">
        <v>42</v>
      </c>
      <c r="G35" s="14">
        <v>54</v>
      </c>
      <c r="H35" s="14">
        <v>39</v>
      </c>
      <c r="I35" s="14">
        <v>39</v>
      </c>
      <c r="J35" s="14">
        <v>37</v>
      </c>
      <c r="K35" s="14">
        <v>55</v>
      </c>
      <c r="L35" s="14">
        <v>48</v>
      </c>
      <c r="M35" s="14">
        <v>53</v>
      </c>
      <c r="N35" s="14">
        <v>51</v>
      </c>
      <c r="O35" s="14">
        <v>91</v>
      </c>
      <c r="P35" s="14">
        <v>70</v>
      </c>
      <c r="Q35" s="15">
        <v>60</v>
      </c>
      <c r="R35" s="14"/>
      <c r="S35" s="14"/>
    </row>
    <row r="36" spans="3:19" x14ac:dyDescent="0.25">
      <c r="C36" s="2" t="s">
        <v>77</v>
      </c>
      <c r="D36" s="14">
        <v>206</v>
      </c>
      <c r="E36" s="14">
        <v>124</v>
      </c>
      <c r="F36" s="14">
        <v>174</v>
      </c>
      <c r="G36" s="14">
        <v>231</v>
      </c>
      <c r="H36" s="14">
        <v>253</v>
      </c>
      <c r="I36" s="14">
        <v>117</v>
      </c>
      <c r="J36" s="14">
        <v>43</v>
      </c>
      <c r="K36" s="14">
        <v>87</v>
      </c>
      <c r="L36" s="14">
        <v>127</v>
      </c>
      <c r="M36" s="14">
        <v>283</v>
      </c>
      <c r="N36" s="14">
        <v>369</v>
      </c>
      <c r="O36" s="14">
        <v>162</v>
      </c>
      <c r="P36" s="14">
        <v>325</v>
      </c>
      <c r="Q36" s="15">
        <v>629</v>
      </c>
      <c r="R36" s="14"/>
      <c r="S36" s="14"/>
    </row>
    <row r="37" spans="3:19" x14ac:dyDescent="0.25">
      <c r="C37" s="2" t="s">
        <v>130</v>
      </c>
      <c r="D37" s="14">
        <v>126</v>
      </c>
      <c r="E37" s="14">
        <v>207</v>
      </c>
      <c r="F37" s="14">
        <v>80</v>
      </c>
      <c r="G37" s="14">
        <v>155</v>
      </c>
      <c r="H37" s="14">
        <v>156</v>
      </c>
      <c r="I37" s="14">
        <v>182</v>
      </c>
      <c r="J37" s="14">
        <v>185</v>
      </c>
      <c r="K37" s="14">
        <v>103</v>
      </c>
      <c r="L37" s="14">
        <v>104</v>
      </c>
      <c r="M37" s="14">
        <v>218</v>
      </c>
      <c r="N37" s="14">
        <v>174</v>
      </c>
      <c r="O37" s="14">
        <v>153</v>
      </c>
      <c r="P37" s="14">
        <v>150</v>
      </c>
      <c r="Q37" s="15">
        <v>338</v>
      </c>
      <c r="R37" s="14"/>
      <c r="S37" s="14"/>
    </row>
    <row r="38" spans="3:19" x14ac:dyDescent="0.25">
      <c r="C38" s="2" t="s">
        <v>78</v>
      </c>
      <c r="D38" s="14">
        <v>966</v>
      </c>
      <c r="E38" s="14">
        <v>744</v>
      </c>
      <c r="F38" s="14">
        <v>901</v>
      </c>
      <c r="G38" s="14">
        <v>1024</v>
      </c>
      <c r="H38" s="14">
        <v>920</v>
      </c>
      <c r="I38" s="14">
        <v>738</v>
      </c>
      <c r="J38" s="14">
        <v>872</v>
      </c>
      <c r="K38" s="14">
        <v>849</v>
      </c>
      <c r="L38" s="14">
        <v>886</v>
      </c>
      <c r="M38" s="14">
        <v>831</v>
      </c>
      <c r="N38" s="14">
        <v>763</v>
      </c>
      <c r="O38" s="14">
        <v>782</v>
      </c>
      <c r="P38" s="14">
        <v>984</v>
      </c>
      <c r="Q38" s="15">
        <v>853</v>
      </c>
      <c r="R38" s="14"/>
      <c r="S38" s="14"/>
    </row>
    <row r="39" spans="3:19" x14ac:dyDescent="0.25">
      <c r="C39" s="2" t="s">
        <v>79</v>
      </c>
      <c r="D39" s="14">
        <v>716</v>
      </c>
      <c r="E39" s="14">
        <v>1005</v>
      </c>
      <c r="F39" s="14">
        <v>260</v>
      </c>
      <c r="G39" s="14">
        <v>794</v>
      </c>
      <c r="H39" s="14">
        <v>541</v>
      </c>
      <c r="I39" s="14">
        <v>855</v>
      </c>
      <c r="J39" s="14">
        <v>848</v>
      </c>
      <c r="K39" s="14">
        <v>1397</v>
      </c>
      <c r="L39" s="14">
        <v>934</v>
      </c>
      <c r="M39" s="14">
        <v>897</v>
      </c>
      <c r="N39" s="14">
        <v>676</v>
      </c>
      <c r="O39" s="14">
        <v>2394</v>
      </c>
      <c r="P39" s="14">
        <v>744</v>
      </c>
      <c r="Q39" s="15">
        <v>817</v>
      </c>
      <c r="R39" s="14"/>
      <c r="S39" s="14"/>
    </row>
    <row r="40" spans="3:19" x14ac:dyDescent="0.25">
      <c r="C40" s="1" t="s">
        <v>80</v>
      </c>
      <c r="D40" s="12">
        <f t="shared" ref="D40:P40" si="27">SUM(D25:D39)</f>
        <v>19417</v>
      </c>
      <c r="E40" s="12">
        <f t="shared" si="27"/>
        <v>20502</v>
      </c>
      <c r="F40" s="12">
        <f t="shared" si="27"/>
        <v>21774</v>
      </c>
      <c r="G40" s="12">
        <f t="shared" si="27"/>
        <v>22013</v>
      </c>
      <c r="H40" s="12">
        <f t="shared" si="27"/>
        <v>21520</v>
      </c>
      <c r="I40" s="12">
        <f t="shared" si="27"/>
        <v>22110</v>
      </c>
      <c r="J40" s="12">
        <f t="shared" si="27"/>
        <v>23125</v>
      </c>
      <c r="K40" s="12">
        <f t="shared" si="27"/>
        <v>23799</v>
      </c>
      <c r="L40" s="12">
        <f t="shared" si="27"/>
        <v>23992</v>
      </c>
      <c r="M40" s="12">
        <f t="shared" si="27"/>
        <v>24798</v>
      </c>
      <c r="N40" s="12">
        <f t="shared" si="27"/>
        <v>25530</v>
      </c>
      <c r="O40" s="12">
        <f t="shared" si="27"/>
        <v>27757</v>
      </c>
      <c r="P40" s="12">
        <f t="shared" si="27"/>
        <v>26445</v>
      </c>
      <c r="Q40" s="13">
        <f>SUM(Q25:Q39)</f>
        <v>27006</v>
      </c>
      <c r="R40" s="12"/>
      <c r="S40" s="12"/>
    </row>
    <row r="41" spans="3:19" x14ac:dyDescent="0.25">
      <c r="C41" s="2" t="s">
        <v>94</v>
      </c>
      <c r="D41" s="14">
        <v>100</v>
      </c>
      <c r="E41" s="14">
        <v>96</v>
      </c>
      <c r="F41" s="14">
        <v>96</v>
      </c>
      <c r="G41" s="14">
        <v>96</v>
      </c>
      <c r="H41" s="14">
        <v>96</v>
      </c>
      <c r="I41" s="14">
        <v>89</v>
      </c>
      <c r="J41" s="14">
        <v>89</v>
      </c>
      <c r="K41" s="14">
        <v>89</v>
      </c>
      <c r="L41" s="14">
        <v>89</v>
      </c>
      <c r="M41" s="14">
        <v>82</v>
      </c>
      <c r="N41" s="14">
        <v>82</v>
      </c>
      <c r="O41" s="14">
        <v>82</v>
      </c>
      <c r="P41" s="14">
        <v>82</v>
      </c>
      <c r="Q41" s="15">
        <v>79</v>
      </c>
      <c r="R41" s="14"/>
      <c r="S41" s="14"/>
    </row>
    <row r="42" spans="3:19" x14ac:dyDescent="0.25">
      <c r="C42" s="2" t="s">
        <v>95</v>
      </c>
      <c r="D42" s="14">
        <v>-4458</v>
      </c>
      <c r="E42" s="14">
        <v>-1690</v>
      </c>
      <c r="F42" s="14">
        <v>-2485</v>
      </c>
      <c r="G42" s="14">
        <v>-3320</v>
      </c>
      <c r="H42" s="14">
        <v>-4489</v>
      </c>
      <c r="I42" s="14">
        <v>-2337</v>
      </c>
      <c r="J42" s="14">
        <v>-3647</v>
      </c>
      <c r="K42" s="14">
        <v>-4353</v>
      </c>
      <c r="L42" s="14">
        <v>-5184</v>
      </c>
      <c r="M42" s="14">
        <v>-1092</v>
      </c>
      <c r="N42" s="14">
        <v>-2189</v>
      </c>
      <c r="O42" s="14">
        <v>-3228</v>
      </c>
      <c r="P42" s="14">
        <v>-4123</v>
      </c>
      <c r="Q42" s="15">
        <v>-1868</v>
      </c>
      <c r="R42" s="14"/>
      <c r="S42" s="14"/>
    </row>
    <row r="43" spans="3:19" x14ac:dyDescent="0.25">
      <c r="C43" s="2" t="s">
        <v>81</v>
      </c>
      <c r="D43" s="16">
        <v>1043</v>
      </c>
      <c r="E43" s="14">
        <v>911</v>
      </c>
      <c r="F43" s="14">
        <v>1011</v>
      </c>
      <c r="G43" s="14">
        <v>918</v>
      </c>
      <c r="H43" s="14">
        <v>914</v>
      </c>
      <c r="I43" s="14">
        <v>650</v>
      </c>
      <c r="J43" s="14">
        <v>657</v>
      </c>
      <c r="K43" s="14">
        <v>610</v>
      </c>
      <c r="L43" s="14">
        <v>678</v>
      </c>
      <c r="M43" s="14">
        <v>818</v>
      </c>
      <c r="N43" s="14">
        <v>750</v>
      </c>
      <c r="O43" s="14">
        <v>858</v>
      </c>
      <c r="P43" s="14">
        <v>703</v>
      </c>
      <c r="Q43" s="15">
        <v>492</v>
      </c>
      <c r="R43" s="14"/>
      <c r="S43" s="14"/>
    </row>
    <row r="44" spans="3:19" x14ac:dyDescent="0.25">
      <c r="C44" s="2" t="s">
        <v>82</v>
      </c>
      <c r="D44" s="14">
        <v>0</v>
      </c>
      <c r="E44" s="14">
        <v>0</v>
      </c>
      <c r="F44" s="2">
        <v>0</v>
      </c>
      <c r="G44" s="14">
        <v>1430</v>
      </c>
      <c r="H44" s="14">
        <v>0</v>
      </c>
      <c r="I44" s="14">
        <v>0</v>
      </c>
      <c r="J44" s="14">
        <v>0</v>
      </c>
      <c r="K44" s="14">
        <v>1480</v>
      </c>
      <c r="L44" s="14">
        <v>0</v>
      </c>
      <c r="M44" s="14">
        <v>0</v>
      </c>
      <c r="N44" s="14">
        <v>0</v>
      </c>
      <c r="O44" s="14">
        <v>1576</v>
      </c>
      <c r="P44" s="14">
        <v>0</v>
      </c>
      <c r="Q44" s="15">
        <v>0</v>
      </c>
      <c r="R44" s="14"/>
      <c r="S44" s="14"/>
    </row>
    <row r="45" spans="3:19" x14ac:dyDescent="0.25">
      <c r="C45" s="2" t="s">
        <v>83</v>
      </c>
      <c r="D45" s="14">
        <v>8841</v>
      </c>
      <c r="E45" s="14">
        <v>6301</v>
      </c>
      <c r="F45" s="14">
        <v>7058</v>
      </c>
      <c r="G45" s="14">
        <v>8044</v>
      </c>
      <c r="H45" s="14">
        <v>8734</v>
      </c>
      <c r="I45" s="14">
        <v>5843</v>
      </c>
      <c r="J45" s="14">
        <v>6422</v>
      </c>
      <c r="K45" s="14">
        <v>7530</v>
      </c>
      <c r="L45" s="14">
        <v>8379</v>
      </c>
      <c r="M45" s="14">
        <v>4268</v>
      </c>
      <c r="N45" s="14">
        <v>4871</v>
      </c>
      <c r="O45" s="14">
        <v>6219</v>
      </c>
      <c r="P45" s="14">
        <v>7171</v>
      </c>
      <c r="Q45" s="15">
        <v>4846</v>
      </c>
      <c r="R45" s="14"/>
      <c r="S45" s="14"/>
    </row>
    <row r="46" spans="3:19" x14ac:dyDescent="0.25">
      <c r="C46" s="11" t="s">
        <v>93</v>
      </c>
      <c r="D46" s="16">
        <f t="shared" ref="D46:P46" si="28">SUM(D41:D45)</f>
        <v>5526</v>
      </c>
      <c r="E46" s="16">
        <f t="shared" si="28"/>
        <v>5618</v>
      </c>
      <c r="F46" s="16">
        <f>SUM(F41:F45)</f>
        <v>5680</v>
      </c>
      <c r="G46" s="16">
        <f t="shared" si="28"/>
        <v>7168</v>
      </c>
      <c r="H46" s="16">
        <f t="shared" si="28"/>
        <v>5255</v>
      </c>
      <c r="I46" s="16">
        <f t="shared" si="28"/>
        <v>4245</v>
      </c>
      <c r="J46" s="16">
        <f t="shared" si="28"/>
        <v>3521</v>
      </c>
      <c r="K46" s="16">
        <f t="shared" si="28"/>
        <v>5356</v>
      </c>
      <c r="L46" s="16">
        <f t="shared" si="28"/>
        <v>3962</v>
      </c>
      <c r="M46" s="16">
        <f t="shared" si="28"/>
        <v>4076</v>
      </c>
      <c r="N46" s="16">
        <f t="shared" si="28"/>
        <v>3514</v>
      </c>
      <c r="O46" s="16">
        <f t="shared" si="28"/>
        <v>5507</v>
      </c>
      <c r="P46" s="16">
        <f t="shared" si="28"/>
        <v>3833</v>
      </c>
      <c r="Q46" s="42">
        <f>SUM(Q41:Q45)</f>
        <v>3549</v>
      </c>
      <c r="R46" s="16"/>
      <c r="S46" s="16"/>
    </row>
    <row r="47" spans="3:19" x14ac:dyDescent="0.25">
      <c r="C47" s="2" t="s">
        <v>84</v>
      </c>
      <c r="D47" s="14">
        <v>425</v>
      </c>
      <c r="E47" s="14">
        <v>386</v>
      </c>
      <c r="F47" s="14">
        <v>331</v>
      </c>
      <c r="G47" s="14">
        <v>363</v>
      </c>
      <c r="H47" s="14">
        <v>329</v>
      </c>
      <c r="I47" s="14">
        <v>369</v>
      </c>
      <c r="J47" s="14">
        <v>378</v>
      </c>
      <c r="K47" s="14">
        <v>408</v>
      </c>
      <c r="L47" s="14">
        <v>435</v>
      </c>
      <c r="M47" s="14">
        <v>467</v>
      </c>
      <c r="N47" s="14">
        <v>488</v>
      </c>
      <c r="O47" s="14">
        <v>494</v>
      </c>
      <c r="P47" s="14">
        <v>492</v>
      </c>
      <c r="Q47" s="15">
        <v>541</v>
      </c>
      <c r="R47" s="14"/>
      <c r="S47" s="14"/>
    </row>
    <row r="48" spans="3:19" x14ac:dyDescent="0.25">
      <c r="C48" s="2" t="s">
        <v>131</v>
      </c>
      <c r="D48" s="14">
        <v>6566</v>
      </c>
      <c r="E48" s="14">
        <v>7998</v>
      </c>
      <c r="F48" s="14">
        <v>7014</v>
      </c>
      <c r="G48" s="14">
        <v>3130</v>
      </c>
      <c r="H48" s="14">
        <v>9360</v>
      </c>
      <c r="I48" s="14">
        <v>10555</v>
      </c>
      <c r="J48" s="14">
        <v>11970</v>
      </c>
      <c r="K48" s="14">
        <v>9737</v>
      </c>
      <c r="L48" s="14">
        <v>8056</v>
      </c>
      <c r="M48" s="14">
        <v>11978</v>
      </c>
      <c r="N48" s="14">
        <v>11537</v>
      </c>
      <c r="O48" s="14">
        <v>11625</v>
      </c>
      <c r="P48" s="14">
        <v>12360</v>
      </c>
      <c r="Q48" s="15">
        <v>11693</v>
      </c>
      <c r="R48" s="14"/>
      <c r="S48" s="14"/>
    </row>
    <row r="49" spans="3:31" x14ac:dyDescent="0.25">
      <c r="C49" s="2" t="s">
        <v>85</v>
      </c>
      <c r="D49" s="14">
        <v>193</v>
      </c>
      <c r="E49" s="14">
        <v>145</v>
      </c>
      <c r="F49" s="14">
        <v>145</v>
      </c>
      <c r="G49" s="14">
        <v>172</v>
      </c>
      <c r="H49" s="14">
        <v>234</v>
      </c>
      <c r="I49" s="14">
        <v>174</v>
      </c>
      <c r="J49" s="14">
        <v>138</v>
      </c>
      <c r="K49" s="14">
        <v>164</v>
      </c>
      <c r="L49" s="14">
        <v>222</v>
      </c>
      <c r="M49" s="14">
        <v>243</v>
      </c>
      <c r="N49" s="14">
        <v>280</v>
      </c>
      <c r="O49" s="14">
        <v>102</v>
      </c>
      <c r="P49" s="14">
        <v>163</v>
      </c>
      <c r="Q49" s="15">
        <v>161</v>
      </c>
      <c r="R49" s="14"/>
      <c r="S49" s="14"/>
    </row>
    <row r="50" spans="3:31" x14ac:dyDescent="0.25">
      <c r="C50" s="2" t="s">
        <v>86</v>
      </c>
      <c r="D50" s="2">
        <v>0</v>
      </c>
      <c r="E50" s="14">
        <v>0</v>
      </c>
      <c r="F50" s="14">
        <v>0</v>
      </c>
      <c r="G50" s="2">
        <v>0</v>
      </c>
      <c r="H50" s="2">
        <v>0</v>
      </c>
      <c r="I50" s="2">
        <v>0</v>
      </c>
      <c r="J50" s="14">
        <v>0</v>
      </c>
      <c r="K50" s="14">
        <v>80</v>
      </c>
      <c r="L50" s="14">
        <v>139</v>
      </c>
      <c r="M50" s="14">
        <v>189</v>
      </c>
      <c r="N50" s="14">
        <v>175</v>
      </c>
      <c r="O50" s="14">
        <v>152</v>
      </c>
      <c r="P50" s="14">
        <v>156</v>
      </c>
      <c r="Q50" s="15">
        <v>156</v>
      </c>
      <c r="R50" s="14"/>
      <c r="S50" s="14"/>
    </row>
    <row r="51" spans="3:31" x14ac:dyDescent="0.25">
      <c r="C51" s="2" t="s">
        <v>84</v>
      </c>
      <c r="D51" s="14">
        <v>25</v>
      </c>
      <c r="E51" s="14">
        <v>26</v>
      </c>
      <c r="F51" s="14">
        <v>26</v>
      </c>
      <c r="G51" s="14">
        <v>21</v>
      </c>
      <c r="H51" s="14">
        <v>20</v>
      </c>
      <c r="I51" s="14">
        <v>19</v>
      </c>
      <c r="J51" s="14">
        <v>18</v>
      </c>
      <c r="K51" s="14">
        <v>23</v>
      </c>
      <c r="L51" s="14">
        <v>24</v>
      </c>
      <c r="M51" s="14">
        <v>20</v>
      </c>
      <c r="N51" s="14">
        <v>22</v>
      </c>
      <c r="O51" s="14">
        <v>49</v>
      </c>
      <c r="P51" s="14">
        <v>50</v>
      </c>
      <c r="Q51" s="15">
        <v>41</v>
      </c>
      <c r="R51" s="14"/>
      <c r="S51" s="14"/>
    </row>
    <row r="52" spans="3:31" x14ac:dyDescent="0.25">
      <c r="C52" s="2" t="s">
        <v>87</v>
      </c>
      <c r="D52" s="14">
        <v>575</v>
      </c>
      <c r="E52" s="14">
        <v>583</v>
      </c>
      <c r="F52" s="14">
        <v>502</v>
      </c>
      <c r="G52" s="14">
        <v>628</v>
      </c>
      <c r="H52" s="14">
        <v>454</v>
      </c>
      <c r="I52" s="14">
        <v>478</v>
      </c>
      <c r="J52" s="14">
        <v>464</v>
      </c>
      <c r="K52" s="14">
        <v>721</v>
      </c>
      <c r="L52" s="14">
        <v>552</v>
      </c>
      <c r="M52" s="14">
        <v>583</v>
      </c>
      <c r="N52" s="14">
        <v>554</v>
      </c>
      <c r="O52" s="14">
        <v>840</v>
      </c>
      <c r="P52" s="14">
        <v>589</v>
      </c>
      <c r="Q52" s="15">
        <v>565</v>
      </c>
      <c r="R52" s="14"/>
      <c r="S52" s="14"/>
      <c r="Z52" s="1"/>
      <c r="AA52" s="1"/>
      <c r="AB52" s="1"/>
      <c r="AC52" s="1"/>
      <c r="AD52" s="1"/>
      <c r="AE52" s="1"/>
    </row>
    <row r="53" spans="3:31" x14ac:dyDescent="0.25">
      <c r="C53" s="2" t="s">
        <v>88</v>
      </c>
      <c r="D53" s="14">
        <v>127</v>
      </c>
      <c r="E53" s="14">
        <v>127</v>
      </c>
      <c r="F53" s="14">
        <v>129</v>
      </c>
      <c r="G53" s="14">
        <v>136</v>
      </c>
      <c r="H53" s="14">
        <v>129</v>
      </c>
      <c r="I53" s="14">
        <v>126</v>
      </c>
      <c r="J53" s="14">
        <v>177</v>
      </c>
      <c r="K53" s="14">
        <v>185</v>
      </c>
      <c r="L53" s="14">
        <v>168</v>
      </c>
      <c r="M53" s="14">
        <v>177</v>
      </c>
      <c r="N53" s="14">
        <v>186</v>
      </c>
      <c r="O53" s="14">
        <v>237</v>
      </c>
      <c r="P53" s="14">
        <v>220</v>
      </c>
      <c r="Q53" s="15">
        <v>221</v>
      </c>
      <c r="R53" s="14"/>
      <c r="S53" s="14"/>
    </row>
    <row r="54" spans="3:31" x14ac:dyDescent="0.25">
      <c r="C54" s="2" t="s">
        <v>129</v>
      </c>
      <c r="D54" s="14">
        <v>1308</v>
      </c>
      <c r="E54" s="14">
        <v>933</v>
      </c>
      <c r="F54" s="14">
        <v>2421</v>
      </c>
      <c r="G54" s="14">
        <v>4458</v>
      </c>
      <c r="H54" s="14">
        <v>1408</v>
      </c>
      <c r="I54" s="14">
        <v>1663</v>
      </c>
      <c r="J54" s="14">
        <v>1585</v>
      </c>
      <c r="K54" s="14">
        <v>1430</v>
      </c>
      <c r="L54" s="14">
        <v>5521</v>
      </c>
      <c r="M54" s="14">
        <v>2321</v>
      </c>
      <c r="N54" s="14">
        <v>3636</v>
      </c>
      <c r="O54" s="14">
        <v>1776</v>
      </c>
      <c r="P54" s="14">
        <v>2853</v>
      </c>
      <c r="Q54" s="15">
        <v>4420</v>
      </c>
      <c r="R54" s="14"/>
      <c r="S54" s="14"/>
    </row>
    <row r="55" spans="3:31" x14ac:dyDescent="0.25">
      <c r="C55" s="2" t="s">
        <v>77</v>
      </c>
      <c r="D55" s="14">
        <v>162</v>
      </c>
      <c r="E55" s="14">
        <v>423</v>
      </c>
      <c r="F55" s="14">
        <v>554</v>
      </c>
      <c r="G55" s="14">
        <v>74</v>
      </c>
      <c r="H55" s="14">
        <v>54</v>
      </c>
      <c r="I55" s="14">
        <v>206</v>
      </c>
      <c r="J55" s="14">
        <v>271</v>
      </c>
      <c r="K55" s="14">
        <v>128</v>
      </c>
      <c r="L55" s="14">
        <v>190</v>
      </c>
      <c r="M55" s="14">
        <v>109</v>
      </c>
      <c r="N55" s="14">
        <v>69</v>
      </c>
      <c r="O55" s="14">
        <v>152</v>
      </c>
      <c r="P55" s="14">
        <v>109</v>
      </c>
      <c r="Q55" s="15">
        <v>159</v>
      </c>
      <c r="R55" s="14"/>
      <c r="S55" s="14"/>
    </row>
    <row r="56" spans="3:31" x14ac:dyDescent="0.25">
      <c r="C56" s="2" t="s">
        <v>89</v>
      </c>
      <c r="D56" s="14">
        <v>2504</v>
      </c>
      <c r="E56" s="14">
        <v>2385</v>
      </c>
      <c r="F56" s="14">
        <v>2674</v>
      </c>
      <c r="G56" s="14">
        <v>3131</v>
      </c>
      <c r="H56" s="14">
        <v>2192</v>
      </c>
      <c r="I56" s="14">
        <v>2277</v>
      </c>
      <c r="J56" s="14">
        <v>2364</v>
      </c>
      <c r="K56" s="14">
        <v>3211</v>
      </c>
      <c r="L56" s="14">
        <v>2675</v>
      </c>
      <c r="M56" s="14">
        <v>2769</v>
      </c>
      <c r="N56" s="14">
        <v>2950</v>
      </c>
      <c r="O56" s="14">
        <v>3894</v>
      </c>
      <c r="P56" s="14">
        <v>3255</v>
      </c>
      <c r="Q56" s="15">
        <v>3271</v>
      </c>
      <c r="R56" s="14"/>
      <c r="S56" s="16"/>
      <c r="Z56" s="1"/>
      <c r="AA56" s="1"/>
      <c r="AB56" s="1"/>
      <c r="AC56" s="1"/>
      <c r="AD56" s="1"/>
      <c r="AE56" s="1"/>
    </row>
    <row r="57" spans="3:31" x14ac:dyDescent="0.25">
      <c r="C57" s="2" t="s">
        <v>90</v>
      </c>
      <c r="D57" s="14">
        <v>712</v>
      </c>
      <c r="E57" s="14">
        <v>981</v>
      </c>
      <c r="F57" s="14">
        <v>1175</v>
      </c>
      <c r="G57" s="14">
        <v>1068</v>
      </c>
      <c r="H57" s="14">
        <v>864</v>
      </c>
      <c r="I57" s="14">
        <v>964</v>
      </c>
      <c r="J57" s="14">
        <v>1079</v>
      </c>
      <c r="K57" s="14">
        <v>583</v>
      </c>
      <c r="L57" s="14">
        <v>534</v>
      </c>
      <c r="M57" s="14">
        <v>718</v>
      </c>
      <c r="N57" s="14">
        <v>950</v>
      </c>
      <c r="O57" s="14">
        <v>871</v>
      </c>
      <c r="P57" s="14">
        <v>761</v>
      </c>
      <c r="Q57" s="15">
        <v>989</v>
      </c>
      <c r="R57" s="14"/>
      <c r="S57" s="16"/>
      <c r="T57" s="11"/>
      <c r="U57" s="11"/>
    </row>
    <row r="58" spans="3:31" x14ac:dyDescent="0.25">
      <c r="C58" s="2" t="s">
        <v>86</v>
      </c>
      <c r="D58" s="14">
        <v>1296</v>
      </c>
      <c r="E58" s="14">
        <v>898</v>
      </c>
      <c r="F58" s="14">
        <v>1126</v>
      </c>
      <c r="G58" s="14">
        <v>1666</v>
      </c>
      <c r="H58" s="14">
        <v>1221</v>
      </c>
      <c r="I58" s="14">
        <v>1036</v>
      </c>
      <c r="J58" s="14">
        <v>1162</v>
      </c>
      <c r="K58" s="14">
        <v>1773</v>
      </c>
      <c r="L58" s="14">
        <v>1517</v>
      </c>
      <c r="M58" s="14">
        <v>1145</v>
      </c>
      <c r="N58" s="14">
        <v>1166</v>
      </c>
      <c r="O58" s="14">
        <v>2057</v>
      </c>
      <c r="P58" s="14">
        <v>1608</v>
      </c>
      <c r="Q58" s="15">
        <v>1240</v>
      </c>
      <c r="R58" s="14"/>
      <c r="S58" s="12"/>
    </row>
    <row r="59" spans="3:31" x14ac:dyDescent="0.25">
      <c r="C59" s="11" t="s">
        <v>91</v>
      </c>
      <c r="D59" s="16">
        <f>SUM(D47:D58)</f>
        <v>13893</v>
      </c>
      <c r="E59" s="16">
        <f t="shared" ref="D59:P59" si="29">SUM(E47:E58)</f>
        <v>14885</v>
      </c>
      <c r="F59" s="16">
        <f t="shared" si="29"/>
        <v>16097</v>
      </c>
      <c r="G59" s="16">
        <f t="shared" si="29"/>
        <v>14847</v>
      </c>
      <c r="H59" s="16">
        <f>SUM(H47:H58)</f>
        <v>16265</v>
      </c>
      <c r="I59" s="16">
        <f>SUM(I47:I58)</f>
        <v>17867</v>
      </c>
      <c r="J59" s="16">
        <f t="shared" si="29"/>
        <v>19606</v>
      </c>
      <c r="K59" s="16">
        <f t="shared" si="29"/>
        <v>18443</v>
      </c>
      <c r="L59" s="16">
        <f t="shared" si="29"/>
        <v>20033</v>
      </c>
      <c r="M59" s="16">
        <f t="shared" si="29"/>
        <v>20719</v>
      </c>
      <c r="N59" s="16">
        <f t="shared" si="29"/>
        <v>22013</v>
      </c>
      <c r="O59" s="16">
        <f t="shared" si="29"/>
        <v>22249</v>
      </c>
      <c r="P59" s="16">
        <f>SUM(P47:P58)</f>
        <v>22616</v>
      </c>
      <c r="Q59" s="42">
        <f>SUM(Q47:Q58)</f>
        <v>23457</v>
      </c>
      <c r="R59" s="16"/>
      <c r="S59" s="14"/>
    </row>
    <row r="60" spans="3:31" x14ac:dyDescent="0.25">
      <c r="C60" s="1" t="s">
        <v>92</v>
      </c>
      <c r="D60" s="12">
        <f t="shared" ref="D60:P60" si="30">D46+D59</f>
        <v>19419</v>
      </c>
      <c r="E60" s="12">
        <f t="shared" si="30"/>
        <v>20503</v>
      </c>
      <c r="F60" s="12">
        <f t="shared" si="30"/>
        <v>21777</v>
      </c>
      <c r="G60" s="12">
        <f t="shared" si="30"/>
        <v>22015</v>
      </c>
      <c r="H60" s="12">
        <f t="shared" si="30"/>
        <v>21520</v>
      </c>
      <c r="I60" s="12">
        <f t="shared" si="30"/>
        <v>22112</v>
      </c>
      <c r="J60" s="12">
        <f t="shared" si="30"/>
        <v>23127</v>
      </c>
      <c r="K60" s="12">
        <f t="shared" si="30"/>
        <v>23799</v>
      </c>
      <c r="L60" s="12">
        <f t="shared" si="30"/>
        <v>23995</v>
      </c>
      <c r="M60" s="12">
        <f t="shared" si="30"/>
        <v>24795</v>
      </c>
      <c r="N60" s="12">
        <f t="shared" si="30"/>
        <v>25527</v>
      </c>
      <c r="O60" s="12">
        <f t="shared" si="30"/>
        <v>27756</v>
      </c>
      <c r="P60" s="12">
        <f t="shared" si="30"/>
        <v>26449</v>
      </c>
      <c r="Q60" s="13">
        <f>Q46+Q59</f>
        <v>27006</v>
      </c>
      <c r="R60" s="12"/>
      <c r="S60" s="14"/>
      <c r="T60" s="1"/>
      <c r="U60" s="1"/>
      <c r="V60" s="1"/>
      <c r="W60" s="1"/>
      <c r="X60" s="1"/>
      <c r="Y60" s="1"/>
    </row>
    <row r="61" spans="3:31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  <c r="R61" s="14"/>
      <c r="S61" s="14"/>
      <c r="T61" s="1"/>
      <c r="U61" s="1"/>
      <c r="V61" s="1"/>
      <c r="W61" s="1"/>
      <c r="X61" s="1"/>
      <c r="Y61" s="1"/>
    </row>
    <row r="62" spans="3:31" x14ac:dyDescent="0.25">
      <c r="C62" s="1" t="s">
        <v>52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/>
      <c r="R62" s="14"/>
      <c r="S62" s="14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3:31" x14ac:dyDescent="0.25">
      <c r="C63" s="2" t="s">
        <v>96</v>
      </c>
      <c r="D63" s="14">
        <f t="shared" ref="D63:P63" si="31">D9</f>
        <v>1310</v>
      </c>
      <c r="E63" s="14">
        <f t="shared" si="31"/>
        <v>1249</v>
      </c>
      <c r="F63" s="14">
        <f t="shared" si="31"/>
        <v>977</v>
      </c>
      <c r="G63" s="14">
        <f t="shared" si="31"/>
        <v>3205</v>
      </c>
      <c r="H63" s="14">
        <f t="shared" si="31"/>
        <v>1255</v>
      </c>
      <c r="I63" s="14">
        <f t="shared" si="31"/>
        <v>1188</v>
      </c>
      <c r="J63" s="14">
        <f t="shared" si="31"/>
        <v>920</v>
      </c>
      <c r="K63" s="14">
        <f t="shared" si="31"/>
        <v>3674</v>
      </c>
      <c r="L63" s="14">
        <f t="shared" si="31"/>
        <v>1507</v>
      </c>
      <c r="M63" s="14">
        <f t="shared" si="31"/>
        <v>1337</v>
      </c>
      <c r="N63" s="14">
        <f t="shared" si="31"/>
        <v>981</v>
      </c>
      <c r="O63" s="14">
        <f t="shared" si="31"/>
        <v>4149</v>
      </c>
      <c r="P63" s="14">
        <f t="shared" si="31"/>
        <v>1641</v>
      </c>
      <c r="Q63" s="15">
        <f>Q9</f>
        <v>1287</v>
      </c>
      <c r="R63" s="14"/>
      <c r="S63" s="14"/>
      <c r="T63" s="1"/>
      <c r="U63" s="1"/>
      <c r="V63" s="14">
        <f t="shared" ref="V63:AE63" si="32">V9</f>
        <v>5814</v>
      </c>
      <c r="W63" s="14">
        <f t="shared" si="32"/>
        <v>7404</v>
      </c>
      <c r="X63" s="14">
        <f t="shared" si="32"/>
        <v>7784</v>
      </c>
      <c r="Y63" s="14">
        <f t="shared" si="32"/>
        <v>6431</v>
      </c>
      <c r="Z63" s="14">
        <f t="shared" si="32"/>
        <v>3827</v>
      </c>
      <c r="AA63" s="14">
        <f t="shared" si="32"/>
        <v>2684</v>
      </c>
      <c r="AB63" s="14">
        <f t="shared" si="32"/>
        <v>5839</v>
      </c>
      <c r="AC63" s="14">
        <f t="shared" si="32"/>
        <v>6743</v>
      </c>
      <c r="AD63" s="14">
        <f t="shared" si="32"/>
        <v>7038</v>
      </c>
      <c r="AE63" s="14">
        <f t="shared" si="32"/>
        <v>7974</v>
      </c>
    </row>
    <row r="64" spans="3:31" x14ac:dyDescent="0.25">
      <c r="C64" s="2" t="s">
        <v>97</v>
      </c>
      <c r="D64" s="14">
        <v>1310</v>
      </c>
      <c r="E64" s="14">
        <v>1249</v>
      </c>
      <c r="F64" s="14">
        <v>978</v>
      </c>
      <c r="G64" s="14">
        <v>3206</v>
      </c>
      <c r="H64" s="14">
        <v>1256</v>
      </c>
      <c r="I64" s="14">
        <v>1188</v>
      </c>
      <c r="J64" s="14">
        <v>920</v>
      </c>
      <c r="K64" s="14">
        <v>3674</v>
      </c>
      <c r="L64" s="14">
        <v>1507</v>
      </c>
      <c r="M64" s="14">
        <v>1338</v>
      </c>
      <c r="N64" s="14">
        <v>980</v>
      </c>
      <c r="O64" s="14">
        <v>4149</v>
      </c>
      <c r="P64" s="14">
        <v>1641</v>
      </c>
      <c r="Q64" s="15">
        <v>1287</v>
      </c>
      <c r="R64" s="12"/>
      <c r="S64" s="12"/>
      <c r="T64" s="1"/>
      <c r="U64" s="1"/>
      <c r="V64" s="14"/>
      <c r="W64" s="14"/>
      <c r="X64" s="14"/>
      <c r="Y64" s="14"/>
      <c r="Z64" s="14">
        <v>3829</v>
      </c>
      <c r="AA64" s="14">
        <v>2684</v>
      </c>
      <c r="AB64" s="14">
        <v>5839</v>
      </c>
      <c r="AC64" s="14">
        <v>6743</v>
      </c>
      <c r="AD64" s="14">
        <v>7039</v>
      </c>
      <c r="AE64" s="14">
        <v>7974</v>
      </c>
    </row>
    <row r="65" spans="3:31" x14ac:dyDescent="0.25">
      <c r="C65" s="2" t="s">
        <v>98</v>
      </c>
      <c r="D65" s="14">
        <v>461</v>
      </c>
      <c r="E65" s="14">
        <v>488</v>
      </c>
      <c r="F65" s="14">
        <v>518</v>
      </c>
      <c r="G65" s="14">
        <v>506</v>
      </c>
      <c r="H65" s="14">
        <v>497</v>
      </c>
      <c r="I65" s="14">
        <v>502</v>
      </c>
      <c r="J65" s="14">
        <v>527</v>
      </c>
      <c r="K65" s="14">
        <v>553</v>
      </c>
      <c r="L65" s="14">
        <v>561</v>
      </c>
      <c r="M65" s="14">
        <v>579</v>
      </c>
      <c r="N65" s="14">
        <v>591</v>
      </c>
      <c r="O65" s="14">
        <v>623</v>
      </c>
      <c r="P65" s="14">
        <v>624</v>
      </c>
      <c r="Q65" s="15">
        <v>623</v>
      </c>
      <c r="R65" s="12"/>
      <c r="S65" s="12"/>
      <c r="T65" s="1"/>
      <c r="U65" s="1"/>
      <c r="V65" s="14"/>
      <c r="W65" s="14"/>
      <c r="X65" s="14"/>
      <c r="Y65" s="14"/>
      <c r="Z65" s="14">
        <v>2319</v>
      </c>
      <c r="AA65" s="14">
        <v>2315</v>
      </c>
      <c r="AB65" s="14">
        <v>1999</v>
      </c>
      <c r="AC65" s="14">
        <v>1973</v>
      </c>
      <c r="AD65" s="14">
        <v>2079</v>
      </c>
      <c r="AE65" s="14">
        <v>2353</v>
      </c>
    </row>
    <row r="66" spans="3:31" x14ac:dyDescent="0.25">
      <c r="C66" s="2" t="s">
        <v>99</v>
      </c>
      <c r="D66" s="14">
        <v>14</v>
      </c>
      <c r="E66" s="14">
        <v>22</v>
      </c>
      <c r="F66" s="14">
        <v>26</v>
      </c>
      <c r="G66" s="14">
        <v>25</v>
      </c>
      <c r="H66" s="14">
        <v>24</v>
      </c>
      <c r="I66" s="14">
        <v>30</v>
      </c>
      <c r="J66" s="14">
        <v>30</v>
      </c>
      <c r="K66" s="14">
        <v>21</v>
      </c>
      <c r="L66" s="14">
        <v>59</v>
      </c>
      <c r="M66" s="14">
        <v>40</v>
      </c>
      <c r="N66" s="14">
        <v>19</v>
      </c>
      <c r="O66" s="14">
        <v>49</v>
      </c>
      <c r="P66" s="14">
        <v>17</v>
      </c>
      <c r="Q66" s="15">
        <v>46</v>
      </c>
      <c r="R66" s="12"/>
      <c r="S66" s="12"/>
      <c r="T66" s="1"/>
      <c r="U66" s="1"/>
      <c r="V66" s="12"/>
      <c r="W66" s="12"/>
      <c r="X66" s="12"/>
      <c r="Y66" s="12"/>
      <c r="Z66" s="14">
        <v>20</v>
      </c>
      <c r="AA66" s="14">
        <v>70</v>
      </c>
      <c r="AB66" s="14">
        <v>166</v>
      </c>
      <c r="AC66" s="14">
        <v>87</v>
      </c>
      <c r="AD66" s="14">
        <v>105</v>
      </c>
      <c r="AE66" s="14">
        <v>166</v>
      </c>
    </row>
    <row r="67" spans="3:31" x14ac:dyDescent="0.25">
      <c r="C67" s="2" t="s">
        <v>100</v>
      </c>
      <c r="D67" s="2">
        <v>-354</v>
      </c>
      <c r="E67" s="2">
        <v>-594</v>
      </c>
      <c r="F67" s="2">
        <v>-699</v>
      </c>
      <c r="G67" s="2">
        <v>635</v>
      </c>
      <c r="H67" s="2">
        <v>-82</v>
      </c>
      <c r="I67" s="2">
        <v>-97</v>
      </c>
      <c r="J67" s="2">
        <v>-196</v>
      </c>
      <c r="K67" s="2">
        <v>585</v>
      </c>
      <c r="L67" s="2">
        <v>-160</v>
      </c>
      <c r="M67" s="2">
        <v>-76</v>
      </c>
      <c r="N67" s="2">
        <v>-515</v>
      </c>
      <c r="O67" s="2">
        <v>625</v>
      </c>
      <c r="P67" s="2">
        <v>-248</v>
      </c>
      <c r="Q67" s="4">
        <v>-199</v>
      </c>
      <c r="V67" s="14"/>
      <c r="W67" s="14"/>
      <c r="X67" s="14"/>
      <c r="Y67" s="14"/>
      <c r="Z67" s="14">
        <v>1284</v>
      </c>
      <c r="AA67" s="14">
        <v>-96</v>
      </c>
      <c r="AB67" s="14">
        <v>-799</v>
      </c>
      <c r="AC67" s="14">
        <v>-1012</v>
      </c>
      <c r="AD67" s="14">
        <v>210</v>
      </c>
      <c r="AE67" s="14">
        <v>-126</v>
      </c>
    </row>
    <row r="68" spans="3:31" x14ac:dyDescent="0.25">
      <c r="C68" s="2" t="s">
        <v>101</v>
      </c>
      <c r="D68" s="14">
        <v>46</v>
      </c>
      <c r="E68" s="14">
        <v>371</v>
      </c>
      <c r="F68" s="14">
        <v>-339</v>
      </c>
      <c r="G68" s="14">
        <v>-609</v>
      </c>
      <c r="H68" s="14">
        <v>549</v>
      </c>
      <c r="I68" s="14">
        <v>228</v>
      </c>
      <c r="J68" s="14">
        <v>-270</v>
      </c>
      <c r="K68" s="14">
        <v>-450</v>
      </c>
      <c r="L68" s="14">
        <v>193</v>
      </c>
      <c r="M68" s="14">
        <v>222</v>
      </c>
      <c r="N68" s="14">
        <v>141</v>
      </c>
      <c r="O68" s="14">
        <v>-450</v>
      </c>
      <c r="P68" s="14">
        <v>323</v>
      </c>
      <c r="Q68" s="15">
        <v>114</v>
      </c>
      <c r="R68" s="14"/>
      <c r="S68" s="14"/>
      <c r="V68" s="14"/>
      <c r="W68" s="14"/>
      <c r="X68" s="14"/>
      <c r="Y68" s="14"/>
      <c r="Z68" s="14">
        <v>-65</v>
      </c>
      <c r="AA68" s="14">
        <v>869</v>
      </c>
      <c r="AB68" s="14">
        <v>-77</v>
      </c>
      <c r="AC68" s="14">
        <v>-531</v>
      </c>
      <c r="AD68" s="14">
        <v>56</v>
      </c>
      <c r="AE68" s="14">
        <v>106</v>
      </c>
    </row>
    <row r="69" spans="3:31" x14ac:dyDescent="0.25">
      <c r="C69" s="2" t="s">
        <v>102</v>
      </c>
      <c r="D69" s="14">
        <v>-1811</v>
      </c>
      <c r="E69" s="14">
        <v>-267</v>
      </c>
      <c r="F69" s="14">
        <v>260</v>
      </c>
      <c r="G69" s="14">
        <v>1259</v>
      </c>
      <c r="H69" s="14">
        <v>-1894</v>
      </c>
      <c r="I69" s="14">
        <v>153</v>
      </c>
      <c r="J69" s="14">
        <v>307</v>
      </c>
      <c r="K69" s="14">
        <v>1844</v>
      </c>
      <c r="L69" s="14">
        <v>-1415</v>
      </c>
      <c r="M69" s="14">
        <v>169</v>
      </c>
      <c r="N69" s="14">
        <v>232</v>
      </c>
      <c r="O69" s="14">
        <v>1947</v>
      </c>
      <c r="P69" s="14">
        <v>-1804</v>
      </c>
      <c r="Q69" s="15">
        <v>105</v>
      </c>
      <c r="R69" s="14"/>
      <c r="S69" s="14"/>
      <c r="V69" s="14"/>
      <c r="W69" s="14"/>
      <c r="X69" s="14"/>
      <c r="Y69" s="14"/>
      <c r="Z69" s="14">
        <v>808</v>
      </c>
      <c r="AA69" s="14">
        <v>724</v>
      </c>
      <c r="AB69" s="14">
        <v>327</v>
      </c>
      <c r="AC69" s="14">
        <v>-559</v>
      </c>
      <c r="AD69" s="14">
        <v>454</v>
      </c>
      <c r="AE69" s="14">
        <v>932</v>
      </c>
    </row>
    <row r="70" spans="3:31" x14ac:dyDescent="0.25">
      <c r="C70" s="2" t="s">
        <v>103</v>
      </c>
      <c r="D70" s="14">
        <v>55</v>
      </c>
      <c r="E70" s="14">
        <v>-26</v>
      </c>
      <c r="F70" s="14">
        <v>10</v>
      </c>
      <c r="G70" s="14">
        <v>-57</v>
      </c>
      <c r="H70" s="14">
        <v>14</v>
      </c>
      <c r="I70" s="14">
        <v>-41</v>
      </c>
      <c r="J70" s="14">
        <v>0</v>
      </c>
      <c r="K70" s="14">
        <v>7</v>
      </c>
      <c r="L70" s="14">
        <v>-9</v>
      </c>
      <c r="M70" s="14">
        <v>-21</v>
      </c>
      <c r="N70" s="14">
        <v>-10</v>
      </c>
      <c r="O70" s="14">
        <v>-5</v>
      </c>
      <c r="P70" s="14">
        <v>-4</v>
      </c>
      <c r="Q70" s="15">
        <v>-26</v>
      </c>
      <c r="R70" s="14"/>
      <c r="S70" s="14"/>
      <c r="V70" s="14"/>
      <c r="W70" s="14"/>
      <c r="X70" s="14"/>
      <c r="Y70" s="14"/>
      <c r="Z70" s="14">
        <v>-20</v>
      </c>
      <c r="AA70" s="14">
        <v>-155</v>
      </c>
      <c r="AB70" s="14">
        <v>70</v>
      </c>
      <c r="AC70" s="14">
        <v>-18</v>
      </c>
      <c r="AD70" s="14">
        <v>-63</v>
      </c>
      <c r="AE70" s="14">
        <v>-44</v>
      </c>
    </row>
    <row r="71" spans="3:31" x14ac:dyDescent="0.25">
      <c r="C71" s="2" t="s">
        <v>104</v>
      </c>
      <c r="D71" s="14">
        <v>1</v>
      </c>
      <c r="E71" s="14">
        <v>1</v>
      </c>
      <c r="F71" s="14">
        <v>2</v>
      </c>
      <c r="G71" s="14">
        <v>3</v>
      </c>
      <c r="H71" s="14">
        <v>5</v>
      </c>
      <c r="I71" s="14">
        <v>5</v>
      </c>
      <c r="J71" s="14">
        <v>4</v>
      </c>
      <c r="K71" s="14">
        <v>6</v>
      </c>
      <c r="L71" s="14">
        <v>4</v>
      </c>
      <c r="M71" s="14">
        <v>4</v>
      </c>
      <c r="N71" s="14">
        <v>7</v>
      </c>
      <c r="O71" s="14">
        <v>5</v>
      </c>
      <c r="P71" s="14">
        <v>9</v>
      </c>
      <c r="Q71" s="15">
        <v>19</v>
      </c>
      <c r="R71" s="14"/>
      <c r="S71" s="14"/>
      <c r="V71" s="14"/>
      <c r="W71" s="14"/>
      <c r="X71" s="14"/>
      <c r="Y71" s="14"/>
      <c r="Z71" s="14">
        <v>13</v>
      </c>
      <c r="AA71" s="14">
        <v>3</v>
      </c>
      <c r="AB71" s="14">
        <v>3</v>
      </c>
      <c r="AC71" s="14">
        <v>7</v>
      </c>
      <c r="AD71" s="14">
        <v>19</v>
      </c>
      <c r="AE71" s="14">
        <v>19</v>
      </c>
    </row>
    <row r="72" spans="3:31" x14ac:dyDescent="0.25">
      <c r="C72" s="2" t="s">
        <v>105</v>
      </c>
      <c r="D72" s="14">
        <v>-100</v>
      </c>
      <c r="E72" s="14">
        <v>-98</v>
      </c>
      <c r="F72" s="14">
        <v>-79</v>
      </c>
      <c r="G72" s="14">
        <v>-189</v>
      </c>
      <c r="H72" s="14">
        <v>-116</v>
      </c>
      <c r="I72" s="14">
        <v>-133</v>
      </c>
      <c r="J72" s="14">
        <v>-179</v>
      </c>
      <c r="K72" s="14">
        <v>-256</v>
      </c>
      <c r="L72" s="14">
        <v>-191</v>
      </c>
      <c r="M72" s="14">
        <v>-349</v>
      </c>
      <c r="N72" s="14">
        <v>-155</v>
      </c>
      <c r="O72" s="14">
        <v>-226</v>
      </c>
      <c r="P72" s="14">
        <v>-196</v>
      </c>
      <c r="Q72" s="15">
        <v>-425</v>
      </c>
      <c r="R72" s="14"/>
      <c r="S72" s="14"/>
      <c r="V72" s="14"/>
      <c r="W72" s="14"/>
      <c r="X72" s="14"/>
      <c r="Y72" s="14"/>
      <c r="Z72" s="14">
        <v>-178</v>
      </c>
      <c r="AA72" s="14">
        <v>-247</v>
      </c>
      <c r="AB72" s="14">
        <v>-468</v>
      </c>
      <c r="AC72" s="14">
        <v>-466</v>
      </c>
      <c r="AD72" s="14">
        <v>-683</v>
      </c>
      <c r="AE72" s="14">
        <v>-922</v>
      </c>
    </row>
    <row r="73" spans="3:31" x14ac:dyDescent="0.25">
      <c r="C73" s="2" t="s">
        <v>106</v>
      </c>
      <c r="D73" s="14">
        <v>-733</v>
      </c>
      <c r="E73" s="14">
        <v>-219</v>
      </c>
      <c r="F73" s="14">
        <v>-135</v>
      </c>
      <c r="G73" s="14">
        <v>-704</v>
      </c>
      <c r="H73" s="14">
        <v>-396</v>
      </c>
      <c r="I73" s="14">
        <v>-207</v>
      </c>
      <c r="J73" s="14">
        <v>-66</v>
      </c>
      <c r="K73" s="14">
        <v>-1163</v>
      </c>
      <c r="L73" s="14">
        <v>-361</v>
      </c>
      <c r="M73" s="14">
        <v>-277</v>
      </c>
      <c r="N73" s="14">
        <v>-109</v>
      </c>
      <c r="O73" s="14">
        <v>-992</v>
      </c>
      <c r="P73" s="14">
        <v>-651</v>
      </c>
      <c r="Q73" s="15">
        <v>-157</v>
      </c>
      <c r="R73" s="14"/>
      <c r="S73" s="14"/>
      <c r="V73" s="14"/>
      <c r="W73" s="14"/>
      <c r="X73" s="14"/>
      <c r="Y73" s="14"/>
      <c r="Z73" s="14">
        <v>-1233</v>
      </c>
      <c r="AA73" s="14">
        <v>-192</v>
      </c>
      <c r="AB73" s="14">
        <v>-832</v>
      </c>
      <c r="AC73" s="14">
        <v>-1790</v>
      </c>
      <c r="AD73" s="14">
        <v>-1832</v>
      </c>
      <c r="AE73" s="14">
        <v>-1738</v>
      </c>
    </row>
    <row r="74" spans="3:31" x14ac:dyDescent="0.25">
      <c r="C74" s="1" t="s">
        <v>107</v>
      </c>
      <c r="D74" s="12">
        <f t="shared" ref="D74:P74" si="33">SUM(D64:D73)</f>
        <v>-1111</v>
      </c>
      <c r="E74" s="12">
        <f t="shared" si="33"/>
        <v>927</v>
      </c>
      <c r="F74" s="12">
        <f t="shared" si="33"/>
        <v>542</v>
      </c>
      <c r="G74" s="12">
        <f t="shared" si="33"/>
        <v>4075</v>
      </c>
      <c r="H74" s="12">
        <f t="shared" si="33"/>
        <v>-143</v>
      </c>
      <c r="I74" s="12">
        <f t="shared" si="33"/>
        <v>1628</v>
      </c>
      <c r="J74" s="12">
        <f t="shared" si="33"/>
        <v>1077</v>
      </c>
      <c r="K74" s="12">
        <f t="shared" si="33"/>
        <v>4821</v>
      </c>
      <c r="L74" s="12">
        <f t="shared" si="33"/>
        <v>188</v>
      </c>
      <c r="M74" s="12">
        <f t="shared" si="33"/>
        <v>1629</v>
      </c>
      <c r="N74" s="12">
        <f t="shared" si="33"/>
        <v>1181</v>
      </c>
      <c r="O74" s="12">
        <f t="shared" si="33"/>
        <v>5725</v>
      </c>
      <c r="P74" s="12">
        <f t="shared" si="33"/>
        <v>-289</v>
      </c>
      <c r="Q74" s="13">
        <f>SUM(Q64:Q73)</f>
        <v>1387</v>
      </c>
      <c r="R74" s="12"/>
      <c r="S74" s="14"/>
      <c r="V74" s="12">
        <f t="shared" ref="V74:AE74" si="34">SUM(V64:V73)</f>
        <v>0</v>
      </c>
      <c r="W74" s="12">
        <f t="shared" si="34"/>
        <v>0</v>
      </c>
      <c r="X74" s="12">
        <f t="shared" si="34"/>
        <v>0</v>
      </c>
      <c r="Y74" s="12">
        <f t="shared" si="34"/>
        <v>0</v>
      </c>
      <c r="Z74" s="12">
        <f t="shared" si="34"/>
        <v>6777</v>
      </c>
      <c r="AA74" s="12">
        <f t="shared" si="34"/>
        <v>5975</v>
      </c>
      <c r="AB74" s="12">
        <f t="shared" si="34"/>
        <v>6228</v>
      </c>
      <c r="AC74" s="12">
        <f t="shared" si="34"/>
        <v>4434</v>
      </c>
      <c r="AD74" s="12">
        <f t="shared" si="34"/>
        <v>7384</v>
      </c>
      <c r="AE74" s="12">
        <f t="shared" si="34"/>
        <v>8720</v>
      </c>
    </row>
    <row r="75" spans="3:31" x14ac:dyDescent="0.25"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42"/>
      <c r="R75" s="16"/>
      <c r="S75" s="16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3:31" x14ac:dyDescent="0.25">
      <c r="C76" s="2" t="s">
        <v>108</v>
      </c>
      <c r="D76" s="14">
        <f>-291-65-99</f>
        <v>-455</v>
      </c>
      <c r="E76" s="14">
        <f>-2-75-198</f>
        <v>-275</v>
      </c>
      <c r="F76" s="14">
        <f>-247-109-225</f>
        <v>-581</v>
      </c>
      <c r="G76" s="14">
        <f>-22-104-316</f>
        <v>-442</v>
      </c>
      <c r="H76" s="14">
        <f>-45-114-226</f>
        <v>-385</v>
      </c>
      <c r="I76" s="14">
        <f>-111-56-226</f>
        <v>-393</v>
      </c>
      <c r="J76" s="14">
        <f>-156-107-286</f>
        <v>-549</v>
      </c>
      <c r="K76" s="14">
        <f>-37-83-391</f>
        <v>-511</v>
      </c>
      <c r="L76" s="14">
        <f>-115-39-256</f>
        <v>-410</v>
      </c>
      <c r="M76" s="14">
        <f>-49-106-317</f>
        <v>-472</v>
      </c>
      <c r="N76" s="14">
        <f>-7-101-368</f>
        <v>-476</v>
      </c>
      <c r="O76" s="14">
        <f>-23-97-396</f>
        <v>-516</v>
      </c>
      <c r="P76" s="14">
        <f>-180-129-240</f>
        <v>-549</v>
      </c>
      <c r="Q76" s="15">
        <f>-182-117-398</f>
        <v>-697</v>
      </c>
      <c r="R76" s="14"/>
      <c r="S76" s="14"/>
      <c r="V76" s="14"/>
      <c r="W76" s="14"/>
      <c r="X76" s="14"/>
      <c r="Y76" s="14"/>
      <c r="Z76" s="14">
        <f>-148-272-540</f>
        <v>-960</v>
      </c>
      <c r="AA76" s="14">
        <f>-12-130-374</f>
        <v>-516</v>
      </c>
      <c r="AB76" s="14">
        <f>-66-289-296</f>
        <v>-651</v>
      </c>
      <c r="AC76" s="14">
        <f>-562-353-838</f>
        <v>-1753</v>
      </c>
      <c r="AD76" s="14">
        <f>-349-359-1129</f>
        <v>-1837</v>
      </c>
      <c r="AE76" s="14">
        <f>-194-343-1336</f>
        <v>-1873</v>
      </c>
    </row>
    <row r="77" spans="3:31" x14ac:dyDescent="0.25">
      <c r="C77" s="2" t="s">
        <v>109</v>
      </c>
      <c r="D77" s="2">
        <v>6</v>
      </c>
      <c r="E77" s="2">
        <v>-3</v>
      </c>
      <c r="F77" s="2">
        <v>-19</v>
      </c>
      <c r="G77" s="2">
        <v>-20</v>
      </c>
      <c r="H77" s="2">
        <v>8</v>
      </c>
      <c r="I77" s="2">
        <v>21</v>
      </c>
      <c r="J77" s="2">
        <v>-5</v>
      </c>
      <c r="K77" s="2">
        <v>13</v>
      </c>
      <c r="L77" s="2">
        <v>2</v>
      </c>
      <c r="M77" s="2">
        <v>-6</v>
      </c>
      <c r="N77" s="2">
        <v>-8</v>
      </c>
      <c r="O77" s="2">
        <v>-17</v>
      </c>
      <c r="P77" s="2">
        <v>4</v>
      </c>
      <c r="Q77" s="4">
        <v>-6</v>
      </c>
      <c r="V77" s="14"/>
      <c r="W77" s="14"/>
      <c r="X77" s="14"/>
      <c r="Y77" s="14"/>
      <c r="Z77" s="14">
        <v>66</v>
      </c>
      <c r="AA77" s="14">
        <v>19</v>
      </c>
      <c r="AB77" s="14">
        <v>17</v>
      </c>
      <c r="AC77" s="14">
        <v>-36</v>
      </c>
      <c r="AD77" s="14">
        <v>37</v>
      </c>
      <c r="AE77" s="14">
        <v>-29</v>
      </c>
    </row>
    <row r="78" spans="3:31" x14ac:dyDescent="0.25">
      <c r="C78" s="2" t="s">
        <v>110</v>
      </c>
      <c r="D78" s="2">
        <v>3</v>
      </c>
      <c r="E78" s="2">
        <v>1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3</v>
      </c>
      <c r="M78" s="2">
        <v>5</v>
      </c>
      <c r="N78" s="2">
        <v>-4</v>
      </c>
      <c r="O78" s="2">
        <v>2</v>
      </c>
      <c r="P78" s="2">
        <v>0</v>
      </c>
      <c r="Q78" s="4">
        <v>5</v>
      </c>
      <c r="V78" s="14"/>
      <c r="W78" s="14"/>
      <c r="X78" s="14"/>
      <c r="Y78" s="14"/>
      <c r="Z78" s="14">
        <v>18</v>
      </c>
      <c r="AA78" s="14">
        <v>13</v>
      </c>
      <c r="AB78" s="14">
        <v>2</v>
      </c>
      <c r="AC78" s="14">
        <v>5</v>
      </c>
      <c r="AD78" s="14">
        <v>0</v>
      </c>
      <c r="AE78" s="14">
        <v>14</v>
      </c>
    </row>
    <row r="79" spans="3:31" x14ac:dyDescent="0.25">
      <c r="C79" s="1" t="s">
        <v>111</v>
      </c>
      <c r="D79" s="12">
        <f t="shared" ref="D79:P79" si="35">SUM(D76:D78)</f>
        <v>-446</v>
      </c>
      <c r="E79" s="12">
        <f t="shared" si="35"/>
        <v>-277</v>
      </c>
      <c r="F79" s="12">
        <f t="shared" si="35"/>
        <v>-600</v>
      </c>
      <c r="G79" s="12">
        <f t="shared" si="35"/>
        <v>-461</v>
      </c>
      <c r="H79" s="12">
        <f t="shared" si="35"/>
        <v>-377</v>
      </c>
      <c r="I79" s="12">
        <f t="shared" si="35"/>
        <v>-372</v>
      </c>
      <c r="J79" s="12">
        <f t="shared" si="35"/>
        <v>-554</v>
      </c>
      <c r="K79" s="12">
        <f t="shared" si="35"/>
        <v>-498</v>
      </c>
      <c r="L79" s="12">
        <f t="shared" si="35"/>
        <v>-405</v>
      </c>
      <c r="M79" s="12">
        <f t="shared" si="35"/>
        <v>-473</v>
      </c>
      <c r="N79" s="12">
        <f t="shared" si="35"/>
        <v>-488</v>
      </c>
      <c r="O79" s="12">
        <f t="shared" si="35"/>
        <v>-531</v>
      </c>
      <c r="P79" s="12">
        <f t="shared" si="35"/>
        <v>-545</v>
      </c>
      <c r="Q79" s="13">
        <f>SUM(Q76:Q78)</f>
        <v>-698</v>
      </c>
      <c r="R79" s="12"/>
      <c r="S79" s="12"/>
      <c r="V79" s="12">
        <f t="shared" ref="V79:AE79" si="36">SUM(V76:V78)</f>
        <v>0</v>
      </c>
      <c r="W79" s="12">
        <f t="shared" si="36"/>
        <v>0</v>
      </c>
      <c r="X79" s="12">
        <f t="shared" si="36"/>
        <v>0</v>
      </c>
      <c r="Y79" s="12">
        <f t="shared" si="36"/>
        <v>0</v>
      </c>
      <c r="Z79" s="12">
        <f t="shared" si="36"/>
        <v>-876</v>
      </c>
      <c r="AA79" s="12">
        <f t="shared" si="36"/>
        <v>-484</v>
      </c>
      <c r="AB79" s="12">
        <f t="shared" si="36"/>
        <v>-632</v>
      </c>
      <c r="AC79" s="12">
        <f t="shared" si="36"/>
        <v>-1784</v>
      </c>
      <c r="AD79" s="12">
        <f t="shared" si="36"/>
        <v>-1800</v>
      </c>
      <c r="AE79" s="12">
        <f t="shared" si="36"/>
        <v>-1888</v>
      </c>
    </row>
    <row r="80" spans="3:31" x14ac:dyDescent="0.25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5"/>
      <c r="R80" s="14"/>
      <c r="S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3:32" x14ac:dyDescent="0.25">
      <c r="C81" s="2" t="s">
        <v>112</v>
      </c>
      <c r="D81" s="14">
        <v>-1514</v>
      </c>
      <c r="E81" s="14">
        <v>0</v>
      </c>
      <c r="F81" s="14">
        <v>0</v>
      </c>
      <c r="G81" s="14">
        <v>0</v>
      </c>
      <c r="H81" s="14">
        <v>-1412</v>
      </c>
      <c r="I81" s="14">
        <v>0</v>
      </c>
      <c r="J81" s="14">
        <v>0</v>
      </c>
      <c r="K81" s="14">
        <v>0</v>
      </c>
      <c r="L81" s="14">
        <v>-1471</v>
      </c>
      <c r="M81" s="14">
        <v>0</v>
      </c>
      <c r="N81" s="14">
        <v>0</v>
      </c>
      <c r="O81" s="14">
        <v>0</v>
      </c>
      <c r="P81" s="14">
        <v>-1567</v>
      </c>
      <c r="Q81" s="15">
        <v>0</v>
      </c>
      <c r="R81" s="14"/>
      <c r="S81" s="14"/>
      <c r="V81" s="14"/>
      <c r="W81" s="14"/>
      <c r="X81" s="14"/>
      <c r="Y81" s="14"/>
      <c r="Z81" s="14">
        <v>-1756</v>
      </c>
      <c r="AA81" s="14">
        <v>-825</v>
      </c>
      <c r="AB81" s="14">
        <v>-1479</v>
      </c>
      <c r="AC81" s="14">
        <v>-1514</v>
      </c>
      <c r="AD81" s="14">
        <v>-1412</v>
      </c>
      <c r="AE81" s="14">
        <v>-1471</v>
      </c>
    </row>
    <row r="82" spans="3:32" x14ac:dyDescent="0.25">
      <c r="C82" s="2" t="s">
        <v>113</v>
      </c>
      <c r="D82" s="14">
        <v>345</v>
      </c>
      <c r="E82" s="14">
        <v>-345</v>
      </c>
      <c r="F82" s="14">
        <v>0</v>
      </c>
      <c r="G82" s="14">
        <v>0</v>
      </c>
      <c r="H82" s="14">
        <v>337</v>
      </c>
      <c r="I82" s="14">
        <v>-337</v>
      </c>
      <c r="J82" s="14">
        <v>0</v>
      </c>
      <c r="K82" s="14">
        <v>0</v>
      </c>
      <c r="L82" s="14">
        <v>361</v>
      </c>
      <c r="M82" s="14">
        <v>-361</v>
      </c>
      <c r="N82" s="14">
        <v>0</v>
      </c>
      <c r="O82" s="14">
        <v>0</v>
      </c>
      <c r="P82" s="14">
        <v>383</v>
      </c>
      <c r="Q82" s="15">
        <v>-383</v>
      </c>
      <c r="R82" s="14"/>
      <c r="S82" s="14"/>
      <c r="V82" s="14"/>
      <c r="W82" s="14"/>
      <c r="X82" s="14"/>
      <c r="Y82" s="14"/>
      <c r="Z82" s="14">
        <v>-311</v>
      </c>
      <c r="AA82" s="14">
        <v>-42</v>
      </c>
      <c r="AB82" s="14">
        <v>0</v>
      </c>
      <c r="AC82" s="14">
        <v>0</v>
      </c>
      <c r="AD82" s="14">
        <v>0</v>
      </c>
      <c r="AE82" s="14">
        <v>0</v>
      </c>
    </row>
    <row r="83" spans="3:32" x14ac:dyDescent="0.25">
      <c r="C83" s="2" t="s">
        <v>114</v>
      </c>
      <c r="D83" s="14">
        <v>-1239</v>
      </c>
      <c r="E83" s="14">
        <v>-719</v>
      </c>
      <c r="F83" s="14">
        <v>-796</v>
      </c>
      <c r="G83" s="14">
        <v>-774</v>
      </c>
      <c r="H83" s="14">
        <v>-1449</v>
      </c>
      <c r="I83" s="14">
        <v>-1451</v>
      </c>
      <c r="J83" s="14">
        <v>-1353</v>
      </c>
      <c r="K83" s="14">
        <v>-769</v>
      </c>
      <c r="L83" s="14">
        <v>-988</v>
      </c>
      <c r="M83" s="14">
        <v>-879</v>
      </c>
      <c r="N83" s="14">
        <v>-1150</v>
      </c>
      <c r="O83" s="14">
        <v>-997</v>
      </c>
      <c r="P83" s="14">
        <v>-1011</v>
      </c>
      <c r="Q83" s="15">
        <v>-887</v>
      </c>
      <c r="R83" s="14"/>
      <c r="S83" s="14"/>
      <c r="V83" s="14"/>
      <c r="W83" s="14"/>
      <c r="X83" s="14"/>
      <c r="Y83" s="14"/>
      <c r="Z83" s="14">
        <f>-2583</f>
        <v>-2583</v>
      </c>
      <c r="AA83" s="14">
        <f>-431+1778</f>
        <v>1347</v>
      </c>
      <c r="AB83" s="14">
        <v>-3325</v>
      </c>
      <c r="AC83" s="14">
        <v>-3527</v>
      </c>
      <c r="AD83" s="14">
        <v>-5022</v>
      </c>
      <c r="AE83" s="14">
        <v>-4013</v>
      </c>
    </row>
    <row r="84" spans="3:32" x14ac:dyDescent="0.25">
      <c r="C84" s="2" t="s">
        <v>115</v>
      </c>
      <c r="D84" s="14">
        <v>3885</v>
      </c>
      <c r="E84" s="14">
        <v>1212</v>
      </c>
      <c r="F84" s="14">
        <v>368</v>
      </c>
      <c r="G84" s="14">
        <v>-198</v>
      </c>
      <c r="H84" s="14">
        <v>6154</v>
      </c>
      <c r="I84" s="14">
        <v>1175</v>
      </c>
      <c r="J84" s="14">
        <v>1054</v>
      </c>
      <c r="K84" s="14">
        <v>-2456</v>
      </c>
      <c r="L84" s="14">
        <v>3829</v>
      </c>
      <c r="M84" s="14">
        <v>696</v>
      </c>
      <c r="N84" s="14">
        <v>1247</v>
      </c>
      <c r="O84" s="14">
        <v>-2098</v>
      </c>
      <c r="P84" s="14">
        <v>1495</v>
      </c>
      <c r="Q84" s="15">
        <v>1195</v>
      </c>
      <c r="R84" s="14"/>
      <c r="S84" s="14"/>
      <c r="V84" s="14"/>
      <c r="W84" s="14"/>
      <c r="X84" s="14"/>
      <c r="Y84" s="14"/>
      <c r="Z84" s="14">
        <v>5626</v>
      </c>
      <c r="AA84" s="14">
        <v>5861</v>
      </c>
      <c r="AB84" s="14">
        <v>1315</v>
      </c>
      <c r="AC84" s="14">
        <v>4994</v>
      </c>
      <c r="AD84" s="14">
        <v>5927</v>
      </c>
      <c r="AE84" s="14">
        <v>3674</v>
      </c>
    </row>
    <row r="85" spans="3:32" x14ac:dyDescent="0.25">
      <c r="C85" s="2" t="s">
        <v>116</v>
      </c>
      <c r="D85" s="14">
        <v>0</v>
      </c>
      <c r="E85" s="14">
        <v>-273</v>
      </c>
      <c r="F85" s="14">
        <v>0</v>
      </c>
      <c r="G85" s="14">
        <v>-1985</v>
      </c>
      <c r="H85" s="14">
        <v>-3160</v>
      </c>
      <c r="I85" s="14">
        <v>99</v>
      </c>
      <c r="J85" s="14">
        <v>0</v>
      </c>
      <c r="K85" s="14">
        <v>-260</v>
      </c>
      <c r="L85" s="14">
        <v>-1875</v>
      </c>
      <c r="M85" s="14">
        <v>-54</v>
      </c>
      <c r="N85" s="14">
        <v>-746</v>
      </c>
      <c r="O85" s="14">
        <v>-54</v>
      </c>
      <c r="P85" s="14">
        <v>0</v>
      </c>
      <c r="Q85" s="15">
        <v>-59</v>
      </c>
      <c r="R85" s="14"/>
      <c r="S85" s="14"/>
      <c r="V85" s="14"/>
      <c r="W85" s="14"/>
      <c r="X85" s="14"/>
      <c r="Y85" s="14"/>
      <c r="Z85" s="14">
        <v>-6088</v>
      </c>
      <c r="AA85" s="14">
        <v>-9073</v>
      </c>
      <c r="AB85" s="14">
        <v>-3004</v>
      </c>
      <c r="AC85" s="14">
        <v>-1985</v>
      </c>
      <c r="AD85" s="14">
        <v>-3321</v>
      </c>
      <c r="AE85" s="14">
        <v>-2729</v>
      </c>
    </row>
    <row r="86" spans="3:32" x14ac:dyDescent="0.25">
      <c r="C86" s="2" t="s">
        <v>117</v>
      </c>
      <c r="D86" s="14">
        <v>-274</v>
      </c>
      <c r="E86" s="14">
        <v>-245</v>
      </c>
      <c r="F86" s="14">
        <v>-266</v>
      </c>
      <c r="G86" s="14">
        <v>-283</v>
      </c>
      <c r="H86" s="14">
        <v>-251</v>
      </c>
      <c r="I86" s="14">
        <v>-264</v>
      </c>
      <c r="J86" s="14">
        <v>-259</v>
      </c>
      <c r="K86" s="14">
        <v>-333</v>
      </c>
      <c r="L86" s="14">
        <v>-271</v>
      </c>
      <c r="M86" s="14">
        <v>-293</v>
      </c>
      <c r="N86" s="14">
        <v>-286</v>
      </c>
      <c r="O86" s="14">
        <v>-312</v>
      </c>
      <c r="P86" s="14">
        <v>-314</v>
      </c>
      <c r="Q86" s="15">
        <v>-322</v>
      </c>
      <c r="R86" s="14"/>
      <c r="S86" s="14"/>
      <c r="V86" s="14"/>
      <c r="W86" s="14"/>
      <c r="X86" s="14"/>
      <c r="Y86" s="14"/>
      <c r="Z86" s="14">
        <v>-1138</v>
      </c>
      <c r="AA86" s="14">
        <v>-839</v>
      </c>
      <c r="AB86" s="14">
        <v>-991</v>
      </c>
      <c r="AC86" s="14">
        <v>-1068</v>
      </c>
      <c r="AD86" s="14">
        <v>-1107</v>
      </c>
      <c r="AE86" s="14">
        <v>-1162</v>
      </c>
    </row>
    <row r="87" spans="3:32" x14ac:dyDescent="0.25">
      <c r="C87" s="1" t="s">
        <v>118</v>
      </c>
      <c r="D87" s="12">
        <f t="shared" ref="D87:P87" si="37">SUM(D81:D86)</f>
        <v>1203</v>
      </c>
      <c r="E87" s="12">
        <f t="shared" si="37"/>
        <v>-370</v>
      </c>
      <c r="F87" s="12">
        <f t="shared" si="37"/>
        <v>-694</v>
      </c>
      <c r="G87" s="12">
        <f t="shared" si="37"/>
        <v>-3240</v>
      </c>
      <c r="H87" s="12">
        <f t="shared" si="37"/>
        <v>219</v>
      </c>
      <c r="I87" s="12">
        <f t="shared" si="37"/>
        <v>-778</v>
      </c>
      <c r="J87" s="12">
        <f t="shared" si="37"/>
        <v>-558</v>
      </c>
      <c r="K87" s="12">
        <f t="shared" si="37"/>
        <v>-3818</v>
      </c>
      <c r="L87" s="12">
        <f t="shared" si="37"/>
        <v>-415</v>
      </c>
      <c r="M87" s="12">
        <f t="shared" si="37"/>
        <v>-891</v>
      </c>
      <c r="N87" s="12">
        <f t="shared" si="37"/>
        <v>-935</v>
      </c>
      <c r="O87" s="12">
        <f t="shared" si="37"/>
        <v>-3461</v>
      </c>
      <c r="P87" s="12">
        <f t="shared" si="37"/>
        <v>-1014</v>
      </c>
      <c r="Q87" s="13">
        <f>SUM(Q81:Q86)</f>
        <v>-456</v>
      </c>
      <c r="R87" s="12"/>
      <c r="S87" s="12"/>
      <c r="V87" s="12">
        <f t="shared" ref="V87:AE87" si="38">SUM(V81:V86)</f>
        <v>0</v>
      </c>
      <c r="W87" s="12">
        <f t="shared" si="38"/>
        <v>0</v>
      </c>
      <c r="X87" s="12">
        <f t="shared" si="38"/>
        <v>0</v>
      </c>
      <c r="Y87" s="12">
        <f t="shared" si="38"/>
        <v>0</v>
      </c>
      <c r="Z87" s="12">
        <f t="shared" si="38"/>
        <v>-6250</v>
      </c>
      <c r="AA87" s="12">
        <f t="shared" si="38"/>
        <v>-3571</v>
      </c>
      <c r="AB87" s="12">
        <f t="shared" si="38"/>
        <v>-7484</v>
      </c>
      <c r="AC87" s="12">
        <f t="shared" si="38"/>
        <v>-3100</v>
      </c>
      <c r="AD87" s="12">
        <f t="shared" si="38"/>
        <v>-4935</v>
      </c>
      <c r="AE87" s="12">
        <f>SUM(AE81:AE86)</f>
        <v>-5701</v>
      </c>
    </row>
    <row r="88" spans="3:32" x14ac:dyDescent="0.25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5"/>
      <c r="R88" s="14"/>
      <c r="S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3:32" x14ac:dyDescent="0.25">
      <c r="C89" s="2" t="s">
        <v>119</v>
      </c>
      <c r="D89" s="14">
        <v>28</v>
      </c>
      <c r="E89" s="14">
        <v>8</v>
      </c>
      <c r="F89" s="14">
        <v>7</v>
      </c>
      <c r="G89" s="14">
        <v>-39</v>
      </c>
      <c r="H89" s="14">
        <v>-7</v>
      </c>
      <c r="I89" s="14">
        <v>-17</v>
      </c>
      <c r="J89" s="14">
        <v>-4</v>
      </c>
      <c r="K89" s="14">
        <v>-35</v>
      </c>
      <c r="L89" s="14">
        <v>-4</v>
      </c>
      <c r="M89" s="14">
        <v>-4</v>
      </c>
      <c r="N89" s="14">
        <v>-13</v>
      </c>
      <c r="O89" s="14">
        <v>11</v>
      </c>
      <c r="P89" s="14">
        <v>-16</v>
      </c>
      <c r="Q89" s="15">
        <v>-37</v>
      </c>
      <c r="R89" s="14"/>
      <c r="S89" s="14"/>
      <c r="V89" s="14"/>
      <c r="W89" s="14"/>
      <c r="X89" s="14"/>
      <c r="Y89" s="14"/>
      <c r="Z89" s="14">
        <v>19</v>
      </c>
      <c r="AA89" s="14">
        <v>-62</v>
      </c>
      <c r="AB89" s="14">
        <v>18</v>
      </c>
      <c r="AC89" s="14">
        <v>4</v>
      </c>
      <c r="AD89" s="14">
        <v>-61</v>
      </c>
      <c r="AE89" s="14">
        <v>-11</v>
      </c>
    </row>
    <row r="90" spans="3:32" x14ac:dyDescent="0.25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5"/>
      <c r="R90" s="14"/>
      <c r="S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3:32" x14ac:dyDescent="0.25">
      <c r="C91" s="2" t="s">
        <v>120</v>
      </c>
      <c r="D91" s="14">
        <f t="shared" ref="D91" si="39">D74+D79+D87+D89</f>
        <v>-326</v>
      </c>
      <c r="E91" s="14">
        <f t="shared" ref="E91:P91" si="40">E74+E79+E87+E89</f>
        <v>288</v>
      </c>
      <c r="F91" s="14">
        <f t="shared" si="40"/>
        <v>-745</v>
      </c>
      <c r="G91" s="14">
        <f t="shared" si="40"/>
        <v>335</v>
      </c>
      <c r="H91" s="14">
        <f t="shared" si="40"/>
        <v>-308</v>
      </c>
      <c r="I91" s="14">
        <f t="shared" si="40"/>
        <v>461</v>
      </c>
      <c r="J91" s="14">
        <f t="shared" si="40"/>
        <v>-39</v>
      </c>
      <c r="K91" s="14">
        <f t="shared" si="40"/>
        <v>470</v>
      </c>
      <c r="L91" s="14">
        <f t="shared" si="40"/>
        <v>-636</v>
      </c>
      <c r="M91" s="14">
        <f t="shared" si="40"/>
        <v>261</v>
      </c>
      <c r="N91" s="14">
        <f t="shared" si="40"/>
        <v>-255</v>
      </c>
      <c r="O91" s="14">
        <f t="shared" si="40"/>
        <v>1744</v>
      </c>
      <c r="P91" s="14">
        <f t="shared" si="40"/>
        <v>-1864</v>
      </c>
      <c r="Q91" s="15">
        <f>Q74+Q79+Q87+Q89</f>
        <v>196</v>
      </c>
      <c r="R91" s="14"/>
      <c r="S91" s="14"/>
      <c r="V91" s="14">
        <f t="shared" ref="V91:AE91" si="41">V74+V79+V87+V89</f>
        <v>0</v>
      </c>
      <c r="W91" s="14">
        <f t="shared" si="41"/>
        <v>0</v>
      </c>
      <c r="X91" s="14">
        <f t="shared" si="41"/>
        <v>0</v>
      </c>
      <c r="Y91" s="14">
        <f t="shared" si="41"/>
        <v>0</v>
      </c>
      <c r="Z91" s="14">
        <f t="shared" si="41"/>
        <v>-330</v>
      </c>
      <c r="AA91" s="14">
        <f t="shared" si="41"/>
        <v>1858</v>
      </c>
      <c r="AB91" s="14">
        <f t="shared" si="41"/>
        <v>-1870</v>
      </c>
      <c r="AC91" s="14">
        <f t="shared" si="41"/>
        <v>-446</v>
      </c>
      <c r="AD91" s="14">
        <f t="shared" si="41"/>
        <v>588</v>
      </c>
      <c r="AE91" s="14">
        <f t="shared" si="41"/>
        <v>1120</v>
      </c>
    </row>
    <row r="92" spans="3:32" x14ac:dyDescent="0.25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4"/>
      <c r="S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3:32" x14ac:dyDescent="0.25">
      <c r="C93" s="2" t="s">
        <v>121</v>
      </c>
      <c r="D93" s="14">
        <f t="shared" ref="D93" si="42">D74+D76</f>
        <v>-1566</v>
      </c>
      <c r="E93" s="14">
        <f t="shared" ref="E93:P93" si="43">E74+E76</f>
        <v>652</v>
      </c>
      <c r="F93" s="14">
        <f t="shared" si="43"/>
        <v>-39</v>
      </c>
      <c r="G93" s="14">
        <f t="shared" si="43"/>
        <v>3633</v>
      </c>
      <c r="H93" s="14">
        <f t="shared" si="43"/>
        <v>-528</v>
      </c>
      <c r="I93" s="14">
        <f t="shared" si="43"/>
        <v>1235</v>
      </c>
      <c r="J93" s="14">
        <f t="shared" si="43"/>
        <v>528</v>
      </c>
      <c r="K93" s="14">
        <f t="shared" si="43"/>
        <v>4310</v>
      </c>
      <c r="L93" s="14">
        <f t="shared" si="43"/>
        <v>-222</v>
      </c>
      <c r="M93" s="14">
        <f t="shared" si="43"/>
        <v>1157</v>
      </c>
      <c r="N93" s="14">
        <f t="shared" si="43"/>
        <v>705</v>
      </c>
      <c r="O93" s="14">
        <f t="shared" si="43"/>
        <v>5209</v>
      </c>
      <c r="P93" s="14">
        <f t="shared" si="43"/>
        <v>-838</v>
      </c>
      <c r="Q93" s="15">
        <f>Q74+Q76</f>
        <v>690</v>
      </c>
      <c r="R93" s="14"/>
      <c r="S93" s="14"/>
      <c r="V93" s="14">
        <f t="shared" ref="V93:AE93" si="44">V74+V76</f>
        <v>0</v>
      </c>
      <c r="W93" s="14">
        <f t="shared" si="44"/>
        <v>0</v>
      </c>
      <c r="X93" s="14">
        <f t="shared" si="44"/>
        <v>0</v>
      </c>
      <c r="Y93" s="14">
        <f t="shared" si="44"/>
        <v>0</v>
      </c>
      <c r="Z93" s="14">
        <f t="shared" si="44"/>
        <v>5817</v>
      </c>
      <c r="AA93" s="14">
        <f t="shared" si="44"/>
        <v>5459</v>
      </c>
      <c r="AB93" s="14">
        <f t="shared" si="44"/>
        <v>5577</v>
      </c>
      <c r="AC93" s="14">
        <f t="shared" si="44"/>
        <v>2681</v>
      </c>
      <c r="AD93" s="14">
        <f t="shared" si="44"/>
        <v>5547</v>
      </c>
      <c r="AE93" s="14">
        <f t="shared" si="44"/>
        <v>6847</v>
      </c>
    </row>
    <row r="94" spans="3:32" x14ac:dyDescent="0.25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3"/>
      <c r="R94" s="12"/>
      <c r="S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3:32" x14ac:dyDescent="0.25"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2"/>
      <c r="S95" s="12"/>
      <c r="T95" s="11"/>
      <c r="U95" s="11"/>
      <c r="V95" s="11"/>
      <c r="W95" s="23"/>
      <c r="X95" s="23"/>
      <c r="Y95" s="23"/>
      <c r="Z95" s="23"/>
      <c r="AA95" s="23"/>
      <c r="AB95" s="23"/>
      <c r="AC95" s="23"/>
      <c r="AD95" s="23"/>
      <c r="AE95" s="23"/>
      <c r="AF95" s="24"/>
    </row>
    <row r="96" spans="3:32" x14ac:dyDescent="0.25">
      <c r="C96" s="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43"/>
      <c r="R96" s="11"/>
      <c r="S96" s="11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3:31" x14ac:dyDescent="0.25">
      <c r="C97" s="1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  <c r="R97" s="14"/>
      <c r="S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3:31" x14ac:dyDescent="0.25">
      <c r="C98" s="11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  <c r="R98" s="14"/>
      <c r="S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3:31" x14ac:dyDescent="0.25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5"/>
      <c r="R99" s="14"/>
      <c r="S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3:31" x14ac:dyDescent="0.25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5"/>
      <c r="R100" s="14"/>
      <c r="S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3:31" x14ac:dyDescent="0.2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5"/>
      <c r="R101" s="14"/>
      <c r="S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3:31" x14ac:dyDescent="0.2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/>
      <c r="R102" s="14"/>
      <c r="S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3:31" x14ac:dyDescent="0.2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/>
      <c r="R103" s="14"/>
      <c r="S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3:31" x14ac:dyDescent="0.25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5"/>
      <c r="R104" s="14"/>
      <c r="S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3:31" x14ac:dyDescent="0.2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4"/>
      <c r="S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3:31" x14ac:dyDescent="0.25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5"/>
      <c r="R106" s="14"/>
      <c r="S106" s="14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3:31" x14ac:dyDescent="0.25"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3"/>
      <c r="R107" s="12"/>
      <c r="S107" s="12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3:31" x14ac:dyDescent="0.25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5"/>
      <c r="R108" s="14"/>
      <c r="S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3:31" x14ac:dyDescent="0.25">
      <c r="C109" s="1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5"/>
      <c r="R109" s="14"/>
      <c r="S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3:31" x14ac:dyDescent="0.25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5"/>
      <c r="R110" s="14"/>
      <c r="S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3:31" x14ac:dyDescent="0.2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5"/>
      <c r="R111" s="14"/>
      <c r="S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3:31" x14ac:dyDescent="0.2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5"/>
      <c r="R112" s="14"/>
      <c r="S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3:31" x14ac:dyDescent="0.2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5"/>
      <c r="R113" s="14"/>
      <c r="S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3:31" x14ac:dyDescent="0.2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5"/>
      <c r="R114" s="14"/>
      <c r="S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3:31" x14ac:dyDescent="0.2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5"/>
      <c r="R115" s="14"/>
      <c r="S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3:31" x14ac:dyDescent="0.2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5"/>
      <c r="R116" s="14"/>
      <c r="S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3:31" x14ac:dyDescent="0.2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5"/>
      <c r="R117" s="14"/>
      <c r="S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3:31" x14ac:dyDescent="0.25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5"/>
      <c r="R118" s="14"/>
      <c r="S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3:31" x14ac:dyDescent="0.2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5"/>
      <c r="R119" s="14"/>
      <c r="S119" s="14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3:31" x14ac:dyDescent="0.25"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2"/>
      <c r="S120" s="12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3:31" x14ac:dyDescent="0.2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3"/>
      <c r="R121" s="14"/>
      <c r="S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3:31" x14ac:dyDescent="0.25">
      <c r="C122" s="1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5"/>
      <c r="R122" s="14"/>
      <c r="S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3:31" x14ac:dyDescent="0.2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5"/>
      <c r="R123" s="14"/>
      <c r="S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3:31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5"/>
      <c r="R124" s="14"/>
      <c r="S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3:31" x14ac:dyDescent="0.2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5"/>
      <c r="R125" s="14"/>
      <c r="S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3:31" x14ac:dyDescent="0.2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5"/>
      <c r="R126" s="14"/>
      <c r="S126" s="1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34"/>
  <sheetViews>
    <sheetView showGridLines="0" topLeftCell="B1" workbookViewId="0">
      <pane xSplit="1" ySplit="4" topLeftCell="H5" activePane="bottomRight" state="frozen"/>
      <selection activeCell="B1" sqref="B1"/>
      <selection pane="topRight" activeCell="C1" sqref="C1"/>
      <selection pane="bottomLeft" activeCell="B5" sqref="B5"/>
      <selection pane="bottomRight" activeCell="P41" sqref="P41"/>
    </sheetView>
  </sheetViews>
  <sheetFormatPr baseColWidth="10" defaultRowHeight="19" x14ac:dyDescent="0.25"/>
  <cols>
    <col min="1" max="1" width="10.83203125" style="2"/>
    <col min="2" max="2" width="30.1640625" style="2" customWidth="1"/>
    <col min="3" max="16384" width="10.83203125" style="2"/>
  </cols>
  <sheetData>
    <row r="4" spans="2:22" x14ac:dyDescent="0.25">
      <c r="B4" s="2" t="s">
        <v>138</v>
      </c>
      <c r="C4" s="7" t="s">
        <v>3</v>
      </c>
      <c r="D4" s="7" t="s">
        <v>4</v>
      </c>
      <c r="E4" s="7" t="s">
        <v>5</v>
      </c>
      <c r="F4" s="7" t="s">
        <v>6</v>
      </c>
      <c r="G4" s="56">
        <v>2022</v>
      </c>
      <c r="H4" s="7" t="s">
        <v>7</v>
      </c>
      <c r="I4" s="7" t="s">
        <v>8</v>
      </c>
      <c r="J4" s="7" t="s">
        <v>9</v>
      </c>
      <c r="K4" s="7" t="s">
        <v>10</v>
      </c>
      <c r="L4" s="56">
        <v>2023</v>
      </c>
      <c r="M4" s="7" t="s">
        <v>11</v>
      </c>
      <c r="N4" s="7" t="s">
        <v>12</v>
      </c>
      <c r="O4" s="7" t="s">
        <v>13</v>
      </c>
      <c r="P4" s="7" t="s">
        <v>14</v>
      </c>
      <c r="Q4" s="56">
        <v>2024</v>
      </c>
      <c r="R4" s="7" t="s">
        <v>37</v>
      </c>
      <c r="S4" s="44" t="s">
        <v>31</v>
      </c>
      <c r="T4" s="7" t="s">
        <v>35</v>
      </c>
      <c r="U4" s="7" t="s">
        <v>36</v>
      </c>
      <c r="V4" s="1">
        <v>2025</v>
      </c>
    </row>
    <row r="5" spans="2:22" x14ac:dyDescent="0.25">
      <c r="B5" s="1" t="s">
        <v>139</v>
      </c>
      <c r="G5" s="57"/>
      <c r="L5" s="58"/>
      <c r="Q5" s="58"/>
    </row>
    <row r="6" spans="2:22" x14ac:dyDescent="0.25">
      <c r="B6" s="1" t="s">
        <v>140</v>
      </c>
      <c r="G6" s="57"/>
      <c r="L6" s="58"/>
      <c r="Q6" s="58"/>
    </row>
    <row r="7" spans="2:22" x14ac:dyDescent="0.25">
      <c r="B7" s="2" t="s">
        <v>53</v>
      </c>
      <c r="C7" s="2">
        <v>3863</v>
      </c>
      <c r="D7" s="2">
        <v>3916</v>
      </c>
      <c r="E7" s="2">
        <v>3479</v>
      </c>
      <c r="F7" s="2">
        <v>6045</v>
      </c>
      <c r="G7" s="58">
        <f>SUM(C7:F7)</f>
        <v>17303</v>
      </c>
      <c r="H7" s="2">
        <v>3859</v>
      </c>
      <c r="I7" s="2">
        <v>4025</v>
      </c>
      <c r="J7" s="2">
        <v>3604</v>
      </c>
      <c r="K7" s="2">
        <v>6880</v>
      </c>
      <c r="L7" s="58">
        <f>SUM(H7:K7)</f>
        <v>18368</v>
      </c>
      <c r="M7" s="2">
        <v>4231</v>
      </c>
      <c r="N7" s="2">
        <v>4346</v>
      </c>
      <c r="O7" s="2">
        <v>3895</v>
      </c>
      <c r="P7" s="2">
        <v>7462</v>
      </c>
      <c r="Q7" s="58">
        <f>SUM(M7:P7)</f>
        <v>19934</v>
      </c>
      <c r="R7" s="2">
        <v>4376</v>
      </c>
      <c r="S7" s="2">
        <v>4413</v>
      </c>
    </row>
    <row r="8" spans="2:22" x14ac:dyDescent="0.25">
      <c r="B8" s="45" t="s">
        <v>141</v>
      </c>
      <c r="C8" s="45"/>
      <c r="D8" s="45">
        <v>0.01</v>
      </c>
      <c r="E8" s="45">
        <v>-0.01</v>
      </c>
      <c r="F8" s="45">
        <v>0</v>
      </c>
      <c r="G8" s="61">
        <v>0.03</v>
      </c>
      <c r="H8" s="45">
        <v>-0.03</v>
      </c>
      <c r="I8" s="45">
        <v>0</v>
      </c>
      <c r="J8" s="45">
        <v>7.0000000000000007E-2</v>
      </c>
      <c r="K8" s="45">
        <v>0.04</v>
      </c>
      <c r="L8" s="61">
        <v>0.02</v>
      </c>
      <c r="M8" s="45">
        <v>0.05</v>
      </c>
      <c r="N8" s="45">
        <v>0.03</v>
      </c>
      <c r="O8" s="45">
        <v>0.02</v>
      </c>
      <c r="P8" s="45">
        <v>0.03</v>
      </c>
      <c r="Q8" s="61">
        <v>0.03</v>
      </c>
      <c r="R8" s="45">
        <v>0</v>
      </c>
      <c r="S8" s="45">
        <v>-0.01</v>
      </c>
      <c r="T8" s="45"/>
      <c r="U8" s="45"/>
    </row>
    <row r="9" spans="2:22" x14ac:dyDescent="0.25">
      <c r="B9" s="1" t="s">
        <v>142</v>
      </c>
      <c r="G9" s="58"/>
      <c r="L9" s="58"/>
      <c r="Q9" s="58"/>
    </row>
    <row r="10" spans="2:22" x14ac:dyDescent="0.25">
      <c r="B10" s="2" t="s">
        <v>53</v>
      </c>
      <c r="C10" s="2">
        <v>595</v>
      </c>
      <c r="D10" s="2">
        <v>543</v>
      </c>
      <c r="E10" s="2">
        <v>492</v>
      </c>
      <c r="F10" s="2">
        <v>983</v>
      </c>
      <c r="G10" s="58">
        <f>SUM(C10:F10)</f>
        <v>2613</v>
      </c>
      <c r="H10" s="2">
        <v>610</v>
      </c>
      <c r="I10" s="2">
        <v>545</v>
      </c>
      <c r="J10" s="2">
        <v>561</v>
      </c>
      <c r="K10" s="2">
        <v>965</v>
      </c>
      <c r="L10" s="58">
        <f>SUM(H10:K10)</f>
        <v>2681</v>
      </c>
      <c r="M10" s="2">
        <v>560</v>
      </c>
      <c r="N10" s="2">
        <v>526</v>
      </c>
      <c r="O10" s="2">
        <v>514</v>
      </c>
      <c r="P10" s="2">
        <v>964</v>
      </c>
      <c r="Q10" s="58">
        <f>SUM(M10:P10)</f>
        <v>2564</v>
      </c>
      <c r="R10" s="2">
        <v>672</v>
      </c>
      <c r="S10" s="2">
        <v>643</v>
      </c>
    </row>
    <row r="11" spans="2:22" x14ac:dyDescent="0.25">
      <c r="B11" s="45" t="s">
        <v>141</v>
      </c>
      <c r="C11" s="45"/>
      <c r="D11" s="45">
        <v>0.34</v>
      </c>
      <c r="E11" s="45">
        <v>0.24</v>
      </c>
      <c r="F11" s="45">
        <v>0.02</v>
      </c>
      <c r="G11" s="61">
        <v>0.2</v>
      </c>
      <c r="H11" s="45">
        <v>-0.04</v>
      </c>
      <c r="I11" s="45">
        <v>0.01</v>
      </c>
      <c r="J11" s="45">
        <v>0.1</v>
      </c>
      <c r="K11" s="45">
        <v>0.01</v>
      </c>
      <c r="L11" s="61">
        <v>0.01</v>
      </c>
      <c r="M11" s="45">
        <v>-0.14000000000000001</v>
      </c>
      <c r="N11" s="45">
        <v>-0.14000000000000001</v>
      </c>
      <c r="O11" s="45">
        <v>-0.06</v>
      </c>
      <c r="P11" s="45">
        <v>-0.05</v>
      </c>
      <c r="Q11" s="61">
        <v>-0.09</v>
      </c>
      <c r="R11" s="45">
        <v>0.19</v>
      </c>
      <c r="S11" s="45">
        <v>0.19</v>
      </c>
      <c r="T11" s="45"/>
      <c r="U11" s="45"/>
    </row>
    <row r="12" spans="2:22" x14ac:dyDescent="0.25">
      <c r="B12" s="1" t="s">
        <v>143</v>
      </c>
      <c r="G12" s="58"/>
      <c r="L12" s="58"/>
      <c r="Q12" s="58"/>
    </row>
    <row r="13" spans="2:22" x14ac:dyDescent="0.25">
      <c r="B13" s="2" t="s">
        <v>53</v>
      </c>
      <c r="C13" s="2">
        <v>142</v>
      </c>
      <c r="D13" s="2">
        <v>159</v>
      </c>
      <c r="E13" s="2">
        <v>199</v>
      </c>
      <c r="F13" s="2">
        <v>314</v>
      </c>
      <c r="G13" s="58">
        <f>SUM(C13:F13)</f>
        <v>814</v>
      </c>
      <c r="H13" s="2">
        <v>169</v>
      </c>
      <c r="I13" s="2">
        <v>194</v>
      </c>
      <c r="J13" s="2">
        <v>202</v>
      </c>
      <c r="K13" s="2">
        <v>335</v>
      </c>
      <c r="L13" s="58">
        <f>SUM(H13:K13)</f>
        <v>900</v>
      </c>
      <c r="M13" s="2">
        <v>224</v>
      </c>
      <c r="N13" s="2">
        <v>236</v>
      </c>
      <c r="O13" s="2">
        <v>226</v>
      </c>
      <c r="P13" s="2">
        <v>358</v>
      </c>
      <c r="Q13" s="58">
        <f>SUM(M13:P13)</f>
        <v>1044</v>
      </c>
      <c r="R13" s="2">
        <v>249</v>
      </c>
      <c r="S13" s="2">
        <v>258</v>
      </c>
    </row>
    <row r="14" spans="2:22" x14ac:dyDescent="0.25">
      <c r="B14" s="45" t="s">
        <v>141</v>
      </c>
      <c r="C14" s="45"/>
      <c r="D14" s="45">
        <v>0.72</v>
      </c>
      <c r="E14" s="45">
        <v>1.25</v>
      </c>
      <c r="F14" s="45">
        <v>-0.04</v>
      </c>
      <c r="G14" s="61">
        <v>0.4</v>
      </c>
      <c r="H14" s="45">
        <v>0.21</v>
      </c>
      <c r="I14" s="45">
        <v>0.17</v>
      </c>
      <c r="J14" s="45">
        <v>0.12</v>
      </c>
      <c r="K14" s="45">
        <v>0.06</v>
      </c>
      <c r="L14" s="61">
        <v>0.12</v>
      </c>
      <c r="M14" s="45">
        <v>0.26</v>
      </c>
      <c r="N14" s="45">
        <v>0.14000000000000001</v>
      </c>
      <c r="O14" s="45">
        <v>0.21</v>
      </c>
      <c r="P14" s="45">
        <v>0.02</v>
      </c>
      <c r="Q14" s="61">
        <v>0.13</v>
      </c>
      <c r="R14" s="45">
        <v>0.06</v>
      </c>
      <c r="S14" s="45">
        <v>0.06</v>
      </c>
      <c r="T14" s="45"/>
      <c r="U14" s="45"/>
    </row>
    <row r="15" spans="2:22" x14ac:dyDescent="0.25">
      <c r="B15" s="1" t="s">
        <v>168</v>
      </c>
      <c r="G15" s="58"/>
      <c r="L15" s="58"/>
      <c r="Q15" s="58"/>
    </row>
    <row r="16" spans="2:22" x14ac:dyDescent="0.25">
      <c r="B16" s="1" t="s">
        <v>53</v>
      </c>
      <c r="C16" s="12">
        <f t="shared" ref="C16:R16" si="0">C7+C10+C13</f>
        <v>4600</v>
      </c>
      <c r="D16" s="12">
        <f t="shared" si="0"/>
        <v>4618</v>
      </c>
      <c r="E16" s="12">
        <f t="shared" si="0"/>
        <v>4170</v>
      </c>
      <c r="F16" s="12">
        <f t="shared" si="0"/>
        <v>7342</v>
      </c>
      <c r="G16" s="58">
        <f>SUM(C16:F16)</f>
        <v>20730</v>
      </c>
      <c r="H16" s="12">
        <f t="shared" si="0"/>
        <v>4638</v>
      </c>
      <c r="I16" s="12">
        <f t="shared" si="0"/>
        <v>4764</v>
      </c>
      <c r="J16" s="12">
        <f t="shared" si="0"/>
        <v>4367</v>
      </c>
      <c r="K16" s="12">
        <f t="shared" si="0"/>
        <v>8180</v>
      </c>
      <c r="L16" s="58">
        <f>SUM(H16:K16)</f>
        <v>21949</v>
      </c>
      <c r="M16" s="12">
        <f t="shared" si="0"/>
        <v>5015</v>
      </c>
      <c r="N16" s="12">
        <f t="shared" si="0"/>
        <v>5108</v>
      </c>
      <c r="O16" s="12">
        <f t="shared" si="0"/>
        <v>4635</v>
      </c>
      <c r="P16" s="12">
        <f t="shared" si="0"/>
        <v>8784</v>
      </c>
      <c r="Q16" s="58">
        <f>SUM(M16:P16)</f>
        <v>23542</v>
      </c>
      <c r="R16" s="12">
        <f t="shared" si="0"/>
        <v>5297</v>
      </c>
      <c r="S16" s="12">
        <f>S7+S10+S13</f>
        <v>5314</v>
      </c>
      <c r="T16" s="12"/>
      <c r="U16" s="12"/>
    </row>
    <row r="17" spans="2:21" ht="20" thickBot="1" x14ac:dyDescent="0.3">
      <c r="B17" s="49" t="s">
        <v>141</v>
      </c>
      <c r="C17" s="49"/>
      <c r="D17" s="49">
        <v>0.04</v>
      </c>
      <c r="E17" s="49">
        <v>0.02</v>
      </c>
      <c r="F17" s="49">
        <v>0</v>
      </c>
      <c r="G17" s="59">
        <v>0.05</v>
      </c>
      <c r="H17" s="49">
        <v>-0.03</v>
      </c>
      <c r="I17" s="49">
        <v>0</v>
      </c>
      <c r="J17" s="49">
        <v>7.0000000000000007E-2</v>
      </c>
      <c r="K17" s="49">
        <v>0.04</v>
      </c>
      <c r="L17" s="59">
        <v>0.02</v>
      </c>
      <c r="M17" s="49">
        <v>0.03</v>
      </c>
      <c r="N17" s="49">
        <v>0.01</v>
      </c>
      <c r="O17" s="49">
        <v>0.02</v>
      </c>
      <c r="P17" s="49">
        <v>0.02</v>
      </c>
      <c r="Q17" s="59">
        <v>0.02</v>
      </c>
      <c r="R17" s="49">
        <v>0.02</v>
      </c>
      <c r="S17" s="49">
        <v>0.01</v>
      </c>
      <c r="T17" s="49"/>
      <c r="U17" s="49"/>
    </row>
    <row r="18" spans="2:21" x14ac:dyDescent="0.25">
      <c r="G18" s="58"/>
      <c r="L18" s="58"/>
      <c r="Q18" s="57"/>
    </row>
    <row r="19" spans="2:21" x14ac:dyDescent="0.25">
      <c r="B19" s="47" t="s">
        <v>145</v>
      </c>
      <c r="C19" s="48"/>
      <c r="D19" s="48"/>
      <c r="E19" s="48"/>
      <c r="F19" s="48"/>
      <c r="G19" s="62"/>
      <c r="H19" s="48"/>
      <c r="I19" s="48"/>
      <c r="J19" s="48"/>
      <c r="K19" s="48"/>
      <c r="L19" s="62"/>
      <c r="M19" s="48"/>
      <c r="N19" s="48"/>
      <c r="O19" s="48"/>
      <c r="P19" s="48"/>
      <c r="Q19" s="60"/>
      <c r="R19" s="48"/>
      <c r="S19" s="48"/>
      <c r="T19" s="48"/>
      <c r="U19" s="48"/>
    </row>
    <row r="20" spans="2:21" x14ac:dyDescent="0.25">
      <c r="B20" s="1" t="s">
        <v>146</v>
      </c>
      <c r="G20" s="58"/>
      <c r="L20" s="58"/>
      <c r="Q20" s="57"/>
    </row>
    <row r="21" spans="2:21" x14ac:dyDescent="0.25">
      <c r="B21" s="2" t="s">
        <v>53</v>
      </c>
      <c r="C21" s="2">
        <v>829</v>
      </c>
      <c r="D21" s="2">
        <v>788</v>
      </c>
      <c r="E21" s="2">
        <v>664</v>
      </c>
      <c r="F21" s="2">
        <v>1773</v>
      </c>
      <c r="G21" s="58">
        <f>SUM(C21:F21)</f>
        <v>4054</v>
      </c>
      <c r="H21" s="2">
        <v>949</v>
      </c>
      <c r="I21" s="2">
        <v>880</v>
      </c>
      <c r="J21" s="2">
        <v>843</v>
      </c>
      <c r="K21" s="2">
        <v>2117</v>
      </c>
      <c r="L21" s="58">
        <f>SUM(H21:K21)</f>
        <v>4789</v>
      </c>
      <c r="M21" s="2">
        <v>1523</v>
      </c>
      <c r="N21" s="2">
        <v>1225</v>
      </c>
      <c r="O21" s="2">
        <v>1065</v>
      </c>
      <c r="P21" s="2">
        <v>2527</v>
      </c>
      <c r="Q21" s="58">
        <f>SUM(M21:P21)</f>
        <v>6340</v>
      </c>
      <c r="R21" s="2">
        <v>1636</v>
      </c>
      <c r="S21" s="2">
        <v>1299</v>
      </c>
    </row>
    <row r="22" spans="2:21" x14ac:dyDescent="0.25">
      <c r="B22" s="45" t="s">
        <v>141</v>
      </c>
      <c r="C22" s="45"/>
      <c r="D22" s="45">
        <v>-7.0000000000000007E-2</v>
      </c>
      <c r="E22" s="45">
        <v>-0.02</v>
      </c>
      <c r="F22" s="45">
        <v>-0.03</v>
      </c>
      <c r="G22" s="61">
        <v>-0.02</v>
      </c>
      <c r="H22" s="45">
        <v>0.11</v>
      </c>
      <c r="I22" s="45">
        <v>7.0000000000000007E-2</v>
      </c>
      <c r="J22" s="45">
        <v>0.21</v>
      </c>
      <c r="K22" s="45">
        <v>0.31</v>
      </c>
      <c r="L22" s="61">
        <v>0.2</v>
      </c>
      <c r="M22" s="45">
        <v>0.43</v>
      </c>
      <c r="N22" s="45">
        <v>0.28999999999999998</v>
      </c>
      <c r="O22" s="45">
        <v>0.18</v>
      </c>
      <c r="P22" s="45">
        <v>0.11</v>
      </c>
      <c r="Q22" s="61">
        <v>0.22</v>
      </c>
      <c r="R22" s="45">
        <v>7.0000000000000007E-2</v>
      </c>
      <c r="S22" s="45">
        <v>0.02</v>
      </c>
      <c r="T22" s="45"/>
      <c r="U22" s="45"/>
    </row>
    <row r="23" spans="2:21" x14ac:dyDescent="0.25">
      <c r="B23" s="1" t="s">
        <v>147</v>
      </c>
      <c r="G23" s="58"/>
      <c r="L23" s="58"/>
      <c r="Q23" s="58"/>
    </row>
    <row r="24" spans="2:21" x14ac:dyDescent="0.25">
      <c r="B24" s="2" t="s">
        <v>53</v>
      </c>
      <c r="C24" s="2">
        <v>251</v>
      </c>
      <c r="D24" s="2">
        <v>240</v>
      </c>
      <c r="E24" s="2">
        <v>316</v>
      </c>
      <c r="F24" s="2">
        <v>660</v>
      </c>
      <c r="G24" s="58">
        <f>SUM(C24:F24)</f>
        <v>1467</v>
      </c>
      <c r="H24" s="2">
        <v>229</v>
      </c>
      <c r="I24" s="2">
        <v>218</v>
      </c>
      <c r="J24" s="2">
        <v>275</v>
      </c>
      <c r="K24" s="2">
        <v>407</v>
      </c>
      <c r="L24" s="58">
        <f>SUM(H24:K24)</f>
        <v>1129</v>
      </c>
      <c r="M24" s="2">
        <v>232</v>
      </c>
      <c r="N24" s="2">
        <v>205</v>
      </c>
      <c r="O24" s="2">
        <v>170</v>
      </c>
      <c r="P24" s="2">
        <v>304</v>
      </c>
      <c r="Q24" s="58">
        <f>SUM(M24:P24)</f>
        <v>911</v>
      </c>
      <c r="R24" s="2">
        <v>172</v>
      </c>
      <c r="S24" s="2">
        <v>147</v>
      </c>
    </row>
    <row r="25" spans="2:21" x14ac:dyDescent="0.25">
      <c r="B25" s="45" t="s">
        <v>141</v>
      </c>
      <c r="C25" s="45"/>
      <c r="D25" s="45">
        <v>-0.13</v>
      </c>
      <c r="E25" s="45">
        <v>-0.2</v>
      </c>
      <c r="F25" s="45">
        <v>-0.14000000000000001</v>
      </c>
      <c r="G25" s="61">
        <v>-0.12</v>
      </c>
      <c r="H25" s="45">
        <v>-0.12</v>
      </c>
      <c r="I25" s="45">
        <v>-0.06</v>
      </c>
      <c r="J25" s="45">
        <v>-0.12</v>
      </c>
      <c r="K25" s="45">
        <v>-0.11</v>
      </c>
      <c r="L25" s="61">
        <v>-0.11</v>
      </c>
      <c r="M25" s="45">
        <v>-0.08</v>
      </c>
      <c r="N25" s="45">
        <v>-0.13</v>
      </c>
      <c r="O25" s="45">
        <v>-0.32</v>
      </c>
      <c r="P25" s="45">
        <v>-0.27</v>
      </c>
      <c r="Q25" s="61">
        <v>-0.21</v>
      </c>
      <c r="R25" s="45">
        <v>-0.24</v>
      </c>
      <c r="S25" s="45">
        <v>-0.27</v>
      </c>
      <c r="T25" s="45"/>
      <c r="U25" s="45"/>
    </row>
    <row r="26" spans="2:21" x14ac:dyDescent="0.25">
      <c r="B26" s="1" t="s">
        <v>148</v>
      </c>
      <c r="G26" s="58"/>
      <c r="L26" s="58"/>
      <c r="Q26" s="58"/>
    </row>
    <row r="27" spans="2:21" x14ac:dyDescent="0.25">
      <c r="B27" s="2" t="s">
        <v>53</v>
      </c>
      <c r="C27" s="2">
        <v>0</v>
      </c>
      <c r="D27" s="2">
        <v>0</v>
      </c>
      <c r="E27" s="2">
        <v>0</v>
      </c>
      <c r="F27" s="2">
        <v>0</v>
      </c>
      <c r="G27" s="58">
        <v>0</v>
      </c>
      <c r="H27" s="2">
        <v>0</v>
      </c>
      <c r="I27" s="2">
        <v>0</v>
      </c>
      <c r="J27" s="2">
        <v>0</v>
      </c>
      <c r="K27" s="2">
        <v>2</v>
      </c>
      <c r="L27" s="58">
        <f>SUM(H27:K27)</f>
        <v>2</v>
      </c>
      <c r="M27" s="2">
        <v>1</v>
      </c>
      <c r="N27" s="2">
        <v>172</v>
      </c>
      <c r="O27" s="2">
        <v>169</v>
      </c>
      <c r="P27" s="2">
        <v>232</v>
      </c>
      <c r="Q27" s="58">
        <f>SUM(M27:P27)</f>
        <v>574</v>
      </c>
      <c r="R27" s="2">
        <v>151</v>
      </c>
      <c r="S27" s="2">
        <v>230</v>
      </c>
    </row>
    <row r="28" spans="2:21" x14ac:dyDescent="0.25">
      <c r="B28" s="45" t="s">
        <v>141</v>
      </c>
      <c r="C28" s="45">
        <v>0</v>
      </c>
      <c r="D28" s="45">
        <v>0</v>
      </c>
      <c r="E28" s="45">
        <v>0</v>
      </c>
      <c r="F28" s="45">
        <v>0</v>
      </c>
      <c r="G28" s="61">
        <v>0</v>
      </c>
      <c r="H28" s="45">
        <v>0</v>
      </c>
      <c r="I28" s="45">
        <v>0</v>
      </c>
      <c r="J28" s="45">
        <v>0</v>
      </c>
      <c r="K28" s="45">
        <v>0</v>
      </c>
      <c r="L28" s="61">
        <v>0</v>
      </c>
      <c r="M28" s="45">
        <v>0</v>
      </c>
      <c r="N28" s="45">
        <v>0</v>
      </c>
      <c r="O28" s="45">
        <v>0</v>
      </c>
      <c r="P28" s="45">
        <v>0</v>
      </c>
      <c r="Q28" s="61">
        <v>0</v>
      </c>
      <c r="R28" s="45">
        <v>0</v>
      </c>
      <c r="S28" s="45">
        <v>1.02</v>
      </c>
      <c r="T28" s="45"/>
      <c r="U28" s="45"/>
    </row>
    <row r="29" spans="2:21" x14ac:dyDescent="0.25">
      <c r="B29" s="1" t="s">
        <v>167</v>
      </c>
      <c r="G29" s="58"/>
      <c r="L29" s="58"/>
      <c r="Q29" s="58"/>
    </row>
    <row r="30" spans="2:21" x14ac:dyDescent="0.25">
      <c r="B30" s="2" t="s">
        <v>53</v>
      </c>
      <c r="C30" s="2">
        <v>9</v>
      </c>
      <c r="D30" s="2">
        <v>10</v>
      </c>
      <c r="E30" s="2">
        <v>113</v>
      </c>
      <c r="F30" s="2">
        <v>81</v>
      </c>
      <c r="G30" s="58">
        <f>SUM(C30:F30)</f>
        <v>213</v>
      </c>
      <c r="H30" s="2">
        <v>34</v>
      </c>
      <c r="I30" s="2">
        <v>32</v>
      </c>
      <c r="J30" s="2">
        <v>86</v>
      </c>
      <c r="K30" s="2">
        <v>113</v>
      </c>
      <c r="L30" s="58">
        <f>SUM(H30:K30)</f>
        <v>265</v>
      </c>
      <c r="M30" s="2">
        <v>63</v>
      </c>
      <c r="N30" s="2">
        <v>61</v>
      </c>
      <c r="O30" s="2">
        <v>64</v>
      </c>
      <c r="P30" s="2">
        <v>127</v>
      </c>
      <c r="Q30" s="58">
        <f>SUM(M30:P30)</f>
        <v>315</v>
      </c>
      <c r="R30" s="2">
        <v>90</v>
      </c>
      <c r="S30" s="2">
        <v>85</v>
      </c>
    </row>
    <row r="31" spans="2:21" x14ac:dyDescent="0.25">
      <c r="B31" s="45" t="s">
        <v>141</v>
      </c>
      <c r="C31" s="45"/>
      <c r="D31" s="45">
        <v>-0.22</v>
      </c>
      <c r="E31" s="45">
        <v>0.97</v>
      </c>
      <c r="F31" s="45">
        <v>1.96</v>
      </c>
      <c r="G31" s="61">
        <v>1.3</v>
      </c>
      <c r="H31" s="45">
        <v>2.4700000000000002</v>
      </c>
      <c r="I31" s="45">
        <v>2.91</v>
      </c>
      <c r="J31" s="45">
        <v>0.84</v>
      </c>
      <c r="K31" s="45">
        <v>0.83</v>
      </c>
      <c r="L31" s="61">
        <v>1.1599999999999999</v>
      </c>
      <c r="M31" s="45">
        <v>0.87</v>
      </c>
      <c r="N31" s="45">
        <v>0.88</v>
      </c>
      <c r="O31" s="45">
        <v>0.34</v>
      </c>
      <c r="P31" s="45">
        <v>0.18</v>
      </c>
      <c r="Q31" s="61">
        <v>0.43</v>
      </c>
      <c r="R31" s="45">
        <v>0.43</v>
      </c>
      <c r="S31" s="45">
        <v>0.36</v>
      </c>
      <c r="T31" s="45"/>
      <c r="U31" s="45"/>
    </row>
    <row r="32" spans="2:21" x14ac:dyDescent="0.25">
      <c r="B32" s="1" t="s">
        <v>169</v>
      </c>
      <c r="G32" s="58"/>
      <c r="L32" s="58"/>
      <c r="Q32" s="58"/>
    </row>
    <row r="33" spans="2:21" x14ac:dyDescent="0.25">
      <c r="B33" s="1" t="s">
        <v>53</v>
      </c>
      <c r="C33" s="12">
        <f>C21+C24+C27+C30</f>
        <v>1089</v>
      </c>
      <c r="D33" s="12">
        <f>D21+D24+D27+D30</f>
        <v>1038</v>
      </c>
      <c r="E33" s="12">
        <f t="shared" ref="E33:R33" si="1">E21+E24+E27+E30</f>
        <v>1093</v>
      </c>
      <c r="F33" s="12">
        <f t="shared" si="1"/>
        <v>2514</v>
      </c>
      <c r="G33" s="58">
        <f>SUM(C33:F33)</f>
        <v>5734</v>
      </c>
      <c r="H33" s="12">
        <f t="shared" si="1"/>
        <v>1212</v>
      </c>
      <c r="I33" s="12">
        <f t="shared" si="1"/>
        <v>1130</v>
      </c>
      <c r="J33" s="12">
        <f t="shared" si="1"/>
        <v>1204</v>
      </c>
      <c r="K33" s="12">
        <f t="shared" si="1"/>
        <v>2639</v>
      </c>
      <c r="L33" s="58">
        <f>SUM(H33:K33)</f>
        <v>6185</v>
      </c>
      <c r="M33" s="12">
        <f t="shared" si="1"/>
        <v>1819</v>
      </c>
      <c r="N33" s="12">
        <f t="shared" si="1"/>
        <v>1663</v>
      </c>
      <c r="O33" s="12">
        <f t="shared" si="1"/>
        <v>1468</v>
      </c>
      <c r="P33" s="12">
        <f t="shared" si="1"/>
        <v>3190</v>
      </c>
      <c r="Q33" s="58">
        <f>SUM(M33:P33)</f>
        <v>8140</v>
      </c>
      <c r="R33" s="12">
        <f t="shared" si="1"/>
        <v>2049</v>
      </c>
      <c r="S33" s="12">
        <f>S21+S24+S27+S30</f>
        <v>1761</v>
      </c>
      <c r="T33" s="12"/>
      <c r="U33" s="12"/>
    </row>
    <row r="34" spans="2:21" ht="20" thickBot="1" x14ac:dyDescent="0.3">
      <c r="B34" s="49" t="s">
        <v>141</v>
      </c>
      <c r="C34" s="49"/>
      <c r="D34" s="49">
        <v>-0.04</v>
      </c>
      <c r="E34" s="49">
        <v>-0.02</v>
      </c>
      <c r="F34" s="49">
        <v>-0.04</v>
      </c>
      <c r="G34" s="59">
        <v>-0.01</v>
      </c>
      <c r="H34" s="49">
        <v>0.09</v>
      </c>
      <c r="I34" s="49">
        <v>0.08</v>
      </c>
      <c r="J34" s="49">
        <v>0.14000000000000001</v>
      </c>
      <c r="K34" s="49">
        <v>0.23</v>
      </c>
      <c r="L34" s="59">
        <v>0.14000000000000001</v>
      </c>
      <c r="M34" s="49">
        <v>0.34</v>
      </c>
      <c r="N34" s="49">
        <v>0.28999999999999998</v>
      </c>
      <c r="O34" s="49">
        <v>0.21</v>
      </c>
      <c r="P34" s="49">
        <v>0.13</v>
      </c>
      <c r="Q34" s="59">
        <v>0.22</v>
      </c>
      <c r="R34" s="49">
        <v>0.12</v>
      </c>
      <c r="S34" s="49">
        <v>0.05</v>
      </c>
      <c r="T34" s="49"/>
      <c r="U34" s="4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9D6B-CF1E-A543-BF78-96E0789410BB}">
  <dimension ref="A4:U45"/>
  <sheetViews>
    <sheetView showGridLines="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F46" sqref="F46"/>
    </sheetView>
  </sheetViews>
  <sheetFormatPr baseColWidth="10" defaultRowHeight="19" x14ac:dyDescent="0.25"/>
  <cols>
    <col min="1" max="1" width="29.6640625" style="2" customWidth="1"/>
    <col min="2" max="2" width="9.83203125" style="2" customWidth="1"/>
    <col min="3" max="3" width="9.1640625" style="2" customWidth="1"/>
    <col min="4" max="8" width="10.83203125" style="2"/>
    <col min="9" max="9" width="11.5" style="2" bestFit="1" customWidth="1"/>
    <col min="10" max="16384" width="10.83203125" style="2"/>
  </cols>
  <sheetData>
    <row r="4" spans="1:21" x14ac:dyDescent="0.25">
      <c r="A4" s="2" t="s">
        <v>138</v>
      </c>
      <c r="B4" s="7" t="s">
        <v>3</v>
      </c>
      <c r="C4" s="7" t="s">
        <v>4</v>
      </c>
      <c r="D4" s="7" t="s">
        <v>5</v>
      </c>
      <c r="E4" s="7" t="s">
        <v>6</v>
      </c>
      <c r="F4" s="56">
        <v>2022</v>
      </c>
      <c r="G4" s="7" t="s">
        <v>7</v>
      </c>
      <c r="H4" s="7" t="s">
        <v>8</v>
      </c>
      <c r="I4" s="7" t="s">
        <v>9</v>
      </c>
      <c r="J4" s="7" t="s">
        <v>10</v>
      </c>
      <c r="K4" s="56">
        <v>2023</v>
      </c>
      <c r="L4" s="7" t="s">
        <v>11</v>
      </c>
      <c r="M4" s="7" t="s">
        <v>12</v>
      </c>
      <c r="N4" s="7" t="s">
        <v>13</v>
      </c>
      <c r="O4" s="7" t="s">
        <v>14</v>
      </c>
      <c r="P4" s="56">
        <v>2024</v>
      </c>
      <c r="Q4" s="7" t="s">
        <v>37</v>
      </c>
      <c r="R4" s="44" t="s">
        <v>31</v>
      </c>
      <c r="S4" s="7" t="s">
        <v>35</v>
      </c>
      <c r="T4" s="7" t="s">
        <v>36</v>
      </c>
      <c r="U4" s="1">
        <v>2025</v>
      </c>
    </row>
    <row r="5" spans="1:21" x14ac:dyDescent="0.25">
      <c r="A5" s="1" t="s">
        <v>149</v>
      </c>
      <c r="F5" s="58"/>
      <c r="K5" s="58"/>
      <c r="P5" s="58"/>
    </row>
    <row r="6" spans="1:21" x14ac:dyDescent="0.25">
      <c r="A6" s="1" t="s">
        <v>150</v>
      </c>
      <c r="F6" s="58"/>
      <c r="K6" s="58"/>
      <c r="P6" s="58"/>
    </row>
    <row r="7" spans="1:21" x14ac:dyDescent="0.25">
      <c r="A7" s="2" t="s">
        <v>53</v>
      </c>
      <c r="B7" s="2">
        <v>1650</v>
      </c>
      <c r="C7" s="2">
        <v>1841</v>
      </c>
      <c r="D7" s="2">
        <v>1597</v>
      </c>
      <c r="E7" s="2">
        <v>2820</v>
      </c>
      <c r="F7" s="58">
        <f>SUM(B7:E7)</f>
        <v>7908</v>
      </c>
      <c r="G7" s="2">
        <v>1716</v>
      </c>
      <c r="H7" s="2">
        <v>1834</v>
      </c>
      <c r="I7" s="2">
        <v>1566</v>
      </c>
      <c r="J7" s="2">
        <v>3190</v>
      </c>
      <c r="K7" s="58">
        <f>SUM(G7:J7)</f>
        <v>8306</v>
      </c>
      <c r="L7" s="2">
        <v>2027</v>
      </c>
      <c r="M7" s="2">
        <v>2173</v>
      </c>
      <c r="N7" s="2">
        <v>1796</v>
      </c>
      <c r="O7" s="2">
        <v>3713</v>
      </c>
      <c r="P7" s="58">
        <f>SUM(L7:O7)</f>
        <v>9709</v>
      </c>
      <c r="Q7" s="2">
        <v>2368</v>
      </c>
      <c r="R7" s="2">
        <v>2374</v>
      </c>
    </row>
    <row r="8" spans="1:21" x14ac:dyDescent="0.25">
      <c r="A8" s="52" t="s">
        <v>141</v>
      </c>
      <c r="B8" s="52"/>
      <c r="C8" s="52"/>
      <c r="D8" s="52">
        <v>-0.09</v>
      </c>
      <c r="E8" s="52">
        <v>-7.0000000000000007E-2</v>
      </c>
      <c r="F8" s="63">
        <v>-7.0000000000000007E-2</v>
      </c>
      <c r="G8" s="52">
        <v>-7.0000000000000007E-2</v>
      </c>
      <c r="H8" s="52">
        <v>-0.04</v>
      </c>
      <c r="I8" s="52">
        <v>0.05</v>
      </c>
      <c r="J8" s="52">
        <v>0.1</v>
      </c>
      <c r="K8" s="63">
        <v>0.02</v>
      </c>
      <c r="L8" s="52">
        <v>0.09</v>
      </c>
      <c r="M8" s="52">
        <v>0.05</v>
      </c>
      <c r="N8" s="52">
        <v>0.06</v>
      </c>
      <c r="O8" s="52">
        <v>0.09</v>
      </c>
      <c r="P8" s="63">
        <v>0.08</v>
      </c>
      <c r="Q8" s="52">
        <v>0.11</v>
      </c>
      <c r="R8" s="52">
        <v>0.08</v>
      </c>
      <c r="S8" s="52"/>
      <c r="T8" s="52"/>
    </row>
    <row r="9" spans="1:21" x14ac:dyDescent="0.25">
      <c r="A9" s="45" t="s">
        <v>159</v>
      </c>
      <c r="B9" s="45"/>
      <c r="C9" s="45"/>
      <c r="D9" s="45">
        <v>-0.03</v>
      </c>
      <c r="E9" s="45">
        <v>-0.03</v>
      </c>
      <c r="F9" s="61">
        <v>-0.03</v>
      </c>
      <c r="G9" s="45">
        <v>-0.04</v>
      </c>
      <c r="H9" s="45">
        <v>0</v>
      </c>
      <c r="I9" s="45">
        <v>0.04</v>
      </c>
      <c r="J9" s="45">
        <v>0.15</v>
      </c>
      <c r="K9" s="61">
        <v>0.05</v>
      </c>
      <c r="L9" s="45">
        <v>0.16</v>
      </c>
      <c r="M9" s="45">
        <v>0.14000000000000001</v>
      </c>
      <c r="N9" s="45">
        <v>0.14000000000000001</v>
      </c>
      <c r="O9" s="45">
        <v>0.13</v>
      </c>
      <c r="P9" s="61">
        <v>0.14000000000000001</v>
      </c>
      <c r="Q9" s="45">
        <v>0.12</v>
      </c>
      <c r="R9" s="45">
        <v>0.12</v>
      </c>
      <c r="S9" s="45"/>
      <c r="T9" s="45"/>
      <c r="U9" s="30"/>
    </row>
    <row r="10" spans="1:21" x14ac:dyDescent="0.25">
      <c r="A10" s="50" t="s">
        <v>151</v>
      </c>
      <c r="B10" s="51"/>
      <c r="C10" s="51"/>
      <c r="D10" s="51"/>
      <c r="E10" s="51"/>
      <c r="F10" s="58"/>
      <c r="G10" s="51"/>
      <c r="H10" s="51"/>
      <c r="I10" s="51"/>
      <c r="J10" s="51"/>
      <c r="K10" s="58"/>
      <c r="L10" s="51"/>
      <c r="M10" s="51"/>
      <c r="N10" s="51"/>
      <c r="O10" s="51"/>
      <c r="P10" s="58"/>
      <c r="Q10" s="51"/>
      <c r="R10" s="51"/>
      <c r="S10" s="51"/>
      <c r="T10" s="51"/>
    </row>
    <row r="11" spans="1:21" x14ac:dyDescent="0.25">
      <c r="A11" s="51" t="s">
        <v>53</v>
      </c>
      <c r="B11" s="2">
        <v>254</v>
      </c>
      <c r="C11" s="2">
        <v>179</v>
      </c>
      <c r="D11" s="2">
        <v>162</v>
      </c>
      <c r="E11" s="2">
        <v>143</v>
      </c>
      <c r="F11" s="58">
        <f>SUM(B11:E11)</f>
        <v>738</v>
      </c>
      <c r="G11" s="2">
        <v>161</v>
      </c>
      <c r="H11" s="2">
        <v>156</v>
      </c>
      <c r="I11" s="2">
        <v>132</v>
      </c>
      <c r="J11" s="2">
        <v>116</v>
      </c>
      <c r="K11" s="58">
        <f>SUM(G11:J11)</f>
        <v>565</v>
      </c>
      <c r="L11" s="2">
        <v>110</v>
      </c>
      <c r="M11" s="2">
        <v>118</v>
      </c>
      <c r="N11" s="2">
        <v>84</v>
      </c>
      <c r="O11" s="2">
        <v>104</v>
      </c>
      <c r="P11" s="58">
        <f>SUM(L11:O11)</f>
        <v>416</v>
      </c>
      <c r="Q11" s="2">
        <v>96</v>
      </c>
      <c r="R11" s="2">
        <v>95</v>
      </c>
    </row>
    <row r="12" spans="1:21" x14ac:dyDescent="0.25">
      <c r="A12" s="52" t="s">
        <v>141</v>
      </c>
      <c r="B12" s="52"/>
      <c r="C12" s="52"/>
      <c r="D12" s="52">
        <v>-0.46</v>
      </c>
      <c r="E12" s="52">
        <v>-0.41</v>
      </c>
      <c r="F12" s="63">
        <v>-0.47</v>
      </c>
      <c r="G12" s="52">
        <v>-0.26</v>
      </c>
      <c r="H12" s="52">
        <v>0.05</v>
      </c>
      <c r="I12" s="52">
        <v>0</v>
      </c>
      <c r="J12" s="52">
        <v>-0.11</v>
      </c>
      <c r="K12" s="63">
        <v>-0.09</v>
      </c>
      <c r="L12" s="52">
        <v>-0.17</v>
      </c>
      <c r="M12" s="52">
        <v>-0.23</v>
      </c>
      <c r="N12" s="52">
        <v>-0.33</v>
      </c>
      <c r="O12" s="52">
        <v>-0.1</v>
      </c>
      <c r="P12" s="63">
        <v>-0.21</v>
      </c>
      <c r="Q12" s="52">
        <v>-0.11</v>
      </c>
      <c r="R12" s="52">
        <v>-0.15</v>
      </c>
      <c r="S12" s="52"/>
      <c r="T12" s="52"/>
    </row>
    <row r="13" spans="1:21" x14ac:dyDescent="0.25">
      <c r="A13" s="45" t="s">
        <v>159</v>
      </c>
      <c r="B13" s="45"/>
      <c r="C13" s="45"/>
      <c r="D13" s="45">
        <v>-0.37</v>
      </c>
      <c r="E13" s="45">
        <v>-0.36</v>
      </c>
      <c r="F13" s="61">
        <v>-0.39</v>
      </c>
      <c r="G13" s="45">
        <v>-0.35</v>
      </c>
      <c r="H13" s="45">
        <v>-0.06</v>
      </c>
      <c r="I13" s="45">
        <v>-7.0000000000000007E-2</v>
      </c>
      <c r="J13" s="45">
        <v>-0.13</v>
      </c>
      <c r="K13" s="61">
        <v>-0.18</v>
      </c>
      <c r="L13" s="45">
        <v>-0.27</v>
      </c>
      <c r="M13" s="45">
        <v>-0.23</v>
      </c>
      <c r="N13" s="45">
        <v>-0.36</v>
      </c>
      <c r="O13" s="45">
        <v>-0.12</v>
      </c>
      <c r="P13" s="61">
        <v>-0.25</v>
      </c>
      <c r="Q13" s="45">
        <v>-0.15</v>
      </c>
      <c r="R13" s="45">
        <v>-0.15</v>
      </c>
      <c r="S13" s="45"/>
      <c r="T13" s="45"/>
      <c r="U13" s="30"/>
    </row>
    <row r="14" spans="1:21" x14ac:dyDescent="0.25">
      <c r="A14" s="50" t="s">
        <v>152</v>
      </c>
      <c r="B14" s="52"/>
      <c r="C14" s="52"/>
      <c r="D14" s="52"/>
      <c r="E14" s="52"/>
      <c r="F14" s="63"/>
      <c r="G14" s="52"/>
      <c r="H14" s="52"/>
      <c r="I14" s="52"/>
      <c r="J14" s="52"/>
      <c r="K14" s="63"/>
      <c r="L14" s="52"/>
      <c r="M14" s="52"/>
      <c r="N14" s="52"/>
      <c r="O14" s="52"/>
      <c r="P14" s="63"/>
      <c r="Q14" s="52"/>
      <c r="R14" s="52"/>
      <c r="S14" s="52"/>
      <c r="T14" s="52"/>
    </row>
    <row r="15" spans="1:21" x14ac:dyDescent="0.25">
      <c r="A15" s="51" t="s">
        <v>53</v>
      </c>
      <c r="B15" s="2">
        <v>808</v>
      </c>
      <c r="C15" s="2">
        <v>665</v>
      </c>
      <c r="D15" s="2">
        <v>717</v>
      </c>
      <c r="E15" s="2">
        <v>1613</v>
      </c>
      <c r="F15" s="58">
        <f>SUM(B15:E15)</f>
        <v>3803</v>
      </c>
      <c r="G15" s="2">
        <v>809</v>
      </c>
      <c r="H15" s="2">
        <v>656</v>
      </c>
      <c r="I15" s="2">
        <v>729</v>
      </c>
      <c r="J15" s="2">
        <v>1627</v>
      </c>
      <c r="K15" s="58">
        <f>SUM(G15:J15)</f>
        <v>3821</v>
      </c>
      <c r="L15" s="2">
        <v>854</v>
      </c>
      <c r="M15" s="2">
        <v>694</v>
      </c>
      <c r="N15" s="2">
        <v>740</v>
      </c>
      <c r="O15" s="2">
        <v>1640</v>
      </c>
      <c r="P15" s="58">
        <f>SUM(L15:O15)</f>
        <v>3928</v>
      </c>
      <c r="Q15" s="2">
        <v>864</v>
      </c>
      <c r="R15" s="2">
        <v>659</v>
      </c>
    </row>
    <row r="16" spans="1:21" x14ac:dyDescent="0.25">
      <c r="A16" s="52" t="s">
        <v>141</v>
      </c>
      <c r="B16" s="52"/>
      <c r="C16" s="52"/>
      <c r="D16" s="52">
        <v>0.05</v>
      </c>
      <c r="E16" s="52">
        <v>0.01</v>
      </c>
      <c r="F16" s="63">
        <v>0.1</v>
      </c>
      <c r="G16" s="52">
        <v>0.01</v>
      </c>
      <c r="H16" s="52">
        <v>0</v>
      </c>
      <c r="I16" s="52">
        <v>-0.01</v>
      </c>
      <c r="J16" s="52">
        <v>-0.02</v>
      </c>
      <c r="K16" s="63">
        <v>-0.01</v>
      </c>
      <c r="L16" s="52">
        <v>-0.01</v>
      </c>
      <c r="M16" s="52">
        <v>0.01</v>
      </c>
      <c r="N16" s="52">
        <v>-0.02</v>
      </c>
      <c r="O16" s="52">
        <v>-0.03</v>
      </c>
      <c r="P16" s="63">
        <v>-0.02</v>
      </c>
      <c r="Q16" s="52">
        <v>0.02</v>
      </c>
      <c r="R16" s="52">
        <v>-0.09</v>
      </c>
      <c r="S16" s="52"/>
      <c r="T16" s="52"/>
    </row>
    <row r="17" spans="1:21" x14ac:dyDescent="0.25">
      <c r="A17" s="45" t="s">
        <v>159</v>
      </c>
      <c r="B17" s="45"/>
      <c r="C17" s="45"/>
      <c r="D17" s="45">
        <v>0.13</v>
      </c>
      <c r="E17" s="45">
        <v>0.09</v>
      </c>
      <c r="F17" s="61">
        <v>0.15</v>
      </c>
      <c r="G17" s="45">
        <v>0.06</v>
      </c>
      <c r="H17" s="45">
        <v>0.01</v>
      </c>
      <c r="I17" s="45">
        <v>0.02</v>
      </c>
      <c r="J17" s="45">
        <v>0</v>
      </c>
      <c r="K17" s="61">
        <v>0.02</v>
      </c>
      <c r="L17" s="45">
        <v>0.02</v>
      </c>
      <c r="M17" s="45">
        <v>0.04</v>
      </c>
      <c r="N17" s="45">
        <v>0</v>
      </c>
      <c r="O17" s="45">
        <v>-0.03</v>
      </c>
      <c r="P17" s="61">
        <v>0</v>
      </c>
      <c r="Q17" s="45">
        <v>-0.01</v>
      </c>
      <c r="R17" s="45">
        <v>-0.05</v>
      </c>
      <c r="S17" s="45"/>
      <c r="T17" s="45"/>
      <c r="U17" s="30"/>
    </row>
    <row r="18" spans="1:21" x14ac:dyDescent="0.25">
      <c r="A18" s="50" t="s">
        <v>153</v>
      </c>
      <c r="F18" s="58"/>
      <c r="K18" s="58"/>
      <c r="P18" s="58"/>
    </row>
    <row r="19" spans="1:21" x14ac:dyDescent="0.25">
      <c r="A19" s="51" t="s">
        <v>53</v>
      </c>
      <c r="B19" s="2">
        <v>586</v>
      </c>
      <c r="C19" s="2">
        <v>595</v>
      </c>
      <c r="D19" s="2">
        <v>486</v>
      </c>
      <c r="E19" s="2">
        <v>913</v>
      </c>
      <c r="F19" s="58">
        <f>SUM(B19:E19)</f>
        <v>2580</v>
      </c>
      <c r="G19" s="2">
        <v>539</v>
      </c>
      <c r="H19" s="2">
        <v>584</v>
      </c>
      <c r="I19" s="2">
        <v>496</v>
      </c>
      <c r="J19" s="2">
        <v>921</v>
      </c>
      <c r="K19" s="58">
        <f>SUM(G19:J19)</f>
        <v>2540</v>
      </c>
      <c r="L19" s="2">
        <v>565</v>
      </c>
      <c r="M19" s="2">
        <v>568</v>
      </c>
      <c r="N19" s="2">
        <v>466</v>
      </c>
      <c r="O19" s="2">
        <v>879</v>
      </c>
      <c r="P19" s="58">
        <f>SUM(L19:O19)</f>
        <v>2478</v>
      </c>
      <c r="Q19" s="2">
        <v>508</v>
      </c>
      <c r="R19" s="2">
        <v>529</v>
      </c>
    </row>
    <row r="20" spans="1:21" x14ac:dyDescent="0.25">
      <c r="A20" s="52" t="s">
        <v>141</v>
      </c>
      <c r="B20" s="52"/>
      <c r="C20" s="52"/>
      <c r="D20" s="52">
        <v>-0.05</v>
      </c>
      <c r="E20" s="52">
        <v>-0.09</v>
      </c>
      <c r="F20" s="63">
        <v>0.05</v>
      </c>
      <c r="G20" s="52">
        <v>-0.05</v>
      </c>
      <c r="H20" s="52">
        <v>-0.05</v>
      </c>
      <c r="I20" s="52">
        <v>-0.01</v>
      </c>
      <c r="J20" s="52">
        <v>-0.01</v>
      </c>
      <c r="K20" s="63">
        <v>-0.03</v>
      </c>
      <c r="L20" s="52">
        <v>-0.02</v>
      </c>
      <c r="M20" s="52">
        <v>-0.06</v>
      </c>
      <c r="N20" s="52">
        <v>-0.08</v>
      </c>
      <c r="O20" s="52">
        <v>-0.1</v>
      </c>
      <c r="P20" s="63">
        <v>-7.0000000000000007E-2</v>
      </c>
      <c r="Q20" s="52">
        <v>-0.09</v>
      </c>
      <c r="R20" s="52">
        <v>-0.08</v>
      </c>
      <c r="S20" s="52"/>
      <c r="T20" s="52"/>
    </row>
    <row r="21" spans="1:21" x14ac:dyDescent="0.25">
      <c r="A21" s="45" t="s">
        <v>159</v>
      </c>
      <c r="B21" s="45"/>
      <c r="C21" s="45"/>
      <c r="D21" s="45">
        <v>-0.08</v>
      </c>
      <c r="E21" s="45">
        <v>-0.05</v>
      </c>
      <c r="F21" s="61">
        <v>0.06</v>
      </c>
      <c r="G21" s="45">
        <v>-0.08</v>
      </c>
      <c r="H21" s="45">
        <v>-0.02</v>
      </c>
      <c r="I21" s="45">
        <v>0.02</v>
      </c>
      <c r="J21" s="45">
        <v>0.01</v>
      </c>
      <c r="K21" s="61">
        <v>-0.02</v>
      </c>
      <c r="L21" s="45">
        <v>0.05</v>
      </c>
      <c r="M21" s="45">
        <v>-0.03</v>
      </c>
      <c r="N21" s="45">
        <v>-7.0000000000000007E-2</v>
      </c>
      <c r="O21" s="45">
        <v>-0.05</v>
      </c>
      <c r="P21" s="61">
        <v>-0.03</v>
      </c>
      <c r="Q21" s="45">
        <v>-0.11</v>
      </c>
      <c r="R21" s="45">
        <v>-7.0000000000000007E-2</v>
      </c>
      <c r="S21" s="45"/>
      <c r="T21" s="45"/>
      <c r="U21" s="30"/>
    </row>
    <row r="22" spans="1:21" x14ac:dyDescent="0.25">
      <c r="A22" s="50" t="s">
        <v>154</v>
      </c>
      <c r="B22" s="52"/>
      <c r="C22" s="52"/>
      <c r="D22" s="52"/>
      <c r="E22" s="52"/>
      <c r="F22" s="63"/>
      <c r="G22" s="52"/>
      <c r="H22" s="52"/>
      <c r="I22" s="52"/>
      <c r="J22" s="52"/>
      <c r="K22" s="63"/>
      <c r="L22" s="52"/>
      <c r="M22" s="52"/>
      <c r="N22" s="52"/>
      <c r="O22" s="52"/>
      <c r="P22" s="63"/>
      <c r="Q22" s="52"/>
      <c r="R22" s="52"/>
      <c r="S22" s="52"/>
      <c r="T22" s="52"/>
    </row>
    <row r="23" spans="1:21" x14ac:dyDescent="0.25">
      <c r="A23" s="51" t="s">
        <v>53</v>
      </c>
      <c r="B23" s="2">
        <v>245</v>
      </c>
      <c r="C23" s="2">
        <v>246</v>
      </c>
      <c r="D23" s="2">
        <v>246</v>
      </c>
      <c r="E23" s="2">
        <v>535</v>
      </c>
      <c r="F23" s="58">
        <f>SUM(B23:E23)</f>
        <v>1272</v>
      </c>
      <c r="G23" s="2">
        <v>220</v>
      </c>
      <c r="H23" s="2">
        <v>218</v>
      </c>
      <c r="I23" s="2">
        <v>221</v>
      </c>
      <c r="J23" s="2">
        <v>502</v>
      </c>
      <c r="K23" s="58">
        <f>SUM(G23:J23)</f>
        <v>1161</v>
      </c>
      <c r="L23" s="2">
        <v>203</v>
      </c>
      <c r="M23" s="2">
        <v>211</v>
      </c>
      <c r="N23" s="2">
        <v>195</v>
      </c>
      <c r="O23" s="2">
        <v>486</v>
      </c>
      <c r="P23" s="58">
        <f>SUM(L23:O23)</f>
        <v>1095</v>
      </c>
      <c r="Q23" s="2">
        <v>234</v>
      </c>
      <c r="R23" s="2">
        <v>229</v>
      </c>
    </row>
    <row r="24" spans="1:21" x14ac:dyDescent="0.25">
      <c r="A24" s="52" t="s">
        <v>141</v>
      </c>
      <c r="B24" s="52"/>
      <c r="C24" s="52"/>
      <c r="D24" s="52">
        <v>0.4</v>
      </c>
      <c r="E24" s="52">
        <v>0.01</v>
      </c>
      <c r="F24" s="63">
        <v>0.06</v>
      </c>
      <c r="G24" s="52">
        <v>-0.05</v>
      </c>
      <c r="H24" s="52">
        <v>-0.05</v>
      </c>
      <c r="I24" s="52">
        <v>-0.08</v>
      </c>
      <c r="J24" s="52">
        <v>-0.06</v>
      </c>
      <c r="K24" s="63">
        <v>-0.06</v>
      </c>
      <c r="L24" s="52">
        <v>-0.03</v>
      </c>
      <c r="M24" s="52">
        <v>-0.08</v>
      </c>
      <c r="N24" s="52">
        <v>-0.02</v>
      </c>
      <c r="O24" s="52">
        <v>-0.04</v>
      </c>
      <c r="P24" s="63">
        <v>-0.04</v>
      </c>
      <c r="Q24" s="52">
        <v>0.02</v>
      </c>
      <c r="R24" s="52">
        <v>7.0000000000000007E-2</v>
      </c>
      <c r="S24" s="52"/>
      <c r="T24" s="52"/>
    </row>
    <row r="25" spans="1:21" x14ac:dyDescent="0.25">
      <c r="A25" s="45" t="s">
        <v>159</v>
      </c>
      <c r="B25" s="45"/>
      <c r="C25" s="45"/>
      <c r="D25" s="45">
        <v>0.33</v>
      </c>
      <c r="E25" s="45">
        <v>0.08</v>
      </c>
      <c r="F25" s="61">
        <v>0.09</v>
      </c>
      <c r="G25" s="45">
        <v>-0.09</v>
      </c>
      <c r="H25" s="45">
        <v>-0.03</v>
      </c>
      <c r="I25" s="45">
        <v>0.01</v>
      </c>
      <c r="J25" s="45">
        <v>-0.09</v>
      </c>
      <c r="K25" s="61">
        <v>-0.06</v>
      </c>
      <c r="L25" s="45">
        <v>-0.03</v>
      </c>
      <c r="M25" s="45">
        <v>-0.03</v>
      </c>
      <c r="N25" s="45">
        <v>-0.13</v>
      </c>
      <c r="O25" s="45">
        <v>0.05</v>
      </c>
      <c r="P25" s="61">
        <v>-0.02</v>
      </c>
      <c r="Q25" s="45">
        <v>0.17</v>
      </c>
      <c r="R25" s="45">
        <v>0.18</v>
      </c>
      <c r="S25" s="45"/>
      <c r="T25" s="45"/>
      <c r="U25" s="30"/>
    </row>
    <row r="26" spans="1:21" x14ac:dyDescent="0.25">
      <c r="A26" s="50" t="s">
        <v>155</v>
      </c>
      <c r="B26" s="51"/>
      <c r="C26" s="51"/>
      <c r="D26" s="51"/>
      <c r="E26" s="51"/>
      <c r="F26" s="58"/>
      <c r="G26" s="51"/>
      <c r="H26" s="51"/>
      <c r="I26" s="51"/>
      <c r="J26" s="51"/>
      <c r="K26" s="58"/>
      <c r="L26" s="51"/>
      <c r="M26" s="51"/>
      <c r="N26" s="51"/>
      <c r="O26" s="51"/>
      <c r="P26" s="58"/>
      <c r="Q26" s="51"/>
      <c r="R26" s="51"/>
      <c r="S26" s="51"/>
      <c r="T26" s="51"/>
    </row>
    <row r="27" spans="1:21" x14ac:dyDescent="0.25">
      <c r="A27" s="51" t="s">
        <v>53</v>
      </c>
      <c r="B27" s="2">
        <v>262</v>
      </c>
      <c r="C27" s="2">
        <v>237</v>
      </c>
      <c r="D27" s="2">
        <v>217</v>
      </c>
      <c r="E27" s="2">
        <v>475</v>
      </c>
      <c r="F27" s="58">
        <f>SUM(B27:E27)</f>
        <v>1191</v>
      </c>
      <c r="G27" s="2">
        <v>243</v>
      </c>
      <c r="H27" s="2">
        <v>231</v>
      </c>
      <c r="I27" s="2">
        <v>220</v>
      </c>
      <c r="J27" s="2">
        <v>502</v>
      </c>
      <c r="K27" s="58">
        <f>SUM(G27:J27)</f>
        <v>1196</v>
      </c>
      <c r="L27" s="2">
        <v>274</v>
      </c>
      <c r="M27" s="2">
        <v>261</v>
      </c>
      <c r="N27" s="2">
        <v>227</v>
      </c>
      <c r="O27" s="2">
        <v>456</v>
      </c>
      <c r="P27" s="58">
        <f>SUM(L27:O27)</f>
        <v>1218</v>
      </c>
      <c r="Q27" s="2">
        <v>255</v>
      </c>
      <c r="R27" s="2">
        <v>256</v>
      </c>
    </row>
    <row r="28" spans="1:21" x14ac:dyDescent="0.25">
      <c r="A28" s="52" t="s">
        <v>141</v>
      </c>
      <c r="B28" s="52"/>
      <c r="C28" s="52"/>
      <c r="D28" s="52">
        <v>-0.01</v>
      </c>
      <c r="E28" s="52">
        <v>-0.09</v>
      </c>
      <c r="F28" s="63">
        <v>0.04</v>
      </c>
      <c r="G28" s="52">
        <v>-0.05</v>
      </c>
      <c r="H28" s="52">
        <v>-0.05</v>
      </c>
      <c r="I28" s="52">
        <v>0.05</v>
      </c>
      <c r="J28" s="52">
        <v>0.06</v>
      </c>
      <c r="K28" s="63">
        <v>0.01</v>
      </c>
      <c r="L28" s="52">
        <v>0.02</v>
      </c>
      <c r="M28" s="52">
        <v>0</v>
      </c>
      <c r="N28" s="52">
        <v>-0.01</v>
      </c>
      <c r="O28" s="52">
        <v>-0.14000000000000001</v>
      </c>
      <c r="P28" s="63">
        <v>-0.05</v>
      </c>
      <c r="Q28" s="52">
        <v>-0.06</v>
      </c>
      <c r="R28" s="52">
        <v>-7.0000000000000007E-2</v>
      </c>
      <c r="S28" s="52"/>
      <c r="T28" s="52"/>
    </row>
    <row r="29" spans="1:21" x14ac:dyDescent="0.25">
      <c r="A29" s="45" t="s">
        <v>159</v>
      </c>
      <c r="B29" s="45"/>
      <c r="C29" s="45"/>
      <c r="D29" s="45">
        <v>-0.02</v>
      </c>
      <c r="E29" s="45">
        <v>-0.05</v>
      </c>
      <c r="F29" s="61">
        <v>0.06</v>
      </c>
      <c r="G29" s="45">
        <v>-7.0000000000000007E-2</v>
      </c>
      <c r="H29" s="45">
        <v>-0.03</v>
      </c>
      <c r="I29" s="45">
        <v>0.01</v>
      </c>
      <c r="J29" s="45">
        <v>0.06</v>
      </c>
      <c r="K29" s="61">
        <v>0</v>
      </c>
      <c r="L29" s="45">
        <v>0.12</v>
      </c>
      <c r="M29" s="45">
        <v>0.13</v>
      </c>
      <c r="N29" s="45">
        <v>0.03</v>
      </c>
      <c r="O29" s="45">
        <v>-0.09</v>
      </c>
      <c r="P29" s="61">
        <v>0.02</v>
      </c>
      <c r="Q29" s="45">
        <v>-7.0000000000000007E-2</v>
      </c>
      <c r="R29" s="45">
        <v>-0.02</v>
      </c>
      <c r="S29" s="45"/>
      <c r="T29" s="45"/>
      <c r="U29" s="30"/>
    </row>
    <row r="30" spans="1:21" x14ac:dyDescent="0.25">
      <c r="A30" s="50" t="s">
        <v>156</v>
      </c>
      <c r="B30" s="51"/>
      <c r="C30" s="51"/>
      <c r="D30" s="51"/>
      <c r="E30" s="51"/>
      <c r="F30" s="58"/>
      <c r="G30" s="51"/>
      <c r="H30" s="51"/>
      <c r="I30" s="51"/>
      <c r="J30" s="51"/>
      <c r="K30" s="58"/>
      <c r="L30" s="51"/>
      <c r="M30" s="51"/>
      <c r="N30" s="51"/>
      <c r="O30" s="51"/>
      <c r="P30" s="58"/>
      <c r="Q30" s="51"/>
      <c r="R30" s="51"/>
      <c r="S30" s="51"/>
      <c r="T30" s="51"/>
    </row>
    <row r="31" spans="1:21" x14ac:dyDescent="0.25">
      <c r="A31" s="51" t="s">
        <v>53</v>
      </c>
      <c r="B31" s="2">
        <v>273</v>
      </c>
      <c r="C31" s="2">
        <v>285</v>
      </c>
      <c r="D31" s="2">
        <v>254</v>
      </c>
      <c r="E31" s="2">
        <v>494</v>
      </c>
      <c r="F31" s="58">
        <f>SUM(B31:E31)</f>
        <v>1306</v>
      </c>
      <c r="G31" s="2">
        <v>269</v>
      </c>
      <c r="H31" s="2">
        <v>295</v>
      </c>
      <c r="I31" s="2">
        <v>301</v>
      </c>
      <c r="J31" s="2">
        <v>662</v>
      </c>
      <c r="K31" s="58">
        <f>SUM(G31:J31)</f>
        <v>1527</v>
      </c>
      <c r="L31" s="2">
        <v>472</v>
      </c>
      <c r="M31" s="2">
        <v>464</v>
      </c>
      <c r="N31" s="2">
        <v>431</v>
      </c>
      <c r="O31" s="2">
        <v>839</v>
      </c>
      <c r="P31" s="58">
        <f>SUM(L31:O31)</f>
        <v>2206</v>
      </c>
      <c r="Q31" s="2">
        <v>499</v>
      </c>
      <c r="R31" s="2">
        <v>472</v>
      </c>
    </row>
    <row r="32" spans="1:21" x14ac:dyDescent="0.25">
      <c r="A32" s="52" t="s">
        <v>141</v>
      </c>
      <c r="B32" s="52"/>
      <c r="C32" s="52"/>
      <c r="D32" s="52">
        <v>0.03</v>
      </c>
      <c r="E32" s="52">
        <v>-0.03</v>
      </c>
      <c r="F32" s="63">
        <v>0.18</v>
      </c>
      <c r="G32" s="52">
        <v>0.11</v>
      </c>
      <c r="H32" s="52">
        <v>0.11</v>
      </c>
      <c r="I32" s="52">
        <v>0.31</v>
      </c>
      <c r="J32" s="52">
        <v>0.39</v>
      </c>
      <c r="K32" s="63">
        <v>0.26</v>
      </c>
      <c r="L32" s="52">
        <v>0.67</v>
      </c>
      <c r="M32" s="52">
        <v>0.65</v>
      </c>
      <c r="N32" s="52">
        <v>0.42</v>
      </c>
      <c r="O32" s="52">
        <v>0.28000000000000003</v>
      </c>
      <c r="P32" s="63">
        <v>0.45</v>
      </c>
      <c r="Q32" s="52">
        <v>0.01</v>
      </c>
      <c r="R32" s="52">
        <v>-0.06</v>
      </c>
      <c r="S32" s="52"/>
      <c r="T32" s="52"/>
    </row>
    <row r="33" spans="1:21" ht="20" thickBot="1" x14ac:dyDescent="0.3">
      <c r="A33" s="54" t="s">
        <v>159</v>
      </c>
      <c r="B33" s="54"/>
      <c r="C33" s="54"/>
      <c r="D33" s="54">
        <v>-0.09</v>
      </c>
      <c r="E33" s="54">
        <v>-0.03</v>
      </c>
      <c r="F33" s="59">
        <v>0.1</v>
      </c>
      <c r="G33" s="54">
        <v>-0.02</v>
      </c>
      <c r="H33" s="54">
        <v>0.03</v>
      </c>
      <c r="I33" s="54">
        <v>0.18</v>
      </c>
      <c r="J33" s="54">
        <v>0.34</v>
      </c>
      <c r="K33" s="59">
        <v>0.17</v>
      </c>
      <c r="L33" s="54">
        <v>0.75</v>
      </c>
      <c r="M33" s="54">
        <v>0.56999999999999995</v>
      </c>
      <c r="N33" s="54">
        <v>0.43</v>
      </c>
      <c r="O33" s="54">
        <v>0.27</v>
      </c>
      <c r="P33" s="59">
        <v>0.44</v>
      </c>
      <c r="Q33" s="54">
        <v>0.06</v>
      </c>
      <c r="R33" s="54">
        <v>0.02</v>
      </c>
      <c r="S33" s="54"/>
      <c r="T33" s="54"/>
      <c r="U33" s="55"/>
    </row>
    <row r="34" spans="1:21" x14ac:dyDescent="0.25">
      <c r="A34" s="50" t="s">
        <v>157</v>
      </c>
      <c r="B34" s="53"/>
      <c r="C34" s="53"/>
      <c r="D34" s="53"/>
      <c r="E34" s="53"/>
      <c r="F34" s="63"/>
      <c r="G34" s="53"/>
      <c r="H34" s="53"/>
      <c r="I34" s="53"/>
      <c r="J34" s="53"/>
      <c r="K34" s="63"/>
      <c r="L34" s="53"/>
      <c r="M34" s="53"/>
      <c r="N34" s="53"/>
      <c r="O34" s="53"/>
      <c r="P34" s="63"/>
      <c r="Q34" s="53"/>
      <c r="R34" s="53"/>
      <c r="S34" s="53"/>
      <c r="T34" s="53"/>
    </row>
    <row r="35" spans="1:21" x14ac:dyDescent="0.25">
      <c r="A35" s="51" t="s">
        <v>53</v>
      </c>
      <c r="B35" s="12">
        <f t="shared" ref="B35:Q35" si="0">B7+B11+B15+B19+B23+B27+B31</f>
        <v>4078</v>
      </c>
      <c r="C35" s="12">
        <f t="shared" si="0"/>
        <v>4048</v>
      </c>
      <c r="D35" s="12">
        <f t="shared" si="0"/>
        <v>3679</v>
      </c>
      <c r="E35" s="12">
        <f t="shared" si="0"/>
        <v>6993</v>
      </c>
      <c r="F35" s="58">
        <f>SUM(B35:E35)</f>
        <v>18798</v>
      </c>
      <c r="G35" s="12">
        <f t="shared" si="0"/>
        <v>3957</v>
      </c>
      <c r="H35" s="12">
        <f t="shared" si="0"/>
        <v>3974</v>
      </c>
      <c r="I35" s="12">
        <f t="shared" si="0"/>
        <v>3665</v>
      </c>
      <c r="J35" s="12">
        <f t="shared" si="0"/>
        <v>7520</v>
      </c>
      <c r="K35" s="58">
        <f>SUM(G35:J35)</f>
        <v>19116</v>
      </c>
      <c r="L35" s="12">
        <f t="shared" si="0"/>
        <v>4505</v>
      </c>
      <c r="M35" s="12">
        <f t="shared" si="0"/>
        <v>4489</v>
      </c>
      <c r="N35" s="12">
        <f t="shared" si="0"/>
        <v>3939</v>
      </c>
      <c r="O35" s="12">
        <f t="shared" si="0"/>
        <v>8117</v>
      </c>
      <c r="P35" s="58">
        <f>SUM(L35:O35)</f>
        <v>21050</v>
      </c>
      <c r="Q35" s="12">
        <f t="shared" si="0"/>
        <v>4824</v>
      </c>
      <c r="R35" s="12">
        <f>R7+R11+R15+R19+R23+R27+R31</f>
        <v>4614</v>
      </c>
      <c r="S35" s="12">
        <f t="shared" ref="S35:T35" si="1">S7+S11+S15+S19+S23+S27+S31</f>
        <v>0</v>
      </c>
      <c r="T35" s="12">
        <f t="shared" si="1"/>
        <v>0</v>
      </c>
    </row>
    <row r="36" spans="1:21" x14ac:dyDescent="0.25">
      <c r="A36" s="52" t="s">
        <v>141</v>
      </c>
      <c r="B36" s="53"/>
      <c r="C36" s="53"/>
      <c r="D36" s="53">
        <v>-0.04</v>
      </c>
      <c r="E36" s="53">
        <v>-0.05</v>
      </c>
      <c r="F36" s="63">
        <v>-0.02</v>
      </c>
      <c r="G36" s="53">
        <v>-0.05</v>
      </c>
      <c r="H36" s="53">
        <v>-0.02</v>
      </c>
      <c r="I36" s="53">
        <v>0.03</v>
      </c>
      <c r="J36" s="53">
        <v>0.06</v>
      </c>
      <c r="K36" s="63">
        <v>0.01</v>
      </c>
      <c r="L36" s="53">
        <v>7.0000000000000007E-2</v>
      </c>
      <c r="M36" s="53">
        <v>0.05</v>
      </c>
      <c r="N36" s="53">
        <v>0.03</v>
      </c>
      <c r="O36" s="53">
        <v>0.03</v>
      </c>
      <c r="P36" s="63">
        <v>0.04</v>
      </c>
      <c r="Q36" s="53">
        <v>0.04</v>
      </c>
      <c r="R36" s="53">
        <v>0.01</v>
      </c>
      <c r="S36" s="53"/>
      <c r="T36" s="53"/>
    </row>
    <row r="37" spans="1:21" x14ac:dyDescent="0.25">
      <c r="A37" s="45" t="s">
        <v>159</v>
      </c>
      <c r="B37" s="46"/>
      <c r="C37" s="46"/>
      <c r="D37" s="46">
        <v>-0.02</v>
      </c>
      <c r="E37" s="46">
        <v>-0.01</v>
      </c>
      <c r="F37" s="61">
        <v>0.01</v>
      </c>
      <c r="G37" s="46">
        <v>-0.05</v>
      </c>
      <c r="H37" s="46">
        <v>-0.01</v>
      </c>
      <c r="I37" s="46">
        <v>0.04</v>
      </c>
      <c r="J37" s="46">
        <v>0.08</v>
      </c>
      <c r="K37" s="61">
        <v>0.02</v>
      </c>
      <c r="L37" s="46">
        <v>0.13</v>
      </c>
      <c r="M37" s="46">
        <v>0.11</v>
      </c>
      <c r="N37" s="46">
        <v>7.0000000000000007E-2</v>
      </c>
      <c r="O37" s="46">
        <v>0.06</v>
      </c>
      <c r="P37" s="61">
        <v>0.09</v>
      </c>
      <c r="Q37" s="46">
        <v>0.04</v>
      </c>
      <c r="R37" s="46">
        <v>0.05</v>
      </c>
      <c r="S37" s="46"/>
      <c r="T37" s="46"/>
      <c r="U37" s="30"/>
    </row>
    <row r="38" spans="1:21" x14ac:dyDescent="0.25">
      <c r="A38" s="50" t="s">
        <v>158</v>
      </c>
      <c r="F38" s="58"/>
      <c r="K38" s="58"/>
      <c r="P38" s="58"/>
    </row>
    <row r="39" spans="1:21" x14ac:dyDescent="0.25">
      <c r="A39" s="51" t="s">
        <v>53</v>
      </c>
      <c r="B39" s="1">
        <v>1612</v>
      </c>
      <c r="C39" s="1">
        <v>1607</v>
      </c>
      <c r="D39" s="1">
        <v>1585</v>
      </c>
      <c r="E39" s="1">
        <v>2865</v>
      </c>
      <c r="F39" s="58">
        <f>SUM(B39:E39)</f>
        <v>7669</v>
      </c>
      <c r="G39" s="1">
        <v>1892</v>
      </c>
      <c r="H39" s="1">
        <v>1922</v>
      </c>
      <c r="I39" s="1">
        <v>1906</v>
      </c>
      <c r="J39" s="1">
        <v>3341</v>
      </c>
      <c r="K39" s="58">
        <f>SUM(G39:J39)</f>
        <v>9061</v>
      </c>
      <c r="L39" s="1">
        <v>2328</v>
      </c>
      <c r="M39" s="1">
        <v>2281</v>
      </c>
      <c r="N39" s="1">
        <v>2165</v>
      </c>
      <c r="O39" s="1">
        <v>3856</v>
      </c>
      <c r="P39" s="58">
        <f>SUM(L39:O39)</f>
        <v>10630</v>
      </c>
      <c r="Q39" s="1">
        <v>2523</v>
      </c>
      <c r="R39" s="1">
        <v>2460</v>
      </c>
      <c r="S39" s="1"/>
      <c r="T39" s="1"/>
    </row>
    <row r="40" spans="1:21" x14ac:dyDescent="0.25">
      <c r="A40" s="52" t="s">
        <v>141</v>
      </c>
      <c r="B40" s="53"/>
      <c r="C40" s="53"/>
      <c r="D40" s="53">
        <v>0.17</v>
      </c>
      <c r="E40" s="53">
        <v>0.14000000000000001</v>
      </c>
      <c r="F40" s="63">
        <v>0.21</v>
      </c>
      <c r="G40" s="53">
        <v>0.12</v>
      </c>
      <c r="H40" s="53">
        <v>0.12</v>
      </c>
      <c r="I40" s="53">
        <v>0.22</v>
      </c>
      <c r="J40" s="53">
        <v>0.16</v>
      </c>
      <c r="K40" s="63">
        <v>0.16</v>
      </c>
      <c r="L40" s="53">
        <v>0.18</v>
      </c>
      <c r="M40" s="53">
        <v>0.13</v>
      </c>
      <c r="N40" s="53">
        <v>0.14000000000000001</v>
      </c>
      <c r="O40" s="53">
        <v>0.11</v>
      </c>
      <c r="P40" s="63">
        <v>0.13</v>
      </c>
      <c r="Q40" s="53">
        <v>0.08</v>
      </c>
      <c r="R40" s="53">
        <v>0.06</v>
      </c>
      <c r="S40" s="53"/>
      <c r="T40" s="53"/>
    </row>
    <row r="41" spans="1:21" x14ac:dyDescent="0.25">
      <c r="A41" s="45" t="s">
        <v>159</v>
      </c>
      <c r="B41" s="46"/>
      <c r="C41" s="46"/>
      <c r="D41" s="46">
        <v>0.15</v>
      </c>
      <c r="E41" s="46">
        <v>0.18</v>
      </c>
      <c r="F41" s="61">
        <v>0.23</v>
      </c>
      <c r="G41" s="46">
        <v>0.15</v>
      </c>
      <c r="H41" s="46">
        <v>0.21</v>
      </c>
      <c r="I41" s="46">
        <v>0.27</v>
      </c>
      <c r="J41" s="46">
        <v>0.2</v>
      </c>
      <c r="K41" s="61">
        <v>0.21</v>
      </c>
      <c r="L41" s="46">
        <v>0.28999999999999998</v>
      </c>
      <c r="M41" s="46">
        <v>0.24</v>
      </c>
      <c r="N41" s="46">
        <v>0.19</v>
      </c>
      <c r="O41" s="46">
        <v>0.21</v>
      </c>
      <c r="P41" s="61">
        <v>0.23</v>
      </c>
      <c r="Q41" s="46">
        <v>0.11</v>
      </c>
      <c r="R41" s="46">
        <v>0.13</v>
      </c>
      <c r="S41" s="46"/>
      <c r="T41" s="46"/>
      <c r="U41" s="30"/>
    </row>
    <row r="42" spans="1:21" x14ac:dyDescent="0.25">
      <c r="A42" s="50" t="s">
        <v>144</v>
      </c>
      <c r="F42" s="58"/>
      <c r="K42" s="58"/>
      <c r="P42" s="58"/>
    </row>
    <row r="43" spans="1:21" x14ac:dyDescent="0.25">
      <c r="A43" s="50" t="s">
        <v>53</v>
      </c>
      <c r="B43" s="12">
        <f t="shared" ref="B43:Q43" si="2">B35+B39</f>
        <v>5690</v>
      </c>
      <c r="C43" s="12">
        <f t="shared" si="2"/>
        <v>5655</v>
      </c>
      <c r="D43" s="12">
        <f t="shared" si="2"/>
        <v>5264</v>
      </c>
      <c r="E43" s="12">
        <f t="shared" si="2"/>
        <v>9858</v>
      </c>
      <c r="F43" s="58">
        <f>SUM(B43:E43)</f>
        <v>26467</v>
      </c>
      <c r="G43" s="12">
        <f t="shared" si="2"/>
        <v>5849</v>
      </c>
      <c r="H43" s="12">
        <f t="shared" si="2"/>
        <v>5896</v>
      </c>
      <c r="I43" s="12">
        <f t="shared" si="2"/>
        <v>5571</v>
      </c>
      <c r="J43" s="12">
        <f t="shared" si="2"/>
        <v>10861</v>
      </c>
      <c r="K43" s="58">
        <f>SUM(G43:J43)</f>
        <v>28177</v>
      </c>
      <c r="L43" s="12">
        <f t="shared" si="2"/>
        <v>6833</v>
      </c>
      <c r="M43" s="12">
        <f t="shared" si="2"/>
        <v>6770</v>
      </c>
      <c r="N43" s="12">
        <f t="shared" si="2"/>
        <v>6104</v>
      </c>
      <c r="O43" s="12">
        <f t="shared" si="2"/>
        <v>11973</v>
      </c>
      <c r="P43" s="58">
        <f>SUM(L43:O43)</f>
        <v>31680</v>
      </c>
      <c r="Q43" s="12">
        <f t="shared" si="2"/>
        <v>7347</v>
      </c>
      <c r="R43" s="12">
        <f>R35+R39</f>
        <v>7074</v>
      </c>
      <c r="S43" s="12">
        <f t="shared" ref="S43:T43" si="3">S35+S39</f>
        <v>0</v>
      </c>
      <c r="T43" s="12">
        <f t="shared" si="3"/>
        <v>0</v>
      </c>
    </row>
    <row r="44" spans="1:21" x14ac:dyDescent="0.25">
      <c r="A44" s="53" t="s">
        <v>141</v>
      </c>
      <c r="B44" s="53"/>
      <c r="C44" s="53"/>
      <c r="D44" s="53">
        <v>0.01</v>
      </c>
      <c r="E44" s="53">
        <v>-0.01</v>
      </c>
      <c r="F44" s="63">
        <v>0.04</v>
      </c>
      <c r="G44" s="53">
        <v>0</v>
      </c>
      <c r="H44" s="53">
        <v>0.01</v>
      </c>
      <c r="I44" s="53">
        <v>0.03</v>
      </c>
      <c r="J44" s="53">
        <v>0.09</v>
      </c>
      <c r="K44" s="63">
        <v>0.06</v>
      </c>
      <c r="L44" s="53">
        <v>0.11</v>
      </c>
      <c r="M44" s="53">
        <v>0.08</v>
      </c>
      <c r="N44" s="53">
        <v>7.0000000000000007E-2</v>
      </c>
      <c r="O44" s="53">
        <v>0.06</v>
      </c>
      <c r="P44" s="63">
        <v>7.0000000000000007E-2</v>
      </c>
      <c r="Q44" s="53">
        <v>0.06</v>
      </c>
      <c r="R44" s="53">
        <v>0.03</v>
      </c>
      <c r="S44" s="53"/>
      <c r="T44" s="53"/>
    </row>
    <row r="45" spans="1:21" x14ac:dyDescent="0.25">
      <c r="A45" s="46" t="s">
        <v>159</v>
      </c>
      <c r="B45" s="46"/>
      <c r="C45" s="46"/>
      <c r="D45" s="46">
        <v>0.03</v>
      </c>
      <c r="E45" s="46">
        <v>0.04</v>
      </c>
      <c r="F45" s="61">
        <v>7.0000000000000007E-2</v>
      </c>
      <c r="G45" s="46">
        <v>0.01</v>
      </c>
      <c r="H45" s="46">
        <v>0.03</v>
      </c>
      <c r="I45" s="46">
        <v>0.05</v>
      </c>
      <c r="J45" s="46">
        <v>0.12</v>
      </c>
      <c r="K45" s="61">
        <v>0.08</v>
      </c>
      <c r="L45" s="46">
        <v>0.18</v>
      </c>
      <c r="M45" s="46">
        <v>0.15</v>
      </c>
      <c r="N45" s="46">
        <v>0.11</v>
      </c>
      <c r="O45" s="46">
        <v>0.11</v>
      </c>
      <c r="P45" s="61">
        <v>0.13</v>
      </c>
      <c r="Q45" s="46">
        <v>7.0000000000000007E-2</v>
      </c>
      <c r="R45" s="46">
        <v>0.08</v>
      </c>
      <c r="S45" s="46"/>
      <c r="T45" s="46"/>
      <c r="U4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G17" sqref="G17"/>
    </sheetView>
  </sheetViews>
  <sheetFormatPr baseColWidth="10" defaultRowHeight="16" x14ac:dyDescent="0.2"/>
  <cols>
    <col min="3" max="3" width="29.5" bestFit="1" customWidth="1"/>
    <col min="4" max="4" width="28.5" bestFit="1" customWidth="1"/>
    <col min="5" max="6" width="20.6640625" bestFit="1" customWidth="1"/>
  </cols>
  <sheetData>
    <row r="4" spans="3:6" ht="62" x14ac:dyDescent="0.7">
      <c r="C4" s="28"/>
      <c r="D4" s="28">
        <v>2025</v>
      </c>
      <c r="E4" s="28">
        <v>2026</v>
      </c>
      <c r="F4" s="28">
        <v>2027</v>
      </c>
    </row>
    <row r="5" spans="3:6" ht="62" x14ac:dyDescent="0.7">
      <c r="C5" s="28" t="s">
        <v>29</v>
      </c>
      <c r="D5" s="35">
        <f>Modell!$B$9/Modell!AF9</f>
        <v>11.713396893824976</v>
      </c>
      <c r="E5" s="35">
        <f>Modell!$B$9/Modell!AG9</f>
        <v>11.155616089357119</v>
      </c>
      <c r="F5" s="35">
        <f>Modell!$B$9/Modell!AH9</f>
        <v>10.52691137452609</v>
      </c>
    </row>
    <row r="6" spans="3:6" ht="62" x14ac:dyDescent="0.7">
      <c r="C6" s="28" t="s">
        <v>30</v>
      </c>
      <c r="D6" s="35">
        <f>Modell!$B$4/Modell!AF16</f>
        <v>12.249782665560815</v>
      </c>
      <c r="E6" s="35">
        <f>Modell!$B$4/Modell!AG16</f>
        <v>11.623643295366023</v>
      </c>
      <c r="F6" s="35">
        <f>Modell!$B$4/Modell!AH16</f>
        <v>10.917496037098029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88D3-8920-4B4C-A6FE-8E4196A56417}">
  <dimension ref="A3:HG22"/>
  <sheetViews>
    <sheetView showGridLines="0" workbookViewId="0">
      <pane xSplit="3" ySplit="3" topLeftCell="T4" activePane="bottomRight" state="frozen"/>
      <selection pane="topRight" activeCell="D1" sqref="D1"/>
      <selection pane="bottomLeft" activeCell="A4" sqref="A4"/>
      <selection pane="bottomRight" activeCell="V29" sqref="V29"/>
    </sheetView>
  </sheetViews>
  <sheetFormatPr baseColWidth="10" defaultRowHeight="19" x14ac:dyDescent="0.25"/>
  <cols>
    <col min="1" max="1" width="13.1640625" style="2" customWidth="1"/>
    <col min="2" max="2" width="19.6640625" style="4" customWidth="1"/>
    <col min="3" max="3" width="31.5" style="2" customWidth="1"/>
    <col min="4" max="25" width="10.83203125" style="2"/>
    <col min="26" max="26" width="14.1640625" style="2" bestFit="1" customWidth="1"/>
    <col min="27" max="27" width="15.33203125" style="2" bestFit="1" customWidth="1"/>
    <col min="28" max="16384" width="10.83203125" style="2"/>
  </cols>
  <sheetData>
    <row r="3" spans="1:215" x14ac:dyDescent="0.25">
      <c r="A3" s="1" t="s">
        <v>40</v>
      </c>
      <c r="D3" s="7" t="s">
        <v>41</v>
      </c>
      <c r="E3" s="7" t="s">
        <v>42</v>
      </c>
      <c r="F3" s="7" t="s">
        <v>43</v>
      </c>
      <c r="G3" s="7" t="s">
        <v>44</v>
      </c>
      <c r="H3" s="7" t="s">
        <v>32</v>
      </c>
      <c r="I3" s="7" t="s">
        <v>33</v>
      </c>
      <c r="J3" s="7" t="s">
        <v>34</v>
      </c>
      <c r="K3" s="7" t="s">
        <v>15</v>
      </c>
      <c r="L3" s="7" t="s">
        <v>16</v>
      </c>
      <c r="M3" s="7" t="s">
        <v>17</v>
      </c>
      <c r="N3" s="1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</row>
    <row r="4" spans="1:215" x14ac:dyDescent="0.25">
      <c r="A4" s="1" t="s">
        <v>133</v>
      </c>
      <c r="C4" s="1" t="s">
        <v>53</v>
      </c>
      <c r="D4" s="12">
        <v>16737</v>
      </c>
      <c r="E4" s="12">
        <v>20281</v>
      </c>
      <c r="F4" s="12">
        <v>22781</v>
      </c>
      <c r="G4" s="12">
        <v>22806</v>
      </c>
      <c r="H4" s="12">
        <v>21868</v>
      </c>
      <c r="I4" s="12">
        <v>19009</v>
      </c>
      <c r="J4" s="12">
        <v>23394</v>
      </c>
      <c r="K4" s="12">
        <v>26463</v>
      </c>
      <c r="L4" s="12">
        <v>28136</v>
      </c>
      <c r="M4" s="12">
        <v>31680</v>
      </c>
      <c r="N4" s="13">
        <f>M4*1.06</f>
        <v>33580.800000000003</v>
      </c>
      <c r="O4" s="12">
        <f>N4</f>
        <v>33580.800000000003</v>
      </c>
      <c r="P4" s="12">
        <f t="shared" ref="P4:X4" si="0">O4</f>
        <v>33580.800000000003</v>
      </c>
      <c r="Q4" s="12">
        <f t="shared" si="0"/>
        <v>33580.800000000003</v>
      </c>
      <c r="R4" s="12">
        <f t="shared" si="0"/>
        <v>33580.800000000003</v>
      </c>
      <c r="S4" s="12">
        <f t="shared" si="0"/>
        <v>33580.800000000003</v>
      </c>
      <c r="T4" s="12">
        <f t="shared" si="0"/>
        <v>33580.800000000003</v>
      </c>
      <c r="U4" s="12">
        <f t="shared" si="0"/>
        <v>33580.800000000003</v>
      </c>
      <c r="V4" s="12">
        <f t="shared" si="0"/>
        <v>33580.800000000003</v>
      </c>
      <c r="W4" s="12">
        <f t="shared" si="0"/>
        <v>33580.800000000003</v>
      </c>
      <c r="X4" s="12">
        <f t="shared" si="0"/>
        <v>33580.800000000003</v>
      </c>
    </row>
    <row r="5" spans="1:215" x14ac:dyDescent="0.25">
      <c r="A5" s="34">
        <f>AA21</f>
        <v>609.11516772923324</v>
      </c>
      <c r="C5" s="2" t="s">
        <v>54</v>
      </c>
      <c r="D5" s="14">
        <v>-4544</v>
      </c>
      <c r="E5" s="14">
        <v>-5058</v>
      </c>
      <c r="F5" s="14">
        <v>-5815</v>
      </c>
      <c r="G5" s="14">
        <v>-5864</v>
      </c>
      <c r="H5" s="14">
        <v>-5966</v>
      </c>
      <c r="I5" s="14">
        <v>-4634</v>
      </c>
      <c r="J5" s="14">
        <v>-5590</v>
      </c>
      <c r="K5" s="14">
        <v>-6273</v>
      </c>
      <c r="L5" s="14">
        <v>-6012</v>
      </c>
      <c r="M5" s="14">
        <v>-6391</v>
      </c>
      <c r="N5" s="15">
        <f>N4*-0.205</f>
        <v>-6884.0640000000003</v>
      </c>
      <c r="O5" s="36">
        <f>O4*-0.25</f>
        <v>-8395.2000000000007</v>
      </c>
      <c r="P5" s="36">
        <f t="shared" ref="P5:X5" si="1">P4*-0.25</f>
        <v>-8395.2000000000007</v>
      </c>
      <c r="Q5" s="36">
        <f t="shared" si="1"/>
        <v>-8395.2000000000007</v>
      </c>
      <c r="R5" s="36">
        <f t="shared" si="1"/>
        <v>-8395.2000000000007</v>
      </c>
      <c r="S5" s="36">
        <f t="shared" si="1"/>
        <v>-8395.2000000000007</v>
      </c>
      <c r="T5" s="36">
        <f t="shared" si="1"/>
        <v>-8395.2000000000007</v>
      </c>
      <c r="U5" s="36">
        <f t="shared" si="1"/>
        <v>-8395.2000000000007</v>
      </c>
      <c r="V5" s="36">
        <f t="shared" si="1"/>
        <v>-8395.2000000000007</v>
      </c>
      <c r="W5" s="36">
        <f t="shared" si="1"/>
        <v>-8395.2000000000007</v>
      </c>
      <c r="X5" s="36">
        <f t="shared" si="1"/>
        <v>-8395.2000000000007</v>
      </c>
    </row>
    <row r="6" spans="1:215" x14ac:dyDescent="0.25">
      <c r="A6" s="25">
        <f>AA22</f>
        <v>-0.27881225701014301</v>
      </c>
      <c r="C6" s="2" t="s">
        <v>55</v>
      </c>
      <c r="D6" s="14">
        <f>SUM(D4:D5)</f>
        <v>12193</v>
      </c>
      <c r="E6" s="14">
        <f>SUM(E4:E5)</f>
        <v>15223</v>
      </c>
      <c r="F6" s="14">
        <f>SUM(F4:F5)</f>
        <v>16966</v>
      </c>
      <c r="G6" s="14">
        <f>SUM(G4:G5)</f>
        <v>16942</v>
      </c>
      <c r="H6" s="14">
        <f>SUM(H4:H5)</f>
        <v>15902</v>
      </c>
      <c r="I6" s="14">
        <f>SUM(I4:I5)</f>
        <v>14375</v>
      </c>
      <c r="J6" s="14">
        <f>SUM(J4:J5)</f>
        <v>17804</v>
      </c>
      <c r="K6" s="14">
        <f>SUM(K4:K5)</f>
        <v>20190</v>
      </c>
      <c r="L6" s="14">
        <f>SUM(L4:L5)</f>
        <v>22124</v>
      </c>
      <c r="M6" s="14">
        <f>SUM(M4:M5)</f>
        <v>25289</v>
      </c>
      <c r="N6" s="15">
        <f t="shared" ref="N6" si="2">SUM(N4:N5)</f>
        <v>26696.736000000004</v>
      </c>
      <c r="O6" s="14">
        <f t="shared" ref="N6:X6" si="3">SUM(O4:O5)</f>
        <v>25185.600000000002</v>
      </c>
      <c r="P6" s="14">
        <f t="shared" si="3"/>
        <v>25185.600000000002</v>
      </c>
      <c r="Q6" s="14">
        <f t="shared" si="3"/>
        <v>25185.600000000002</v>
      </c>
      <c r="R6" s="14">
        <f t="shared" si="3"/>
        <v>25185.600000000002</v>
      </c>
      <c r="S6" s="14">
        <f t="shared" si="3"/>
        <v>25185.600000000002</v>
      </c>
      <c r="T6" s="14">
        <f t="shared" si="3"/>
        <v>25185.600000000002</v>
      </c>
      <c r="U6" s="14">
        <f t="shared" si="3"/>
        <v>25185.600000000002</v>
      </c>
      <c r="V6" s="14">
        <f t="shared" si="3"/>
        <v>25185.600000000002</v>
      </c>
      <c r="W6" s="14">
        <f t="shared" si="3"/>
        <v>25185.600000000002</v>
      </c>
      <c r="X6" s="14">
        <f t="shared" si="3"/>
        <v>25185.600000000002</v>
      </c>
    </row>
    <row r="7" spans="1:215" x14ac:dyDescent="0.25">
      <c r="C7" s="2" t="s">
        <v>56</v>
      </c>
      <c r="D7" s="14">
        <v>-4722</v>
      </c>
      <c r="E7" s="14">
        <v>-5838</v>
      </c>
      <c r="F7" s="14">
        <v>-7045</v>
      </c>
      <c r="G7" s="14">
        <v>-8222</v>
      </c>
      <c r="H7" s="14">
        <v>-9305</v>
      </c>
      <c r="I7" s="14">
        <v>-9155</v>
      </c>
      <c r="J7" s="14">
        <v>-9939</v>
      </c>
      <c r="K7" s="14">
        <v>-11322</v>
      </c>
      <c r="L7" s="14">
        <v>-12707</v>
      </c>
      <c r="M7" s="14">
        <v>-14844</v>
      </c>
      <c r="N7" s="15">
        <f>M7*1.06</f>
        <v>-15734.640000000001</v>
      </c>
      <c r="O7" s="14">
        <f>N7*1.08</f>
        <v>-16993.411200000002</v>
      </c>
      <c r="P7" s="14">
        <f>O7</f>
        <v>-16993.411200000002</v>
      </c>
      <c r="Q7" s="14">
        <f t="shared" ref="Q7:X7" si="4">P7</f>
        <v>-16993.411200000002</v>
      </c>
      <c r="R7" s="14">
        <f t="shared" si="4"/>
        <v>-16993.411200000002</v>
      </c>
      <c r="S7" s="14">
        <f t="shared" si="4"/>
        <v>-16993.411200000002</v>
      </c>
      <c r="T7" s="14">
        <f t="shared" si="4"/>
        <v>-16993.411200000002</v>
      </c>
      <c r="U7" s="14">
        <f t="shared" si="4"/>
        <v>-16993.411200000002</v>
      </c>
      <c r="V7" s="14">
        <f t="shared" si="4"/>
        <v>-16993.411200000002</v>
      </c>
      <c r="W7" s="14">
        <f t="shared" si="4"/>
        <v>-16993.411200000002</v>
      </c>
      <c r="X7" s="14">
        <f t="shared" si="4"/>
        <v>-16993.411200000002</v>
      </c>
    </row>
    <row r="8" spans="1:215" x14ac:dyDescent="0.25">
      <c r="C8" s="2" t="s">
        <v>57</v>
      </c>
      <c r="D8" s="14">
        <v>-1657</v>
      </c>
      <c r="E8" s="14">
        <v>-1981</v>
      </c>
      <c r="F8" s="14">
        <v>-2137</v>
      </c>
      <c r="G8" s="14">
        <v>-2289</v>
      </c>
      <c r="H8" s="14">
        <v>-2770</v>
      </c>
      <c r="I8" s="14">
        <v>-2536</v>
      </c>
      <c r="J8" s="14">
        <v>-2026</v>
      </c>
      <c r="K8" s="14">
        <v>-2125</v>
      </c>
      <c r="L8" s="14">
        <v>-2379</v>
      </c>
      <c r="M8" s="14">
        <v>-2471</v>
      </c>
      <c r="N8" s="15">
        <f>M8*1.06</f>
        <v>-2619.2600000000002</v>
      </c>
      <c r="O8" s="14">
        <f>N8*1.08</f>
        <v>-2828.8008000000004</v>
      </c>
      <c r="P8" s="14">
        <f>O8</f>
        <v>-2828.8008000000004</v>
      </c>
      <c r="Q8" s="14">
        <f t="shared" ref="Q8:X8" si="5">P8</f>
        <v>-2828.8008000000004</v>
      </c>
      <c r="R8" s="14">
        <f t="shared" si="5"/>
        <v>-2828.8008000000004</v>
      </c>
      <c r="S8" s="14">
        <f t="shared" si="5"/>
        <v>-2828.8008000000004</v>
      </c>
      <c r="T8" s="14">
        <f t="shared" si="5"/>
        <v>-2828.8008000000004</v>
      </c>
      <c r="U8" s="14">
        <f t="shared" si="5"/>
        <v>-2828.8008000000004</v>
      </c>
      <c r="V8" s="14">
        <f t="shared" si="5"/>
        <v>-2828.8008000000004</v>
      </c>
      <c r="W8" s="14">
        <f t="shared" si="5"/>
        <v>-2828.8008000000004</v>
      </c>
      <c r="X8" s="14">
        <f t="shared" si="5"/>
        <v>-2828.8008000000004</v>
      </c>
    </row>
    <row r="9" spans="1:215" x14ac:dyDescent="0.25">
      <c r="C9" s="1" t="s">
        <v>58</v>
      </c>
      <c r="D9" s="12">
        <f>SUM(D6:D8)</f>
        <v>5814</v>
      </c>
      <c r="E9" s="12">
        <f>SUM(E6:E8)</f>
        <v>7404</v>
      </c>
      <c r="F9" s="12">
        <f>SUM(F6:F8)</f>
        <v>7784</v>
      </c>
      <c r="G9" s="12">
        <f>SUM(G6:G8)</f>
        <v>6431</v>
      </c>
      <c r="H9" s="12">
        <f>SUM(H6:H8)</f>
        <v>3827</v>
      </c>
      <c r="I9" s="12">
        <f>SUM(I6:I8)</f>
        <v>2684</v>
      </c>
      <c r="J9" s="12">
        <f>SUM(J6:J8)</f>
        <v>5839</v>
      </c>
      <c r="K9" s="12">
        <f>SUM(K6:K8)</f>
        <v>6743</v>
      </c>
      <c r="L9" s="12">
        <f>SUM(L6:L8)</f>
        <v>7038</v>
      </c>
      <c r="M9" s="12">
        <f>SUM(M6:M8)</f>
        <v>7974</v>
      </c>
      <c r="N9" s="13">
        <f t="shared" ref="N9" si="6">SUM(N6:N8)</f>
        <v>8342.836000000003</v>
      </c>
      <c r="O9" s="12">
        <f t="shared" ref="N9:X9" si="7">SUM(O6:O8)</f>
        <v>5363.387999999999</v>
      </c>
      <c r="P9" s="12">
        <f t="shared" si="7"/>
        <v>5363.387999999999</v>
      </c>
      <c r="Q9" s="12">
        <f t="shared" si="7"/>
        <v>5363.387999999999</v>
      </c>
      <c r="R9" s="12">
        <f t="shared" si="7"/>
        <v>5363.387999999999</v>
      </c>
      <c r="S9" s="12">
        <f t="shared" si="7"/>
        <v>5363.387999999999</v>
      </c>
      <c r="T9" s="12">
        <f t="shared" si="7"/>
        <v>5363.387999999999</v>
      </c>
      <c r="U9" s="12">
        <f t="shared" si="7"/>
        <v>5363.387999999999</v>
      </c>
      <c r="V9" s="12">
        <f t="shared" si="7"/>
        <v>5363.387999999999</v>
      </c>
      <c r="W9" s="12">
        <f t="shared" si="7"/>
        <v>5363.387999999999</v>
      </c>
      <c r="X9" s="12">
        <f t="shared" si="7"/>
        <v>5363.387999999999</v>
      </c>
    </row>
    <row r="10" spans="1:215" x14ac:dyDescent="0.25">
      <c r="C10" s="2" t="s">
        <v>59</v>
      </c>
      <c r="D10" s="14">
        <v>84</v>
      </c>
      <c r="E10" s="14">
        <v>328</v>
      </c>
      <c r="F10" s="14">
        <v>198</v>
      </c>
      <c r="G10" s="14">
        <v>533</v>
      </c>
      <c r="H10" s="14">
        <v>351</v>
      </c>
      <c r="I10" s="14">
        <v>316</v>
      </c>
      <c r="J10" s="14">
        <v>152</v>
      </c>
      <c r="K10" s="14">
        <v>412</v>
      </c>
      <c r="L10" s="14">
        <v>251</v>
      </c>
      <c r="M10" s="14">
        <v>248</v>
      </c>
      <c r="N10" s="15">
        <v>230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</row>
    <row r="11" spans="1:215" x14ac:dyDescent="0.25">
      <c r="C11" s="2" t="s">
        <v>60</v>
      </c>
      <c r="D11" s="14">
        <v>-553</v>
      </c>
      <c r="E11" s="14">
        <v>-82</v>
      </c>
      <c r="F11" s="14">
        <v>-315</v>
      </c>
      <c r="G11" s="14">
        <v>-382</v>
      </c>
      <c r="H11" s="14">
        <v>-351</v>
      </c>
      <c r="I11" s="14">
        <v>-507</v>
      </c>
      <c r="J11" s="14">
        <v>-613</v>
      </c>
      <c r="K11" s="14">
        <v>-622</v>
      </c>
      <c r="L11" s="14">
        <v>-1056</v>
      </c>
      <c r="M11" s="14">
        <v>-1297</v>
      </c>
      <c r="N11" s="15">
        <v>-1154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</row>
    <row r="12" spans="1:215" x14ac:dyDescent="0.25">
      <c r="C12" s="2" t="s">
        <v>61</v>
      </c>
      <c r="D12" s="14">
        <f>SUM(D9:D11)</f>
        <v>5345</v>
      </c>
      <c r="E12" s="14">
        <f>SUM(E9:E11)</f>
        <v>7650</v>
      </c>
      <c r="F12" s="14">
        <f>SUM(F9:F11)</f>
        <v>7667</v>
      </c>
      <c r="G12" s="14">
        <f>SUM(G9:G11)</f>
        <v>6582</v>
      </c>
      <c r="H12" s="14">
        <f>SUM(H9:H11)</f>
        <v>3827</v>
      </c>
      <c r="I12" s="14">
        <f>SUM(I9:I11)</f>
        <v>2493</v>
      </c>
      <c r="J12" s="14">
        <f>SUM(J9:J11)</f>
        <v>5378</v>
      </c>
      <c r="K12" s="14">
        <f>SUM(K9:K11)</f>
        <v>6533</v>
      </c>
      <c r="L12" s="14">
        <f>SUM(L9:L11)</f>
        <v>6233</v>
      </c>
      <c r="M12" s="14">
        <f>SUM(M9:M11)</f>
        <v>6925</v>
      </c>
      <c r="N12" s="15">
        <f t="shared" ref="N12" si="8">SUM(N9:N11)</f>
        <v>7418.836000000003</v>
      </c>
      <c r="O12" s="14">
        <f t="shared" ref="N12:X12" si="9">SUM(O9:O11)</f>
        <v>5363.387999999999</v>
      </c>
      <c r="P12" s="14">
        <f t="shared" si="9"/>
        <v>5363.387999999999</v>
      </c>
      <c r="Q12" s="14">
        <f t="shared" si="9"/>
        <v>5363.387999999999</v>
      </c>
      <c r="R12" s="14">
        <f t="shared" si="9"/>
        <v>5363.387999999999</v>
      </c>
      <c r="S12" s="14">
        <f t="shared" si="9"/>
        <v>5363.387999999999</v>
      </c>
      <c r="T12" s="14">
        <f t="shared" si="9"/>
        <v>5363.387999999999</v>
      </c>
      <c r="U12" s="14">
        <f t="shared" si="9"/>
        <v>5363.387999999999</v>
      </c>
      <c r="V12" s="14">
        <f t="shared" si="9"/>
        <v>5363.387999999999</v>
      </c>
      <c r="W12" s="14">
        <f t="shared" si="9"/>
        <v>5363.387999999999</v>
      </c>
      <c r="X12" s="14">
        <f t="shared" si="9"/>
        <v>5363.387999999999</v>
      </c>
    </row>
    <row r="13" spans="1:215" x14ac:dyDescent="0.25">
      <c r="C13" s="2" t="s">
        <v>62</v>
      </c>
      <c r="D13" s="14">
        <v>-1671</v>
      </c>
      <c r="E13" s="14">
        <v>-1625</v>
      </c>
      <c r="F13" s="14">
        <v>-1899</v>
      </c>
      <c r="G13" s="14">
        <v>-1537</v>
      </c>
      <c r="H13" s="14">
        <v>-884</v>
      </c>
      <c r="I13" s="14">
        <v>-556</v>
      </c>
      <c r="J13" s="14">
        <v>-1218</v>
      </c>
      <c r="K13" s="14">
        <v>-1504</v>
      </c>
      <c r="L13" s="14">
        <v>-1494</v>
      </c>
      <c r="M13" s="14">
        <v>-1699</v>
      </c>
      <c r="N13" s="15">
        <f>N12*-0.24</f>
        <v>-1780.5206400000006</v>
      </c>
      <c r="O13" s="36">
        <f t="shared" ref="O13:X13" si="10">O12*-0.24</f>
        <v>-1287.2131199999997</v>
      </c>
      <c r="P13" s="36">
        <f t="shared" si="10"/>
        <v>-1287.2131199999997</v>
      </c>
      <c r="Q13" s="36">
        <f t="shared" si="10"/>
        <v>-1287.2131199999997</v>
      </c>
      <c r="R13" s="36">
        <f t="shared" si="10"/>
        <v>-1287.2131199999997</v>
      </c>
      <c r="S13" s="36">
        <f t="shared" si="10"/>
        <v>-1287.2131199999997</v>
      </c>
      <c r="T13" s="36">
        <f t="shared" si="10"/>
        <v>-1287.2131199999997</v>
      </c>
      <c r="U13" s="36">
        <f t="shared" si="10"/>
        <v>-1287.2131199999997</v>
      </c>
      <c r="V13" s="36">
        <f t="shared" si="10"/>
        <v>-1287.2131199999997</v>
      </c>
      <c r="W13" s="36">
        <f t="shared" si="10"/>
        <v>-1287.2131199999997</v>
      </c>
      <c r="X13" s="36">
        <f t="shared" si="10"/>
        <v>-1287.2131199999997</v>
      </c>
    </row>
    <row r="14" spans="1:215" x14ac:dyDescent="0.25">
      <c r="C14" s="1" t="s">
        <v>63</v>
      </c>
      <c r="D14" s="12">
        <f>SUM(D12:D13)</f>
        <v>3674</v>
      </c>
      <c r="E14" s="12">
        <f>SUM(E12:E13)</f>
        <v>6025</v>
      </c>
      <c r="F14" s="12">
        <f>SUM(F12:F13)</f>
        <v>5768</v>
      </c>
      <c r="G14" s="12">
        <f>SUM(G12:G13)</f>
        <v>5045</v>
      </c>
      <c r="H14" s="12">
        <f>SUM(H12:H13)</f>
        <v>2943</v>
      </c>
      <c r="I14" s="12">
        <f>SUM(I12:I13)</f>
        <v>1937</v>
      </c>
      <c r="J14" s="12">
        <f>SUM(J12:J13)</f>
        <v>4160</v>
      </c>
      <c r="K14" s="12">
        <f>SUM(K12:K13)</f>
        <v>5029</v>
      </c>
      <c r="L14" s="12">
        <f>SUM(L12:L13)</f>
        <v>4739</v>
      </c>
      <c r="M14" s="12">
        <f>SUM(M12:M13)</f>
        <v>5226</v>
      </c>
      <c r="N14" s="13">
        <f t="shared" ref="N14" si="11">SUM(N12:N13)</f>
        <v>5638.3153600000023</v>
      </c>
      <c r="O14" s="12">
        <f t="shared" ref="N14:X14" si="12">SUM(O12:O13)</f>
        <v>4076.1748799999996</v>
      </c>
      <c r="P14" s="12">
        <f t="shared" si="12"/>
        <v>4076.1748799999996</v>
      </c>
      <c r="Q14" s="12">
        <f t="shared" si="12"/>
        <v>4076.1748799999996</v>
      </c>
      <c r="R14" s="12">
        <f t="shared" si="12"/>
        <v>4076.1748799999996</v>
      </c>
      <c r="S14" s="12">
        <f t="shared" si="12"/>
        <v>4076.1748799999996</v>
      </c>
      <c r="T14" s="12">
        <f t="shared" si="12"/>
        <v>4076.1748799999996</v>
      </c>
      <c r="U14" s="12">
        <f t="shared" si="12"/>
        <v>4076.1748799999996</v>
      </c>
      <c r="V14" s="12">
        <f t="shared" si="12"/>
        <v>4076.1748799999996</v>
      </c>
      <c r="W14" s="12">
        <f t="shared" si="12"/>
        <v>4076.1748799999996</v>
      </c>
      <c r="X14" s="12">
        <f t="shared" si="12"/>
        <v>4076.1748799999996</v>
      </c>
      <c r="Y14" s="12">
        <f>X14*(1+$AA$18)</f>
        <v>4035.4131311999995</v>
      </c>
      <c r="Z14" s="12">
        <f t="shared" ref="Z14:CK14" si="13">Y14*(1+$AA$18)</f>
        <v>3995.0589998879996</v>
      </c>
      <c r="AA14" s="12">
        <f t="shared" si="13"/>
        <v>3955.1084098891197</v>
      </c>
      <c r="AB14" s="12">
        <f t="shared" si="13"/>
        <v>3915.5573257902283</v>
      </c>
      <c r="AC14" s="12">
        <f t="shared" si="13"/>
        <v>3876.4017525323261</v>
      </c>
      <c r="AD14" s="12">
        <f t="shared" si="13"/>
        <v>3837.6377350070029</v>
      </c>
      <c r="AE14" s="12">
        <f t="shared" si="13"/>
        <v>3799.2613576569329</v>
      </c>
      <c r="AF14" s="12">
        <f t="shared" si="13"/>
        <v>3761.2687440803634</v>
      </c>
      <c r="AG14" s="12">
        <f t="shared" si="13"/>
        <v>3723.6560566395597</v>
      </c>
      <c r="AH14" s="12">
        <f t="shared" si="13"/>
        <v>3686.4194960731638</v>
      </c>
      <c r="AI14" s="12">
        <f t="shared" si="13"/>
        <v>3649.5553011124321</v>
      </c>
      <c r="AJ14" s="12">
        <f t="shared" si="13"/>
        <v>3613.0597481013078</v>
      </c>
      <c r="AK14" s="12">
        <f t="shared" si="13"/>
        <v>3576.9291506202949</v>
      </c>
      <c r="AL14" s="12">
        <f t="shared" si="13"/>
        <v>3541.1598591140919</v>
      </c>
      <c r="AM14" s="12">
        <f t="shared" si="13"/>
        <v>3505.7482605229511</v>
      </c>
      <c r="AN14" s="12">
        <f t="shared" si="13"/>
        <v>3470.6907779177218</v>
      </c>
      <c r="AO14" s="12">
        <f t="shared" si="13"/>
        <v>3435.9838701385447</v>
      </c>
      <c r="AP14" s="12">
        <f t="shared" si="13"/>
        <v>3401.6240314371594</v>
      </c>
      <c r="AQ14" s="12">
        <f t="shared" si="13"/>
        <v>3367.6077911227876</v>
      </c>
      <c r="AR14" s="12">
        <f t="shared" si="13"/>
        <v>3333.9317132115598</v>
      </c>
      <c r="AS14" s="12">
        <f t="shared" si="13"/>
        <v>3300.5923960794444</v>
      </c>
      <c r="AT14" s="12">
        <f t="shared" si="13"/>
        <v>3267.5864721186499</v>
      </c>
      <c r="AU14" s="12">
        <f t="shared" si="13"/>
        <v>3234.9106073974635</v>
      </c>
      <c r="AV14" s="12">
        <f t="shared" si="13"/>
        <v>3202.5615013234888</v>
      </c>
      <c r="AW14" s="12">
        <f t="shared" si="13"/>
        <v>3170.5358863102538</v>
      </c>
      <c r="AX14" s="12">
        <f t="shared" si="13"/>
        <v>3138.8305274471513</v>
      </c>
      <c r="AY14" s="12">
        <f t="shared" si="13"/>
        <v>3107.44222217268</v>
      </c>
      <c r="AZ14" s="12">
        <f t="shared" si="13"/>
        <v>3076.3677999509532</v>
      </c>
      <c r="BA14" s="12">
        <f t="shared" si="13"/>
        <v>3045.6041219514436</v>
      </c>
      <c r="BB14" s="12">
        <f t="shared" si="13"/>
        <v>3015.148080731929</v>
      </c>
      <c r="BC14" s="12">
        <f t="shared" si="13"/>
        <v>2984.9965999246097</v>
      </c>
      <c r="BD14" s="12">
        <f t="shared" si="13"/>
        <v>2955.1466339253634</v>
      </c>
      <c r="BE14" s="12">
        <f t="shared" si="13"/>
        <v>2925.5951675861097</v>
      </c>
      <c r="BF14" s="12">
        <f t="shared" si="13"/>
        <v>2896.3392159102486</v>
      </c>
      <c r="BG14" s="12">
        <f t="shared" si="13"/>
        <v>2867.3758237511461</v>
      </c>
      <c r="BH14" s="12">
        <f t="shared" si="13"/>
        <v>2838.7020655136348</v>
      </c>
      <c r="BI14" s="12">
        <f t="shared" si="13"/>
        <v>2810.3150448584984</v>
      </c>
      <c r="BJ14" s="12">
        <f t="shared" si="13"/>
        <v>2782.2118944099134</v>
      </c>
      <c r="BK14" s="12">
        <f t="shared" si="13"/>
        <v>2754.3897754658142</v>
      </c>
      <c r="BL14" s="12">
        <f t="shared" si="13"/>
        <v>2726.8458777111559</v>
      </c>
      <c r="BM14" s="12">
        <f t="shared" si="13"/>
        <v>2699.5774189340445</v>
      </c>
      <c r="BN14" s="12">
        <f t="shared" si="13"/>
        <v>2672.5816447447041</v>
      </c>
      <c r="BO14" s="12">
        <f t="shared" si="13"/>
        <v>2645.8558282972572</v>
      </c>
      <c r="BP14" s="12">
        <f t="shared" si="13"/>
        <v>2619.3972700142845</v>
      </c>
      <c r="BQ14" s="12">
        <f t="shared" si="13"/>
        <v>2593.2032973141418</v>
      </c>
      <c r="BR14" s="12">
        <f t="shared" si="13"/>
        <v>2567.2712643410005</v>
      </c>
      <c r="BS14" s="12">
        <f t="shared" si="13"/>
        <v>2541.5985516975902</v>
      </c>
      <c r="BT14" s="12">
        <f t="shared" si="13"/>
        <v>2516.1825661806142</v>
      </c>
      <c r="BU14" s="12">
        <f t="shared" si="13"/>
        <v>2491.020740518808</v>
      </c>
      <c r="BV14" s="12">
        <f t="shared" si="13"/>
        <v>2466.11053311362</v>
      </c>
      <c r="BW14" s="12">
        <f t="shared" si="13"/>
        <v>2441.4494277824838</v>
      </c>
      <c r="BX14" s="12">
        <f t="shared" si="13"/>
        <v>2417.034933504659</v>
      </c>
      <c r="BY14" s="12">
        <f t="shared" si="13"/>
        <v>2392.8645841696125</v>
      </c>
      <c r="BZ14" s="12">
        <f t="shared" si="13"/>
        <v>2368.9359383279166</v>
      </c>
      <c r="CA14" s="12">
        <f t="shared" si="13"/>
        <v>2345.2465789446373</v>
      </c>
      <c r="CB14" s="12">
        <f t="shared" si="13"/>
        <v>2321.7941131551911</v>
      </c>
      <c r="CC14" s="12">
        <f t="shared" si="13"/>
        <v>2298.5761720236392</v>
      </c>
      <c r="CD14" s="12">
        <f t="shared" si="13"/>
        <v>2275.5904103034027</v>
      </c>
      <c r="CE14" s="12">
        <f t="shared" si="13"/>
        <v>2252.8345062003687</v>
      </c>
      <c r="CF14" s="12">
        <f t="shared" si="13"/>
        <v>2230.306161138365</v>
      </c>
      <c r="CG14" s="12">
        <f t="shared" si="13"/>
        <v>2208.0030995269813</v>
      </c>
      <c r="CH14" s="12">
        <f t="shared" si="13"/>
        <v>2185.9230685317116</v>
      </c>
      <c r="CI14" s="12">
        <f t="shared" si="13"/>
        <v>2164.0638378463946</v>
      </c>
      <c r="CJ14" s="12">
        <f t="shared" si="13"/>
        <v>2142.4231994679308</v>
      </c>
      <c r="CK14" s="12">
        <f t="shared" si="13"/>
        <v>2120.9989674732515</v>
      </c>
      <c r="CL14" s="12">
        <f t="shared" ref="CL14:EW14" si="14">CK14*(1+$AA$18)</f>
        <v>2099.7889777985188</v>
      </c>
      <c r="CM14" s="12">
        <f t="shared" si="14"/>
        <v>2078.7910880205336</v>
      </c>
      <c r="CN14" s="12">
        <f t="shared" si="14"/>
        <v>2058.0031771403283</v>
      </c>
      <c r="CO14" s="12">
        <f t="shared" si="14"/>
        <v>2037.4231453689249</v>
      </c>
      <c r="CP14" s="12">
        <f t="shared" si="14"/>
        <v>2017.0489139152357</v>
      </c>
      <c r="CQ14" s="12">
        <f t="shared" si="14"/>
        <v>1996.8784247760834</v>
      </c>
      <c r="CR14" s="12">
        <f t="shared" si="14"/>
        <v>1976.9096405283226</v>
      </c>
      <c r="CS14" s="12">
        <f t="shared" si="14"/>
        <v>1957.1405441230393</v>
      </c>
      <c r="CT14" s="12">
        <f t="shared" si="14"/>
        <v>1937.5691386818089</v>
      </c>
      <c r="CU14" s="12">
        <f t="shared" si="14"/>
        <v>1918.1934472949908</v>
      </c>
      <c r="CV14" s="12">
        <f t="shared" si="14"/>
        <v>1899.0115128220409</v>
      </c>
      <c r="CW14" s="12">
        <f t="shared" si="14"/>
        <v>1880.0213976938205</v>
      </c>
      <c r="CX14" s="12">
        <f t="shared" si="14"/>
        <v>1861.2211837168823</v>
      </c>
      <c r="CY14" s="12">
        <f t="shared" si="14"/>
        <v>1842.6089718797134</v>
      </c>
      <c r="CZ14" s="12">
        <f t="shared" si="14"/>
        <v>1824.1828821609163</v>
      </c>
      <c r="DA14" s="12">
        <f t="shared" si="14"/>
        <v>1805.941053339307</v>
      </c>
      <c r="DB14" s="12">
        <f t="shared" si="14"/>
        <v>1787.881642805914</v>
      </c>
      <c r="DC14" s="12">
        <f t="shared" si="14"/>
        <v>1770.0028263778549</v>
      </c>
      <c r="DD14" s="12">
        <f t="shared" si="14"/>
        <v>1752.3027981140763</v>
      </c>
      <c r="DE14" s="12">
        <f t="shared" si="14"/>
        <v>1734.7797701329355</v>
      </c>
      <c r="DF14" s="12">
        <f t="shared" si="14"/>
        <v>1717.431972431606</v>
      </c>
      <c r="DG14" s="12">
        <f t="shared" si="14"/>
        <v>1700.2576527072899</v>
      </c>
      <c r="DH14" s="12">
        <f t="shared" si="14"/>
        <v>1683.255076180217</v>
      </c>
      <c r="DI14" s="12">
        <f t="shared" si="14"/>
        <v>1666.4225254184148</v>
      </c>
      <c r="DJ14" s="12">
        <f t="shared" si="14"/>
        <v>1649.7583001642306</v>
      </c>
      <c r="DK14" s="12">
        <f t="shared" si="14"/>
        <v>1633.2607171625882</v>
      </c>
      <c r="DL14" s="12">
        <f t="shared" si="14"/>
        <v>1616.9281099909624</v>
      </c>
      <c r="DM14" s="12">
        <f t="shared" si="14"/>
        <v>1600.7588288910529</v>
      </c>
      <c r="DN14" s="12">
        <f t="shared" si="14"/>
        <v>1584.7512406021424</v>
      </c>
      <c r="DO14" s="12">
        <f t="shared" si="14"/>
        <v>1568.9037281961209</v>
      </c>
      <c r="DP14" s="12">
        <f t="shared" si="14"/>
        <v>1553.2146909141597</v>
      </c>
      <c r="DQ14" s="12">
        <f t="shared" si="14"/>
        <v>1537.6825440050181</v>
      </c>
      <c r="DR14" s="12">
        <f t="shared" si="14"/>
        <v>1522.3057185649679</v>
      </c>
      <c r="DS14" s="12">
        <f t="shared" si="14"/>
        <v>1507.0826613793183</v>
      </c>
      <c r="DT14" s="12">
        <f t="shared" si="14"/>
        <v>1492.0118347655252</v>
      </c>
      <c r="DU14" s="12">
        <f t="shared" si="14"/>
        <v>1477.09171641787</v>
      </c>
      <c r="DV14" s="12">
        <f t="shared" si="14"/>
        <v>1462.3207992536913</v>
      </c>
      <c r="DW14" s="12">
        <f t="shared" si="14"/>
        <v>1447.6975912611545</v>
      </c>
      <c r="DX14" s="12">
        <f t="shared" si="14"/>
        <v>1433.2206153485429</v>
      </c>
      <c r="DY14" s="12">
        <f t="shared" si="14"/>
        <v>1418.8884091950574</v>
      </c>
      <c r="DZ14" s="12">
        <f t="shared" si="14"/>
        <v>1404.6995251031069</v>
      </c>
      <c r="EA14" s="12">
        <f t="shared" si="14"/>
        <v>1390.6525298520758</v>
      </c>
      <c r="EB14" s="12">
        <f t="shared" si="14"/>
        <v>1376.7460045535549</v>
      </c>
      <c r="EC14" s="12">
        <f t="shared" si="14"/>
        <v>1362.9785445080195</v>
      </c>
      <c r="ED14" s="12">
        <f t="shared" si="14"/>
        <v>1349.3487590629393</v>
      </c>
      <c r="EE14" s="12">
        <f t="shared" si="14"/>
        <v>1335.8552714723098</v>
      </c>
      <c r="EF14" s="12">
        <f t="shared" si="14"/>
        <v>1322.4967187575867</v>
      </c>
      <c r="EG14" s="12">
        <f t="shared" si="14"/>
        <v>1309.2717515700108</v>
      </c>
      <c r="EH14" s="12">
        <f t="shared" si="14"/>
        <v>1296.1790340543107</v>
      </c>
      <c r="EI14" s="12">
        <f t="shared" si="14"/>
        <v>1283.2172437137676</v>
      </c>
      <c r="EJ14" s="12">
        <f t="shared" si="14"/>
        <v>1270.38507127663</v>
      </c>
      <c r="EK14" s="12">
        <f t="shared" si="14"/>
        <v>1257.6812205638637</v>
      </c>
      <c r="EL14" s="12">
        <f t="shared" si="14"/>
        <v>1245.1044083582251</v>
      </c>
      <c r="EM14" s="12">
        <f t="shared" si="14"/>
        <v>1232.6533642746429</v>
      </c>
      <c r="EN14" s="12">
        <f t="shared" si="14"/>
        <v>1220.3268306318964</v>
      </c>
      <c r="EO14" s="12">
        <f t="shared" si="14"/>
        <v>1208.1235623255775</v>
      </c>
      <c r="EP14" s="12">
        <f t="shared" si="14"/>
        <v>1196.0423267023218</v>
      </c>
      <c r="EQ14" s="12">
        <f t="shared" si="14"/>
        <v>1184.0819034352985</v>
      </c>
      <c r="ER14" s="12">
        <f t="shared" si="14"/>
        <v>1172.2410844009455</v>
      </c>
      <c r="ES14" s="12">
        <f t="shared" si="14"/>
        <v>1160.5186735569359</v>
      </c>
      <c r="ET14" s="12">
        <f t="shared" si="14"/>
        <v>1148.9134868213666</v>
      </c>
      <c r="EU14" s="12">
        <f t="shared" si="14"/>
        <v>1137.4243519531531</v>
      </c>
      <c r="EV14" s="12">
        <f t="shared" si="14"/>
        <v>1126.0501084336215</v>
      </c>
      <c r="EW14" s="12">
        <f t="shared" si="14"/>
        <v>1114.7896073492852</v>
      </c>
      <c r="EX14" s="12">
        <f t="shared" ref="EX14:HG14" si="15">EW14*(1+$AA$18)</f>
        <v>1103.6417112757924</v>
      </c>
      <c r="EY14" s="12">
        <f t="shared" si="15"/>
        <v>1092.6052941630344</v>
      </c>
      <c r="EZ14" s="12">
        <f t="shared" si="15"/>
        <v>1081.679241221404</v>
      </c>
      <c r="FA14" s="12">
        <f t="shared" si="15"/>
        <v>1070.86244880919</v>
      </c>
      <c r="FB14" s="12">
        <f t="shared" si="15"/>
        <v>1060.1538243210982</v>
      </c>
      <c r="FC14" s="12">
        <f t="shared" si="15"/>
        <v>1049.5522860778872</v>
      </c>
      <c r="FD14" s="12">
        <f t="shared" si="15"/>
        <v>1039.0567632171083</v>
      </c>
      <c r="FE14" s="12">
        <f t="shared" si="15"/>
        <v>1028.6661955849372</v>
      </c>
      <c r="FF14" s="12">
        <f t="shared" si="15"/>
        <v>1018.3795336290879</v>
      </c>
      <c r="FG14" s="12">
        <f t="shared" si="15"/>
        <v>1008.1957382927969</v>
      </c>
      <c r="FH14" s="12">
        <f t="shared" si="15"/>
        <v>998.11378090986898</v>
      </c>
      <c r="FI14" s="12">
        <f t="shared" si="15"/>
        <v>988.13264310077022</v>
      </c>
      <c r="FJ14" s="12">
        <f t="shared" si="15"/>
        <v>978.25131666976256</v>
      </c>
      <c r="FK14" s="12">
        <f t="shared" si="15"/>
        <v>968.46880350306492</v>
      </c>
      <c r="FL14" s="12">
        <f t="shared" si="15"/>
        <v>958.78411546803432</v>
      </c>
      <c r="FM14" s="12">
        <f t="shared" si="15"/>
        <v>949.19627431335391</v>
      </c>
      <c r="FN14" s="12">
        <f t="shared" si="15"/>
        <v>939.7043115702204</v>
      </c>
      <c r="FO14" s="12">
        <f t="shared" si="15"/>
        <v>930.30726845451818</v>
      </c>
      <c r="FP14" s="12">
        <f t="shared" si="15"/>
        <v>921.00419576997297</v>
      </c>
      <c r="FQ14" s="12">
        <f t="shared" si="15"/>
        <v>911.79415381227318</v>
      </c>
      <c r="FR14" s="12">
        <f t="shared" si="15"/>
        <v>902.67621227415043</v>
      </c>
      <c r="FS14" s="12">
        <f t="shared" si="15"/>
        <v>893.64945015140893</v>
      </c>
      <c r="FT14" s="12">
        <f t="shared" si="15"/>
        <v>884.71295564989487</v>
      </c>
      <c r="FU14" s="12">
        <f t="shared" si="15"/>
        <v>875.86582609339587</v>
      </c>
      <c r="FV14" s="12">
        <f t="shared" si="15"/>
        <v>867.10716783246187</v>
      </c>
      <c r="FW14" s="12">
        <f t="shared" si="15"/>
        <v>858.4360961541372</v>
      </c>
      <c r="FX14" s="12">
        <f t="shared" si="15"/>
        <v>849.85173519259581</v>
      </c>
      <c r="FY14" s="12">
        <f t="shared" si="15"/>
        <v>841.3532178406698</v>
      </c>
      <c r="FZ14" s="12">
        <f t="shared" si="15"/>
        <v>832.93968566226306</v>
      </c>
      <c r="GA14" s="12">
        <f t="shared" si="15"/>
        <v>824.61028880564038</v>
      </c>
      <c r="GB14" s="12">
        <f t="shared" si="15"/>
        <v>816.364185917584</v>
      </c>
      <c r="GC14" s="12">
        <f t="shared" si="15"/>
        <v>808.20054405840813</v>
      </c>
      <c r="GD14" s="12">
        <f t="shared" si="15"/>
        <v>800.11853861782402</v>
      </c>
      <c r="GE14" s="12">
        <f t="shared" si="15"/>
        <v>792.11735323164578</v>
      </c>
      <c r="GF14" s="12">
        <f t="shared" si="15"/>
        <v>784.19617969932926</v>
      </c>
      <c r="GG14" s="12">
        <f t="shared" si="15"/>
        <v>776.35421790233602</v>
      </c>
      <c r="GH14" s="12">
        <f t="shared" si="15"/>
        <v>768.59067572331264</v>
      </c>
      <c r="GI14" s="12">
        <f t="shared" si="15"/>
        <v>760.90476896607947</v>
      </c>
      <c r="GJ14" s="12">
        <f t="shared" si="15"/>
        <v>753.2957212764187</v>
      </c>
      <c r="GK14" s="12">
        <f t="shared" si="15"/>
        <v>745.76276406365446</v>
      </c>
      <c r="GL14" s="12">
        <f t="shared" si="15"/>
        <v>738.30513642301787</v>
      </c>
      <c r="GM14" s="12">
        <f t="shared" si="15"/>
        <v>730.92208505878773</v>
      </c>
      <c r="GN14" s="12">
        <f t="shared" si="15"/>
        <v>723.61286420819988</v>
      </c>
      <c r="GO14" s="12">
        <f t="shared" si="15"/>
        <v>716.37673556611787</v>
      </c>
      <c r="GP14" s="12">
        <f t="shared" si="15"/>
        <v>709.21296821045667</v>
      </c>
      <c r="GQ14" s="12">
        <f t="shared" si="15"/>
        <v>702.12083852835212</v>
      </c>
      <c r="GR14" s="12">
        <f t="shared" si="15"/>
        <v>695.09963014306857</v>
      </c>
      <c r="GS14" s="12">
        <f t="shared" si="15"/>
        <v>688.14863384163789</v>
      </c>
      <c r="GT14" s="12">
        <f t="shared" si="15"/>
        <v>681.26714750322151</v>
      </c>
      <c r="GU14" s="12">
        <f t="shared" si="15"/>
        <v>674.45447602818933</v>
      </c>
      <c r="GV14" s="12">
        <f t="shared" si="15"/>
        <v>667.70993126790745</v>
      </c>
      <c r="GW14" s="12">
        <f t="shared" si="15"/>
        <v>661.0328319552284</v>
      </c>
      <c r="GX14" s="12">
        <f t="shared" si="15"/>
        <v>654.42250363567609</v>
      </c>
      <c r="GY14" s="12">
        <f t="shared" si="15"/>
        <v>647.87827859931929</v>
      </c>
      <c r="GZ14" s="12">
        <f t="shared" si="15"/>
        <v>641.3994958133261</v>
      </c>
      <c r="HA14" s="12">
        <f t="shared" si="15"/>
        <v>634.98550085519287</v>
      </c>
      <c r="HB14" s="12">
        <f t="shared" si="15"/>
        <v>628.63564584664095</v>
      </c>
      <c r="HC14" s="12">
        <f t="shared" si="15"/>
        <v>622.3492893881745</v>
      </c>
      <c r="HD14" s="12">
        <f t="shared" si="15"/>
        <v>616.12579649429279</v>
      </c>
      <c r="HE14" s="12">
        <f t="shared" si="15"/>
        <v>609.96453852934985</v>
      </c>
      <c r="HF14" s="12">
        <f t="shared" si="15"/>
        <v>603.8648931440564</v>
      </c>
      <c r="HG14" s="12">
        <f t="shared" si="15"/>
        <v>597.82624421261585</v>
      </c>
    </row>
    <row r="15" spans="1:215" x14ac:dyDescent="0.25">
      <c r="C15" s="2" t="s">
        <v>64</v>
      </c>
      <c r="D15" s="26">
        <v>119</v>
      </c>
      <c r="E15" s="26">
        <v>114</v>
      </c>
      <c r="F15" s="26">
        <v>111</v>
      </c>
      <c r="G15" s="26">
        <v>107</v>
      </c>
      <c r="H15" s="26">
        <v>97</v>
      </c>
      <c r="I15" s="26">
        <v>97</v>
      </c>
      <c r="J15" s="26">
        <v>99</v>
      </c>
      <c r="K15" s="26">
        <v>93</v>
      </c>
      <c r="L15" s="26">
        <v>85</v>
      </c>
      <c r="M15" s="26">
        <v>81</v>
      </c>
      <c r="N15" s="5">
        <v>79</v>
      </c>
      <c r="O15" s="26">
        <v>79</v>
      </c>
      <c r="P15" s="26">
        <v>79</v>
      </c>
      <c r="Q15" s="26">
        <v>79</v>
      </c>
      <c r="R15" s="26">
        <v>79</v>
      </c>
      <c r="S15" s="26">
        <v>79</v>
      </c>
      <c r="T15" s="26">
        <v>79</v>
      </c>
      <c r="U15" s="26">
        <v>79</v>
      </c>
      <c r="V15" s="26">
        <v>79</v>
      </c>
      <c r="W15" s="26">
        <v>79</v>
      </c>
      <c r="X15" s="26">
        <v>79</v>
      </c>
    </row>
    <row r="16" spans="1:215" x14ac:dyDescent="0.25">
      <c r="C16" s="2" t="s">
        <v>65</v>
      </c>
      <c r="D16" s="27">
        <f t="shared" ref="D16:K16" si="16">D14/D15</f>
        <v>30.873949579831933</v>
      </c>
      <c r="E16" s="27">
        <f t="shared" si="16"/>
        <v>52.850877192982459</v>
      </c>
      <c r="F16" s="27">
        <f t="shared" si="16"/>
        <v>51.963963963963963</v>
      </c>
      <c r="G16" s="27">
        <f t="shared" si="16"/>
        <v>47.149532710280376</v>
      </c>
      <c r="H16" s="27">
        <f t="shared" si="16"/>
        <v>30.340206185567009</v>
      </c>
      <c r="I16" s="27">
        <f t="shared" si="16"/>
        <v>19.969072164948454</v>
      </c>
      <c r="J16" s="27">
        <f t="shared" si="16"/>
        <v>42.020202020202021</v>
      </c>
      <c r="K16" s="27">
        <f t="shared" si="16"/>
        <v>54.075268817204304</v>
      </c>
      <c r="L16" s="27">
        <f>L14/L15</f>
        <v>55.752941176470586</v>
      </c>
      <c r="M16" s="27">
        <f>M14/M15</f>
        <v>64.518518518518519</v>
      </c>
      <c r="N16" s="21">
        <f t="shared" ref="N16:X16" si="17">N14/N15</f>
        <v>71.37108050632915</v>
      </c>
      <c r="O16" s="27">
        <f t="shared" si="17"/>
        <v>51.597150379746829</v>
      </c>
      <c r="P16" s="27">
        <f t="shared" si="17"/>
        <v>51.597150379746829</v>
      </c>
      <c r="Q16" s="27">
        <f t="shared" si="17"/>
        <v>51.597150379746829</v>
      </c>
      <c r="R16" s="27">
        <f t="shared" si="17"/>
        <v>51.597150379746829</v>
      </c>
      <c r="S16" s="27">
        <f t="shared" si="17"/>
        <v>51.597150379746829</v>
      </c>
      <c r="T16" s="27">
        <f t="shared" si="17"/>
        <v>51.597150379746829</v>
      </c>
      <c r="U16" s="27">
        <f t="shared" si="17"/>
        <v>51.597150379746829</v>
      </c>
      <c r="V16" s="27">
        <f t="shared" si="17"/>
        <v>51.597150379746829</v>
      </c>
      <c r="W16" s="27">
        <f t="shared" si="17"/>
        <v>51.597150379746829</v>
      </c>
      <c r="X16" s="27">
        <f t="shared" si="17"/>
        <v>51.597150379746829</v>
      </c>
    </row>
    <row r="17" spans="2:27" x14ac:dyDescent="0.25"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Z17" s="2" t="s">
        <v>124</v>
      </c>
      <c r="AA17" s="31">
        <v>0.08</v>
      </c>
    </row>
    <row r="18" spans="2:27" x14ac:dyDescent="0.25">
      <c r="C18" s="1" t="s">
        <v>38</v>
      </c>
      <c r="D18" s="14"/>
      <c r="E18" s="25">
        <f t="shared" ref="E18:L18" si="18">(E4-D4)/D4</f>
        <v>0.21174643006512517</v>
      </c>
      <c r="F18" s="25">
        <f t="shared" si="18"/>
        <v>0.12326808342783886</v>
      </c>
      <c r="G18" s="25">
        <f t="shared" si="18"/>
        <v>1.0974057328475484E-3</v>
      </c>
      <c r="H18" s="25">
        <f t="shared" si="18"/>
        <v>-4.112952731737262E-2</v>
      </c>
      <c r="I18" s="25">
        <f t="shared" si="18"/>
        <v>-0.13073897933052864</v>
      </c>
      <c r="J18" s="25">
        <f t="shared" si="18"/>
        <v>0.23068020411384083</v>
      </c>
      <c r="K18" s="25">
        <f t="shared" si="18"/>
        <v>0.13118748397024879</v>
      </c>
      <c r="L18" s="25">
        <f t="shared" si="18"/>
        <v>6.3220345387900084E-2</v>
      </c>
      <c r="M18" s="25">
        <f>(M4-L4)/L4</f>
        <v>0.12595962468012512</v>
      </c>
      <c r="N18" s="29">
        <f t="shared" ref="N18:X18" si="19">(N4-M4)/M4</f>
        <v>6.0000000000000095E-2</v>
      </c>
      <c r="O18" s="25">
        <f t="shared" si="19"/>
        <v>0</v>
      </c>
      <c r="P18" s="25">
        <f t="shared" si="19"/>
        <v>0</v>
      </c>
      <c r="Q18" s="25">
        <f t="shared" si="19"/>
        <v>0</v>
      </c>
      <c r="R18" s="25">
        <f t="shared" si="19"/>
        <v>0</v>
      </c>
      <c r="S18" s="25">
        <f t="shared" si="19"/>
        <v>0</v>
      </c>
      <c r="T18" s="25">
        <f t="shared" si="19"/>
        <v>0</v>
      </c>
      <c r="U18" s="25">
        <f t="shared" si="19"/>
        <v>0</v>
      </c>
      <c r="V18" s="25">
        <f t="shared" si="19"/>
        <v>0</v>
      </c>
      <c r="W18" s="25">
        <f t="shared" si="19"/>
        <v>0</v>
      </c>
      <c r="X18" s="25">
        <f t="shared" si="19"/>
        <v>0</v>
      </c>
      <c r="Z18" s="2" t="s">
        <v>125</v>
      </c>
      <c r="AA18" s="31">
        <v>-0.01</v>
      </c>
    </row>
    <row r="19" spans="2:27" x14ac:dyDescent="0.25">
      <c r="C19" s="1" t="s">
        <v>123</v>
      </c>
      <c r="D19" s="25">
        <v>0.15</v>
      </c>
      <c r="E19" s="25">
        <v>0.08</v>
      </c>
      <c r="F19" s="25">
        <v>0</v>
      </c>
      <c r="G19" s="25">
        <v>-0.04</v>
      </c>
      <c r="H19" s="25">
        <v>-0.08</v>
      </c>
      <c r="I19" s="25">
        <v>-0.12</v>
      </c>
      <c r="J19" s="25">
        <v>0.2</v>
      </c>
      <c r="K19" s="25">
        <v>0.04</v>
      </c>
      <c r="L19" s="25">
        <v>0.06</v>
      </c>
      <c r="M19" s="25">
        <v>7.0000000000000007E-2</v>
      </c>
      <c r="N19" s="4"/>
      <c r="Z19" s="30" t="s">
        <v>126</v>
      </c>
      <c r="AA19" s="32">
        <f>NPV(AA17,O14:HG14)</f>
        <v>48120.098250609422</v>
      </c>
    </row>
    <row r="20" spans="2:27" x14ac:dyDescent="0.25">
      <c r="C20" s="2" t="s">
        <v>45</v>
      </c>
      <c r="D20" s="19">
        <f t="shared" ref="D20:L20" si="20">D6/D4</f>
        <v>0.72850570592101327</v>
      </c>
      <c r="E20" s="19">
        <f t="shared" si="20"/>
        <v>0.75060401360879636</v>
      </c>
      <c r="F20" s="19">
        <f t="shared" si="20"/>
        <v>0.74474342653966019</v>
      </c>
      <c r="G20" s="19">
        <f t="shared" si="20"/>
        <v>0.74287468210120144</v>
      </c>
      <c r="H20" s="19">
        <f t="shared" si="20"/>
        <v>0.72718126943479056</v>
      </c>
      <c r="I20" s="19">
        <f t="shared" si="20"/>
        <v>0.75622073754537322</v>
      </c>
      <c r="J20" s="19">
        <f t="shared" si="20"/>
        <v>0.76104984183978797</v>
      </c>
      <c r="K20" s="19">
        <f t="shared" si="20"/>
        <v>0.7629520462532593</v>
      </c>
      <c r="L20" s="19">
        <f t="shared" si="20"/>
        <v>0.78632357122547625</v>
      </c>
      <c r="M20" s="19">
        <f>M6/M4</f>
        <v>0.79826388888888888</v>
      </c>
      <c r="N20" s="20">
        <f t="shared" ref="N20:X20" si="21">N6/N4</f>
        <v>0.79500000000000004</v>
      </c>
      <c r="O20" s="19">
        <f t="shared" si="21"/>
        <v>0.75</v>
      </c>
      <c r="P20" s="19">
        <f t="shared" si="21"/>
        <v>0.75</v>
      </c>
      <c r="Q20" s="19">
        <f t="shared" si="21"/>
        <v>0.75</v>
      </c>
      <c r="R20" s="19">
        <f t="shared" si="21"/>
        <v>0.75</v>
      </c>
      <c r="S20" s="19">
        <f t="shared" si="21"/>
        <v>0.75</v>
      </c>
      <c r="T20" s="19">
        <f t="shared" si="21"/>
        <v>0.75</v>
      </c>
      <c r="U20" s="19">
        <f t="shared" si="21"/>
        <v>0.75</v>
      </c>
      <c r="V20" s="19">
        <f t="shared" si="21"/>
        <v>0.75</v>
      </c>
      <c r="W20" s="19">
        <f t="shared" si="21"/>
        <v>0.75</v>
      </c>
      <c r="X20" s="19">
        <f t="shared" si="21"/>
        <v>0.75</v>
      </c>
      <c r="Z20" s="2" t="s">
        <v>2</v>
      </c>
      <c r="AA20" s="26">
        <v>79</v>
      </c>
    </row>
    <row r="21" spans="2:27" x14ac:dyDescent="0.25">
      <c r="C21" s="2" t="s">
        <v>39</v>
      </c>
      <c r="D21" s="19">
        <f t="shared" ref="D21:L21" si="22">D9/D4</f>
        <v>0.34737408137659076</v>
      </c>
      <c r="E21" s="19">
        <f t="shared" si="22"/>
        <v>0.36507075587988758</v>
      </c>
      <c r="F21" s="19">
        <f t="shared" si="22"/>
        <v>0.34168824897941269</v>
      </c>
      <c r="G21" s="19">
        <f t="shared" si="22"/>
        <v>0.28198719635183722</v>
      </c>
      <c r="H21" s="19">
        <f t="shared" si="22"/>
        <v>0.17500457289189683</v>
      </c>
      <c r="I21" s="19">
        <f t="shared" si="22"/>
        <v>0.14119627544847177</v>
      </c>
      <c r="J21" s="19">
        <f t="shared" si="22"/>
        <v>0.24959391296913738</v>
      </c>
      <c r="K21" s="19">
        <f t="shared" si="22"/>
        <v>0.25480860068775268</v>
      </c>
      <c r="L21" s="19">
        <f t="shared" si="22"/>
        <v>0.25014216661927779</v>
      </c>
      <c r="M21" s="19">
        <f>M9/M4</f>
        <v>0.25170454545454546</v>
      </c>
      <c r="N21" s="20">
        <f t="shared" ref="N21:X21" si="23">N9/N4</f>
        <v>0.24844065656565664</v>
      </c>
      <c r="O21" s="19">
        <f t="shared" si="23"/>
        <v>0.15971590909090905</v>
      </c>
      <c r="P21" s="19">
        <f t="shared" si="23"/>
        <v>0.15971590909090905</v>
      </c>
      <c r="Q21" s="19">
        <f t="shared" si="23"/>
        <v>0.15971590909090905</v>
      </c>
      <c r="R21" s="19">
        <f t="shared" si="23"/>
        <v>0.15971590909090905</v>
      </c>
      <c r="S21" s="19">
        <f t="shared" si="23"/>
        <v>0.15971590909090905</v>
      </c>
      <c r="T21" s="19">
        <f t="shared" si="23"/>
        <v>0.15971590909090905</v>
      </c>
      <c r="U21" s="19">
        <f t="shared" si="23"/>
        <v>0.15971590909090905</v>
      </c>
      <c r="V21" s="19">
        <f t="shared" si="23"/>
        <v>0.15971590909090905</v>
      </c>
      <c r="W21" s="19">
        <f t="shared" si="23"/>
        <v>0.15971590909090905</v>
      </c>
      <c r="X21" s="19">
        <f t="shared" si="23"/>
        <v>0.15971590909090905</v>
      </c>
      <c r="Z21" s="2" t="s">
        <v>127</v>
      </c>
      <c r="AA21" s="33">
        <f>AA19/AA20</f>
        <v>609.11516772923324</v>
      </c>
    </row>
    <row r="22" spans="2:27" s="30" customFormat="1" x14ac:dyDescent="0.25">
      <c r="B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7"/>
      <c r="Z22" s="39" t="s">
        <v>128</v>
      </c>
      <c r="AA22" s="40">
        <f>(AA21-Modell!B4)/Modell!B4</f>
        <v>-0.27881225701014301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Info</vt:lpstr>
      <vt:lpstr>Modell</vt:lpstr>
      <vt:lpstr>Segementer</vt:lpstr>
      <vt:lpstr>Land</vt:lpstr>
      <vt:lpstr>Nøkkeltall</vt:lpstr>
      <vt:lpstr>Nedsideberegning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2025-08-17T11:10:48Z</dcterms:modified>
</cp:coreProperties>
</file>