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6638EEC0-3D89-FA49-96DE-6824A7A1F309}" xr6:coauthVersionLast="47" xr6:coauthVersionMax="47" xr10:uidLastSave="{00000000-0000-0000-0000-000000000000}"/>
  <bookViews>
    <workbookView xWindow="25080" yWindow="500" windowWidth="26120" windowHeight="26740" activeTab="7" xr2:uid="{5AE0DF26-B7DD-1242-A60E-253C73A930AF}"/>
  </bookViews>
  <sheets>
    <sheet name="Info" sheetId="1" r:id="rId1"/>
    <sheet name="Modell" sheetId="2" r:id="rId2"/>
    <sheet name="T&amp;T" sheetId="4" r:id="rId3"/>
    <sheet name="Mobile thermal sol" sheetId="6" r:id="rId4"/>
    <sheet name="Ringfender power trans" sheetId="7" r:id="rId5"/>
    <sheet name="Land" sheetId="5" r:id="rId6"/>
    <sheet name="SOTP" sheetId="9" r:id="rId7"/>
    <sheet name="Nøkkeltall" sheetId="3" r:id="rId8"/>
    <sheet name="Nedsideberegning" sheetId="8" r:id="rId9"/>
  </sheets>
  <definedNames>
    <definedName name="_xlchart.v1.0" hidden="1">SOTP!$A$56:$A$64</definedName>
    <definedName name="_xlchart.v1.1" hidden="1">SOTP!$B$56:$B$64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2" l="1"/>
  <c r="AL5" i="2"/>
  <c r="AM5" i="2"/>
  <c r="AN5" i="2"/>
  <c r="AO5" i="2"/>
  <c r="AP5" i="2"/>
  <c r="AQ5" i="2"/>
  <c r="AR5" i="2"/>
  <c r="AS5" i="2"/>
  <c r="AJ5" i="2"/>
  <c r="B8" i="2"/>
  <c r="B7" i="2"/>
  <c r="AJ4" i="2"/>
  <c r="AK4" i="2" s="1"/>
  <c r="AL4" i="2" s="1"/>
  <c r="AM4" i="2" s="1"/>
  <c r="AN4" i="2" s="1"/>
  <c r="AO4" i="2" s="1"/>
  <c r="AP4" i="2" s="1"/>
  <c r="AQ4" i="2" s="1"/>
  <c r="AR4" i="2" s="1"/>
  <c r="AS4" i="2" s="1"/>
  <c r="AF64" i="2"/>
  <c r="AF52" i="2"/>
  <c r="AF65" i="2" s="1"/>
  <c r="AF47" i="2"/>
  <c r="AG64" i="2"/>
  <c r="AG52" i="2"/>
  <c r="AG65" i="2" s="1"/>
  <c r="AG47" i="2"/>
  <c r="AH64" i="2"/>
  <c r="AH52" i="2"/>
  <c r="AH65" i="2" s="1"/>
  <c r="AH47" i="2"/>
  <c r="AI64" i="2"/>
  <c r="AI52" i="2"/>
  <c r="AI65" i="2" s="1"/>
  <c r="AI47" i="2"/>
  <c r="U76" i="2"/>
  <c r="U87" i="2"/>
  <c r="U82" i="2"/>
  <c r="U77" i="2"/>
  <c r="U93" i="2" s="1"/>
  <c r="U64" i="2"/>
  <c r="U52" i="2"/>
  <c r="U47" i="2"/>
  <c r="U21" i="2"/>
  <c r="U6" i="2"/>
  <c r="U24" i="2" s="1"/>
  <c r="U12" i="2"/>
  <c r="U13" i="2" s="1"/>
  <c r="U15" i="2" s="1"/>
  <c r="U17" i="2" s="1"/>
  <c r="U19" i="2" s="1"/>
  <c r="AL7" i="2"/>
  <c r="AM7" i="2" s="1"/>
  <c r="AN7" i="2" s="1"/>
  <c r="AO7" i="2" s="1"/>
  <c r="AP7" i="2" s="1"/>
  <c r="AQ7" i="2" s="1"/>
  <c r="AR7" i="2" s="1"/>
  <c r="AS7" i="2" s="1"/>
  <c r="AL8" i="2"/>
  <c r="AM8" i="2" s="1"/>
  <c r="AN8" i="2" s="1"/>
  <c r="AO8" i="2" s="1"/>
  <c r="AP8" i="2" s="1"/>
  <c r="AQ8" i="2" s="1"/>
  <c r="AR8" i="2" s="1"/>
  <c r="AS8" i="2" s="1"/>
  <c r="AL9" i="2"/>
  <c r="AM9" i="2" s="1"/>
  <c r="AN9" i="2" s="1"/>
  <c r="AO9" i="2" s="1"/>
  <c r="AP9" i="2" s="1"/>
  <c r="AQ9" i="2" s="1"/>
  <c r="AR9" i="2" s="1"/>
  <c r="AS9" i="2" s="1"/>
  <c r="AL10" i="2"/>
  <c r="AM10" i="2" s="1"/>
  <c r="AN10" i="2" s="1"/>
  <c r="AO10" i="2" s="1"/>
  <c r="AP10" i="2" s="1"/>
  <c r="AQ10" i="2" s="1"/>
  <c r="AR10" i="2" s="1"/>
  <c r="AS10" i="2" s="1"/>
  <c r="AL11" i="2"/>
  <c r="AM11" i="2" s="1"/>
  <c r="AN11" i="2" s="1"/>
  <c r="AO11" i="2" s="1"/>
  <c r="AP11" i="2" s="1"/>
  <c r="AQ11" i="2" s="1"/>
  <c r="AR11" i="2" s="1"/>
  <c r="AS11" i="2" s="1"/>
  <c r="AK8" i="2"/>
  <c r="AK9" i="2"/>
  <c r="AK10" i="2"/>
  <c r="AK11" i="2"/>
  <c r="AK7" i="2"/>
  <c r="F12" i="9"/>
  <c r="G12" i="9" s="1"/>
  <c r="B61" i="9" s="1"/>
  <c r="T79" i="2"/>
  <c r="T76" i="2"/>
  <c r="T87" i="2"/>
  <c r="T82" i="2"/>
  <c r="T77" i="2"/>
  <c r="T91" i="2" s="1"/>
  <c r="T68" i="2"/>
  <c r="T52" i="2"/>
  <c r="T64" i="2"/>
  <c r="T47" i="2"/>
  <c r="T15" i="2"/>
  <c r="T21" i="2"/>
  <c r="T12" i="2"/>
  <c r="T23" i="2" s="1"/>
  <c r="T6" i="2"/>
  <c r="T24" i="2" s="1"/>
  <c r="B12" i="2"/>
  <c r="S79" i="2"/>
  <c r="S76" i="2"/>
  <c r="S12" i="2"/>
  <c r="S13" i="2" s="1"/>
  <c r="S15" i="2" s="1"/>
  <c r="S17" i="2" s="1"/>
  <c r="S6" i="2"/>
  <c r="U15" i="4"/>
  <c r="U24" i="5"/>
  <c r="Z28" i="6"/>
  <c r="Y28" i="6"/>
  <c r="X28" i="6"/>
  <c r="W28" i="6"/>
  <c r="Z27" i="6"/>
  <c r="Y27" i="6"/>
  <c r="X27" i="6"/>
  <c r="W27" i="6"/>
  <c r="AA26" i="6"/>
  <c r="Z25" i="6"/>
  <c r="Y25" i="6"/>
  <c r="X25" i="6"/>
  <c r="W25" i="6"/>
  <c r="AA24" i="6"/>
  <c r="Z23" i="6"/>
  <c r="Y23" i="6"/>
  <c r="X23" i="6"/>
  <c r="W23" i="6"/>
  <c r="AA22" i="6"/>
  <c r="AA23" i="6" s="1"/>
  <c r="Z21" i="6"/>
  <c r="Y21" i="6"/>
  <c r="X21" i="6"/>
  <c r="W21" i="6"/>
  <c r="AA20" i="6"/>
  <c r="Z19" i="6"/>
  <c r="Y19" i="6"/>
  <c r="X19" i="6"/>
  <c r="W19" i="6"/>
  <c r="AA18" i="6"/>
  <c r="Z17" i="6"/>
  <c r="Y17" i="6"/>
  <c r="X17" i="6"/>
  <c r="W17" i="6"/>
  <c r="AA16" i="6"/>
  <c r="Z15" i="6"/>
  <c r="Y15" i="6"/>
  <c r="X15" i="6"/>
  <c r="W15" i="6"/>
  <c r="AA14" i="6"/>
  <c r="Z13" i="6"/>
  <c r="Y13" i="6"/>
  <c r="X13" i="6"/>
  <c r="W13" i="6"/>
  <c r="AA12" i="6"/>
  <c r="AA13" i="6" s="1"/>
  <c r="AA10" i="6"/>
  <c r="AA8" i="6"/>
  <c r="AA7" i="6"/>
  <c r="Z6" i="6"/>
  <c r="Y6" i="6"/>
  <c r="X6" i="6"/>
  <c r="W6" i="6"/>
  <c r="AA5" i="6"/>
  <c r="F8" i="9"/>
  <c r="G8" i="9" s="1"/>
  <c r="B57" i="9" s="1"/>
  <c r="F9" i="9"/>
  <c r="G9" i="9" s="1"/>
  <c r="B58" i="9" s="1"/>
  <c r="F7" i="9"/>
  <c r="G7" i="9" s="1"/>
  <c r="AJ8" i="2"/>
  <c r="AJ9" i="2"/>
  <c r="AJ10" i="2"/>
  <c r="AG79" i="2"/>
  <c r="AG76" i="2"/>
  <c r="AH79" i="2"/>
  <c r="AH76" i="2"/>
  <c r="F13" i="9"/>
  <c r="G13" i="9" s="1"/>
  <c r="B62" i="9" s="1"/>
  <c r="N79" i="2"/>
  <c r="N76" i="2"/>
  <c r="R79" i="2"/>
  <c r="R82" i="2" s="1"/>
  <c r="R76" i="2"/>
  <c r="R77" i="2" s="1"/>
  <c r="S87" i="2"/>
  <c r="R87" i="2"/>
  <c r="S82" i="2"/>
  <c r="S77" i="2"/>
  <c r="S93" i="2" s="1"/>
  <c r="S64" i="2"/>
  <c r="R64" i="2"/>
  <c r="S52" i="2"/>
  <c r="R52" i="2"/>
  <c r="S47" i="2"/>
  <c r="R47" i="2"/>
  <c r="R12" i="2"/>
  <c r="R13" i="2" s="1"/>
  <c r="R15" i="2" s="1"/>
  <c r="R17" i="2" s="1"/>
  <c r="R6" i="2"/>
  <c r="Z32" i="7"/>
  <c r="Y32" i="7"/>
  <c r="X32" i="7"/>
  <c r="W32" i="7"/>
  <c r="Z31" i="7"/>
  <c r="Y31" i="7"/>
  <c r="X31" i="7"/>
  <c r="W31" i="7"/>
  <c r="AA30" i="7"/>
  <c r="AA31" i="7" s="1"/>
  <c r="Z29" i="7"/>
  <c r="Y29" i="7"/>
  <c r="X29" i="7"/>
  <c r="W29" i="7"/>
  <c r="AA28" i="7"/>
  <c r="Z27" i="7"/>
  <c r="Y27" i="7"/>
  <c r="X27" i="7"/>
  <c r="W27" i="7"/>
  <c r="AA26" i="7"/>
  <c r="AA27" i="7" s="1"/>
  <c r="Z25" i="7"/>
  <c r="Y25" i="7"/>
  <c r="X25" i="7"/>
  <c r="W25" i="7"/>
  <c r="AA24" i="7"/>
  <c r="Z23" i="7"/>
  <c r="Y23" i="7"/>
  <c r="X23" i="7"/>
  <c r="W23" i="7"/>
  <c r="AA22" i="7"/>
  <c r="Z21" i="7"/>
  <c r="Y21" i="7"/>
  <c r="X21" i="7"/>
  <c r="W21" i="7"/>
  <c r="AA20" i="7"/>
  <c r="Z19" i="7"/>
  <c r="Y19" i="7"/>
  <c r="X19" i="7"/>
  <c r="W19" i="7"/>
  <c r="AA18" i="7"/>
  <c r="AA19" i="7" s="1"/>
  <c r="Z17" i="7"/>
  <c r="Y17" i="7"/>
  <c r="X17" i="7"/>
  <c r="W17" i="7"/>
  <c r="AA16" i="7"/>
  <c r="AA17" i="7" s="1"/>
  <c r="Z15" i="7"/>
  <c r="Y15" i="7"/>
  <c r="X15" i="7"/>
  <c r="W15" i="7"/>
  <c r="AA14" i="7"/>
  <c r="Z13" i="7"/>
  <c r="Y13" i="7"/>
  <c r="X13" i="7"/>
  <c r="W13" i="7"/>
  <c r="AA12" i="7"/>
  <c r="AA10" i="7"/>
  <c r="AA8" i="7"/>
  <c r="AA7" i="7"/>
  <c r="Z6" i="7"/>
  <c r="Y6" i="7"/>
  <c r="X6" i="7"/>
  <c r="W6" i="7"/>
  <c r="AA5" i="7"/>
  <c r="AA6" i="7" s="1"/>
  <c r="G32" i="7"/>
  <c r="L32" i="7"/>
  <c r="Q32" i="7"/>
  <c r="U32" i="7"/>
  <c r="V32" i="7" s="1"/>
  <c r="T32" i="7"/>
  <c r="G28" i="6"/>
  <c r="L28" i="6"/>
  <c r="Q28" i="6"/>
  <c r="Z30" i="4"/>
  <c r="Y30" i="4"/>
  <c r="X30" i="4"/>
  <c r="W30" i="4"/>
  <c r="Z29" i="4"/>
  <c r="Y29" i="4"/>
  <c r="X29" i="4"/>
  <c r="W29" i="4"/>
  <c r="AA28" i="4"/>
  <c r="Z27" i="4"/>
  <c r="Y27" i="4"/>
  <c r="X27" i="4"/>
  <c r="W27" i="4"/>
  <c r="AA26" i="4"/>
  <c r="Z25" i="4"/>
  <c r="Y25" i="4"/>
  <c r="X25" i="4"/>
  <c r="W25" i="4"/>
  <c r="AA24" i="4"/>
  <c r="Z23" i="4"/>
  <c r="Y23" i="4"/>
  <c r="X23" i="4"/>
  <c r="W23" i="4"/>
  <c r="AA22" i="4"/>
  <c r="AA23" i="4" s="1"/>
  <c r="Z21" i="4"/>
  <c r="Y21" i="4"/>
  <c r="X21" i="4"/>
  <c r="W21" i="4"/>
  <c r="AA20" i="4"/>
  <c r="AA21" i="4" s="1"/>
  <c r="Z19" i="4"/>
  <c r="Y19" i="4"/>
  <c r="X19" i="4"/>
  <c r="W19" i="4"/>
  <c r="AA18" i="4"/>
  <c r="AA19" i="4" s="1"/>
  <c r="Z17" i="4"/>
  <c r="Y17" i="4"/>
  <c r="X17" i="4"/>
  <c r="W17" i="4"/>
  <c r="AA16" i="4"/>
  <c r="AA17" i="4" s="1"/>
  <c r="Z15" i="4"/>
  <c r="Y15" i="4"/>
  <c r="X15" i="4"/>
  <c r="W15" i="4"/>
  <c r="AA14" i="4"/>
  <c r="Z13" i="4"/>
  <c r="Y13" i="4"/>
  <c r="X13" i="4"/>
  <c r="W13" i="4"/>
  <c r="AA12" i="4"/>
  <c r="AA10" i="4"/>
  <c r="AA8" i="4"/>
  <c r="AA7" i="4"/>
  <c r="Z6" i="4"/>
  <c r="Y6" i="4"/>
  <c r="X6" i="4"/>
  <c r="W6" i="4"/>
  <c r="AA5" i="4"/>
  <c r="G30" i="4"/>
  <c r="L30" i="4"/>
  <c r="Q30" i="4"/>
  <c r="Y24" i="5"/>
  <c r="X24" i="5"/>
  <c r="W24" i="5"/>
  <c r="AA24" i="5" s="1"/>
  <c r="Z23" i="5"/>
  <c r="Y23" i="5"/>
  <c r="X23" i="5"/>
  <c r="W23" i="5"/>
  <c r="AA22" i="5"/>
  <c r="Z21" i="5"/>
  <c r="Y21" i="5"/>
  <c r="X21" i="5"/>
  <c r="W21" i="5"/>
  <c r="AA20" i="5"/>
  <c r="Z19" i="5"/>
  <c r="Y19" i="5"/>
  <c r="X19" i="5"/>
  <c r="W19" i="5"/>
  <c r="AA18" i="5"/>
  <c r="Z17" i="5"/>
  <c r="Y17" i="5"/>
  <c r="X17" i="5"/>
  <c r="W17" i="5"/>
  <c r="AA16" i="5"/>
  <c r="Z15" i="5"/>
  <c r="Y15" i="5"/>
  <c r="X15" i="5"/>
  <c r="W15" i="5"/>
  <c r="AA14" i="5"/>
  <c r="Z13" i="5"/>
  <c r="Y13" i="5"/>
  <c r="X13" i="5"/>
  <c r="W13" i="5"/>
  <c r="AA12" i="5"/>
  <c r="Z11" i="5"/>
  <c r="Y11" i="5"/>
  <c r="X11" i="5"/>
  <c r="W11" i="5"/>
  <c r="AA10" i="5"/>
  <c r="Z9" i="5"/>
  <c r="Y9" i="5"/>
  <c r="X9" i="5"/>
  <c r="W9" i="5"/>
  <c r="AA8" i="5"/>
  <c r="AA9" i="5" s="1"/>
  <c r="Z7" i="5"/>
  <c r="Y7" i="5"/>
  <c r="X7" i="5"/>
  <c r="W7" i="5"/>
  <c r="AA6" i="5"/>
  <c r="AA7" i="5" s="1"/>
  <c r="Z5" i="5"/>
  <c r="Y5" i="5"/>
  <c r="X5" i="5"/>
  <c r="W5" i="5"/>
  <c r="AA4" i="5"/>
  <c r="G24" i="5"/>
  <c r="L24" i="5"/>
  <c r="Q24" i="5"/>
  <c r="V24" i="5"/>
  <c r="T24" i="5"/>
  <c r="A5" i="8"/>
  <c r="O7" i="8"/>
  <c r="P7" i="8" s="1"/>
  <c r="Q7" i="8" s="1"/>
  <c r="R7" i="8" s="1"/>
  <c r="S7" i="8" s="1"/>
  <c r="T7" i="8" s="1"/>
  <c r="U7" i="8" s="1"/>
  <c r="V7" i="8" s="1"/>
  <c r="W7" i="8" s="1"/>
  <c r="X7" i="8" s="1"/>
  <c r="P8" i="8"/>
  <c r="Q8" i="8"/>
  <c r="R8" i="8" s="1"/>
  <c r="S8" i="8" s="1"/>
  <c r="T8" i="8" s="1"/>
  <c r="U8" i="8" s="1"/>
  <c r="V8" i="8" s="1"/>
  <c r="W8" i="8" s="1"/>
  <c r="X8" i="8" s="1"/>
  <c r="P9" i="8"/>
  <c r="Q9" i="8" s="1"/>
  <c r="R9" i="8" s="1"/>
  <c r="S9" i="8" s="1"/>
  <c r="T9" i="8" s="1"/>
  <c r="U9" i="8" s="1"/>
  <c r="V9" i="8" s="1"/>
  <c r="W9" i="8" s="1"/>
  <c r="X9" i="8" s="1"/>
  <c r="P10" i="8"/>
  <c r="Q10" i="8"/>
  <c r="R10" i="8" s="1"/>
  <c r="S10" i="8" s="1"/>
  <c r="T10" i="8" s="1"/>
  <c r="U10" i="8" s="1"/>
  <c r="V10" i="8" s="1"/>
  <c r="W10" i="8" s="1"/>
  <c r="X10" i="8" s="1"/>
  <c r="P11" i="8"/>
  <c r="Q11" i="8" s="1"/>
  <c r="R11" i="8" s="1"/>
  <c r="S11" i="8" s="1"/>
  <c r="T11" i="8" s="1"/>
  <c r="U11" i="8" s="1"/>
  <c r="V11" i="8" s="1"/>
  <c r="W11" i="8" s="1"/>
  <c r="X11" i="8" s="1"/>
  <c r="O8" i="8"/>
  <c r="O9" i="8"/>
  <c r="O10" i="8"/>
  <c r="O11" i="8"/>
  <c r="P5" i="8"/>
  <c r="Q5" i="8"/>
  <c r="R5" i="8"/>
  <c r="S5" i="8"/>
  <c r="T5" i="8"/>
  <c r="U5" i="8"/>
  <c r="V5" i="8"/>
  <c r="W5" i="8"/>
  <c r="X5" i="8"/>
  <c r="O5" i="8"/>
  <c r="P4" i="8"/>
  <c r="Q4" i="8" s="1"/>
  <c r="R4" i="8" s="1"/>
  <c r="S4" i="8" s="1"/>
  <c r="T4" i="8" s="1"/>
  <c r="U4" i="8" s="1"/>
  <c r="V4" i="8" s="1"/>
  <c r="W4" i="8" s="1"/>
  <c r="X4" i="8" s="1"/>
  <c r="O4" i="8"/>
  <c r="E24" i="8"/>
  <c r="D24" i="8"/>
  <c r="E23" i="8"/>
  <c r="D23" i="8"/>
  <c r="M21" i="8"/>
  <c r="L21" i="8"/>
  <c r="K21" i="8"/>
  <c r="J21" i="8"/>
  <c r="I21" i="8"/>
  <c r="H21" i="8"/>
  <c r="G21" i="8"/>
  <c r="F21" i="8"/>
  <c r="E21" i="8"/>
  <c r="E19" i="8"/>
  <c r="D19" i="8"/>
  <c r="M15" i="8"/>
  <c r="M17" i="8" s="1"/>
  <c r="M19" i="8" s="1"/>
  <c r="M13" i="8"/>
  <c r="M24" i="8" s="1"/>
  <c r="I13" i="8"/>
  <c r="I24" i="8" s="1"/>
  <c r="H13" i="8"/>
  <c r="H24" i="8" s="1"/>
  <c r="G13" i="8"/>
  <c r="G24" i="8" s="1"/>
  <c r="M12" i="8"/>
  <c r="M22" i="8" s="1"/>
  <c r="L12" i="8"/>
  <c r="L22" i="8" s="1"/>
  <c r="K12" i="8"/>
  <c r="K22" i="8" s="1"/>
  <c r="J12" i="8"/>
  <c r="J22" i="8" s="1"/>
  <c r="I12" i="8"/>
  <c r="I22" i="8" s="1"/>
  <c r="H12" i="8"/>
  <c r="H22" i="8" s="1"/>
  <c r="G12" i="8"/>
  <c r="G22" i="8" s="1"/>
  <c r="F12" i="8"/>
  <c r="F13" i="8" s="1"/>
  <c r="E12" i="8"/>
  <c r="E22" i="8" s="1"/>
  <c r="D12" i="8"/>
  <c r="N11" i="8"/>
  <c r="N10" i="8"/>
  <c r="N9" i="8"/>
  <c r="N8" i="8"/>
  <c r="N7" i="8"/>
  <c r="M6" i="8"/>
  <c r="M23" i="8" s="1"/>
  <c r="L6" i="8"/>
  <c r="L23" i="8" s="1"/>
  <c r="K6" i="8"/>
  <c r="K23" i="8" s="1"/>
  <c r="J6" i="8"/>
  <c r="J23" i="8" s="1"/>
  <c r="I6" i="8"/>
  <c r="I23" i="8" s="1"/>
  <c r="H6" i="8"/>
  <c r="H23" i="8" s="1"/>
  <c r="G6" i="8"/>
  <c r="G23" i="8" s="1"/>
  <c r="F6" i="8"/>
  <c r="F23" i="8" s="1"/>
  <c r="N4" i="8"/>
  <c r="V31" i="7"/>
  <c r="Q31" i="7"/>
  <c r="Q29" i="7"/>
  <c r="Q27" i="7"/>
  <c r="Q25" i="7"/>
  <c r="Q23" i="7"/>
  <c r="Q21" i="7"/>
  <c r="Q22" i="7"/>
  <c r="Q19" i="7"/>
  <c r="Q17" i="7"/>
  <c r="Q15" i="7"/>
  <c r="Q13" i="7"/>
  <c r="L31" i="7"/>
  <c r="L29" i="7"/>
  <c r="L27" i="7"/>
  <c r="L25" i="7"/>
  <c r="L23" i="7"/>
  <c r="L21" i="7"/>
  <c r="L19" i="7"/>
  <c r="L17" i="7"/>
  <c r="L15" i="7"/>
  <c r="L13" i="7"/>
  <c r="V22" i="6"/>
  <c r="V23" i="6" s="1"/>
  <c r="V15" i="6"/>
  <c r="Q21" i="6"/>
  <c r="Q27" i="6"/>
  <c r="Q25" i="6"/>
  <c r="Q23" i="6"/>
  <c r="Q19" i="6"/>
  <c r="Q17" i="6"/>
  <c r="Q15" i="6"/>
  <c r="Q13" i="6"/>
  <c r="L27" i="6"/>
  <c r="L25" i="6"/>
  <c r="L23" i="6"/>
  <c r="L21" i="6"/>
  <c r="L19" i="6"/>
  <c r="L17" i="6"/>
  <c r="L15" i="6"/>
  <c r="L13" i="6"/>
  <c r="V23" i="4"/>
  <c r="Q29" i="4"/>
  <c r="Q27" i="4"/>
  <c r="Q25" i="4"/>
  <c r="Q23" i="4"/>
  <c r="Q21" i="4"/>
  <c r="Q19" i="4"/>
  <c r="Q17" i="4"/>
  <c r="Q15" i="4"/>
  <c r="Q13" i="4"/>
  <c r="L29" i="4"/>
  <c r="L27" i="4"/>
  <c r="L25" i="4"/>
  <c r="L23" i="4"/>
  <c r="L21" i="4"/>
  <c r="L19" i="4"/>
  <c r="L17" i="4"/>
  <c r="L15" i="4"/>
  <c r="L13" i="4"/>
  <c r="Y12" i="2"/>
  <c r="Z12" i="2"/>
  <c r="V22" i="5"/>
  <c r="V23" i="5" s="1"/>
  <c r="V20" i="5"/>
  <c r="V21" i="5" s="1"/>
  <c r="V18" i="5"/>
  <c r="V19" i="5" s="1"/>
  <c r="V16" i="5"/>
  <c r="V17" i="5" s="1"/>
  <c r="V14" i="5"/>
  <c r="V15" i="5" s="1"/>
  <c r="V12" i="5"/>
  <c r="V13" i="5" s="1"/>
  <c r="V10" i="5"/>
  <c r="V11" i="5" s="1"/>
  <c r="V8" i="5"/>
  <c r="V9" i="5" s="1"/>
  <c r="V6" i="5"/>
  <c r="V7" i="5" s="1"/>
  <c r="V4" i="5"/>
  <c r="V5" i="5" s="1"/>
  <c r="Q22" i="5"/>
  <c r="Q23" i="5" s="1"/>
  <c r="Q20" i="5"/>
  <c r="Q21" i="5" s="1"/>
  <c r="Q18" i="5"/>
  <c r="Q19" i="5" s="1"/>
  <c r="Q16" i="5"/>
  <c r="Q17" i="5" s="1"/>
  <c r="Q15" i="5"/>
  <c r="Q14" i="5"/>
  <c r="Q12" i="5"/>
  <c r="Q13" i="5" s="1"/>
  <c r="Q10" i="5"/>
  <c r="Q11" i="5" s="1"/>
  <c r="Q8" i="5"/>
  <c r="Q9" i="5" s="1"/>
  <c r="Q7" i="5"/>
  <c r="Q6" i="5"/>
  <c r="Q4" i="5"/>
  <c r="Q5" i="5" s="1"/>
  <c r="L15" i="5"/>
  <c r="L23" i="5"/>
  <c r="L21" i="5"/>
  <c r="L19" i="5"/>
  <c r="L17" i="5"/>
  <c r="L13" i="5"/>
  <c r="L11" i="5"/>
  <c r="L9" i="5"/>
  <c r="L7" i="5"/>
  <c r="L4" i="5"/>
  <c r="L5" i="5"/>
  <c r="L22" i="5"/>
  <c r="L20" i="5"/>
  <c r="L18" i="5"/>
  <c r="L16" i="5"/>
  <c r="L14" i="5"/>
  <c r="L12" i="5"/>
  <c r="L10" i="5"/>
  <c r="L8" i="5"/>
  <c r="L6" i="5"/>
  <c r="G22" i="5"/>
  <c r="G20" i="5"/>
  <c r="G18" i="5"/>
  <c r="G16" i="5"/>
  <c r="G14" i="5"/>
  <c r="G12" i="5"/>
  <c r="G10" i="5"/>
  <c r="G8" i="5"/>
  <c r="G6" i="5"/>
  <c r="G4" i="5"/>
  <c r="V30" i="7"/>
  <c r="V28" i="7"/>
  <c r="V29" i="7" s="1"/>
  <c r="V26" i="7"/>
  <c r="V27" i="7" s="1"/>
  <c r="V24" i="7"/>
  <c r="V25" i="7" s="1"/>
  <c r="V22" i="7"/>
  <c r="V23" i="7" s="1"/>
  <c r="V20" i="7"/>
  <c r="V21" i="7" s="1"/>
  <c r="V18" i="7"/>
  <c r="V19" i="7" s="1"/>
  <c r="V16" i="7"/>
  <c r="V17" i="7" s="1"/>
  <c r="V14" i="7"/>
  <c r="V15" i="7" s="1"/>
  <c r="V12" i="7"/>
  <c r="V13" i="7" s="1"/>
  <c r="V10" i="7"/>
  <c r="V8" i="7"/>
  <c r="V7" i="7"/>
  <c r="V5" i="7"/>
  <c r="V6" i="7" s="1"/>
  <c r="Q30" i="7"/>
  <c r="Q28" i="7"/>
  <c r="Q26" i="7"/>
  <c r="Q24" i="7"/>
  <c r="Q20" i="7"/>
  <c r="Q18" i="7"/>
  <c r="Q16" i="7"/>
  <c r="Q14" i="7"/>
  <c r="Q12" i="7"/>
  <c r="Q10" i="7"/>
  <c r="Q11" i="7" s="1"/>
  <c r="Q8" i="7"/>
  <c r="Q9" i="7" s="1"/>
  <c r="Q7" i="7"/>
  <c r="Q6" i="7"/>
  <c r="Q5" i="7"/>
  <c r="L6" i="7"/>
  <c r="L30" i="7"/>
  <c r="L28" i="7"/>
  <c r="L26" i="7"/>
  <c r="L24" i="7"/>
  <c r="L22" i="7"/>
  <c r="L20" i="7"/>
  <c r="L18" i="7"/>
  <c r="L16" i="7"/>
  <c r="L14" i="7"/>
  <c r="L12" i="7"/>
  <c r="L10" i="7"/>
  <c r="L11" i="7" s="1"/>
  <c r="L8" i="7"/>
  <c r="L9" i="7" s="1"/>
  <c r="L7" i="7"/>
  <c r="L5" i="7"/>
  <c r="G30" i="7"/>
  <c r="G28" i="7"/>
  <c r="G26" i="7"/>
  <c r="G24" i="7"/>
  <c r="G22" i="7"/>
  <c r="G20" i="7"/>
  <c r="G18" i="7"/>
  <c r="G16" i="7"/>
  <c r="G14" i="7"/>
  <c r="G12" i="7"/>
  <c r="G11" i="7"/>
  <c r="G9" i="7"/>
  <c r="G10" i="7"/>
  <c r="G8" i="7"/>
  <c r="G7" i="7"/>
  <c r="G5" i="7"/>
  <c r="V26" i="6"/>
  <c r="V27" i="6" s="1"/>
  <c r="V24" i="6"/>
  <c r="V25" i="6" s="1"/>
  <c r="V20" i="6"/>
  <c r="V21" i="6" s="1"/>
  <c r="V18" i="6"/>
  <c r="V19" i="6" s="1"/>
  <c r="V16" i="6"/>
  <c r="V17" i="6" s="1"/>
  <c r="V14" i="6"/>
  <c r="V12" i="6"/>
  <c r="V13" i="6" s="1"/>
  <c r="V10" i="6"/>
  <c r="V8" i="6"/>
  <c r="V7" i="6"/>
  <c r="V5" i="6"/>
  <c r="V6" i="6" s="1"/>
  <c r="Q26" i="6"/>
  <c r="Q24" i="6"/>
  <c r="Q22" i="6"/>
  <c r="Q20" i="6"/>
  <c r="Q18" i="6"/>
  <c r="Q16" i="6"/>
  <c r="Q14" i="6"/>
  <c r="Q12" i="6"/>
  <c r="Q10" i="6"/>
  <c r="Q11" i="6" s="1"/>
  <c r="Q8" i="6"/>
  <c r="Q9" i="6" s="1"/>
  <c r="Q7" i="6"/>
  <c r="Q5" i="6"/>
  <c r="Q6" i="6" s="1"/>
  <c r="L6" i="6"/>
  <c r="L26" i="6"/>
  <c r="L24" i="6"/>
  <c r="L22" i="6"/>
  <c r="L20" i="6"/>
  <c r="L18" i="6"/>
  <c r="L16" i="6"/>
  <c r="L14" i="6"/>
  <c r="L12" i="6"/>
  <c r="L10" i="6"/>
  <c r="L11" i="6" s="1"/>
  <c r="L8" i="6"/>
  <c r="L9" i="6" s="1"/>
  <c r="L7" i="6"/>
  <c r="L5" i="6"/>
  <c r="G26" i="6"/>
  <c r="G24" i="6"/>
  <c r="G22" i="6"/>
  <c r="G20" i="6"/>
  <c r="G18" i="6"/>
  <c r="G16" i="6"/>
  <c r="G14" i="6"/>
  <c r="G12" i="6"/>
  <c r="G11" i="6"/>
  <c r="G9" i="6"/>
  <c r="G10" i="6"/>
  <c r="G8" i="6"/>
  <c r="G7" i="6"/>
  <c r="G5" i="6"/>
  <c r="V28" i="4"/>
  <c r="V29" i="4" s="1"/>
  <c r="V26" i="4"/>
  <c r="V27" i="4" s="1"/>
  <c r="V24" i="4"/>
  <c r="V25" i="4" s="1"/>
  <c r="V22" i="4"/>
  <c r="V20" i="4"/>
  <c r="V21" i="4" s="1"/>
  <c r="V18" i="4"/>
  <c r="V19" i="4" s="1"/>
  <c r="V16" i="4"/>
  <c r="V17" i="4" s="1"/>
  <c r="V14" i="4"/>
  <c r="V15" i="4" s="1"/>
  <c r="V12" i="4"/>
  <c r="V13" i="4" s="1"/>
  <c r="V10" i="4"/>
  <c r="V8" i="4"/>
  <c r="V7" i="4"/>
  <c r="V5" i="4"/>
  <c r="V6" i="4" s="1"/>
  <c r="O27" i="4"/>
  <c r="M27" i="4"/>
  <c r="N27" i="4"/>
  <c r="P27" i="4"/>
  <c r="Q28" i="4"/>
  <c r="Q26" i="4"/>
  <c r="Q24" i="4"/>
  <c r="Q22" i="4"/>
  <c r="Q20" i="4"/>
  <c r="Q18" i="4"/>
  <c r="Q16" i="4"/>
  <c r="Q14" i="4"/>
  <c r="Q12" i="4"/>
  <c r="Q10" i="4"/>
  <c r="Q11" i="4" s="1"/>
  <c r="Q8" i="4"/>
  <c r="Q9" i="4" s="1"/>
  <c r="Q7" i="4"/>
  <c r="Q6" i="4"/>
  <c r="Q5" i="4"/>
  <c r="L6" i="4"/>
  <c r="L28" i="4"/>
  <c r="L26" i="4"/>
  <c r="L24" i="4"/>
  <c r="L22" i="4"/>
  <c r="L20" i="4"/>
  <c r="L18" i="4"/>
  <c r="L16" i="4"/>
  <c r="L14" i="4"/>
  <c r="L12" i="4"/>
  <c r="L10" i="4"/>
  <c r="L11" i="4" s="1"/>
  <c r="L8" i="4"/>
  <c r="L9" i="4" s="1"/>
  <c r="L7" i="4"/>
  <c r="L5" i="4"/>
  <c r="G28" i="4"/>
  <c r="G26" i="4"/>
  <c r="G24" i="4"/>
  <c r="G22" i="4"/>
  <c r="G20" i="4"/>
  <c r="G18" i="4"/>
  <c r="G16" i="4"/>
  <c r="G14" i="4"/>
  <c r="G12" i="4"/>
  <c r="G11" i="4"/>
  <c r="G9" i="4"/>
  <c r="G10" i="4"/>
  <c r="G8" i="4"/>
  <c r="G7" i="4"/>
  <c r="J25" i="4"/>
  <c r="K25" i="4"/>
  <c r="J29" i="4"/>
  <c r="G5" i="4"/>
  <c r="E30" i="4"/>
  <c r="S5" i="5"/>
  <c r="U5" i="5"/>
  <c r="T5" i="5"/>
  <c r="R5" i="5"/>
  <c r="P5" i="5"/>
  <c r="O5" i="5"/>
  <c r="N5" i="5"/>
  <c r="M5" i="5"/>
  <c r="K5" i="5"/>
  <c r="J5" i="5"/>
  <c r="I5" i="5"/>
  <c r="H5" i="5"/>
  <c r="M25" i="7"/>
  <c r="P13" i="7"/>
  <c r="U13" i="7"/>
  <c r="T13" i="7"/>
  <c r="S13" i="7"/>
  <c r="R13" i="7"/>
  <c r="O13" i="7"/>
  <c r="N13" i="7"/>
  <c r="M13" i="7"/>
  <c r="K13" i="7"/>
  <c r="J13" i="7"/>
  <c r="I13" i="7"/>
  <c r="H13" i="7"/>
  <c r="K15" i="7"/>
  <c r="S32" i="7"/>
  <c r="R32" i="7"/>
  <c r="P32" i="7"/>
  <c r="O32" i="7"/>
  <c r="N32" i="7"/>
  <c r="M32" i="7"/>
  <c r="K32" i="7"/>
  <c r="J32" i="7"/>
  <c r="I32" i="7"/>
  <c r="H32" i="7"/>
  <c r="F32" i="7"/>
  <c r="E32" i="7"/>
  <c r="D32" i="7"/>
  <c r="C32" i="7"/>
  <c r="U31" i="7"/>
  <c r="T31" i="7"/>
  <c r="S31" i="7"/>
  <c r="R31" i="7"/>
  <c r="P31" i="7"/>
  <c r="O31" i="7"/>
  <c r="N31" i="7"/>
  <c r="M31" i="7"/>
  <c r="K31" i="7"/>
  <c r="J31" i="7"/>
  <c r="I31" i="7"/>
  <c r="H31" i="7"/>
  <c r="U29" i="7"/>
  <c r="T29" i="7"/>
  <c r="S29" i="7"/>
  <c r="R29" i="7"/>
  <c r="P29" i="7"/>
  <c r="O29" i="7"/>
  <c r="N29" i="7"/>
  <c r="M29" i="7"/>
  <c r="K29" i="7"/>
  <c r="J29" i="7"/>
  <c r="I29" i="7"/>
  <c r="H29" i="7"/>
  <c r="U27" i="7"/>
  <c r="T27" i="7"/>
  <c r="S27" i="7"/>
  <c r="R27" i="7"/>
  <c r="P27" i="7"/>
  <c r="O27" i="7"/>
  <c r="N27" i="7"/>
  <c r="M27" i="7"/>
  <c r="K27" i="7"/>
  <c r="J27" i="7"/>
  <c r="I27" i="7"/>
  <c r="H27" i="7"/>
  <c r="U25" i="7"/>
  <c r="T25" i="7"/>
  <c r="S25" i="7"/>
  <c r="R25" i="7"/>
  <c r="P25" i="7"/>
  <c r="O25" i="7"/>
  <c r="N25" i="7"/>
  <c r="K25" i="7"/>
  <c r="J25" i="7"/>
  <c r="I25" i="7"/>
  <c r="H25" i="7"/>
  <c r="U23" i="7"/>
  <c r="T23" i="7"/>
  <c r="S23" i="7"/>
  <c r="R23" i="7"/>
  <c r="P23" i="7"/>
  <c r="O23" i="7"/>
  <c r="N23" i="7"/>
  <c r="M23" i="7"/>
  <c r="K23" i="7"/>
  <c r="J23" i="7"/>
  <c r="I23" i="7"/>
  <c r="H23" i="7"/>
  <c r="U21" i="7"/>
  <c r="T21" i="7"/>
  <c r="S21" i="7"/>
  <c r="R21" i="7"/>
  <c r="P21" i="7"/>
  <c r="O21" i="7"/>
  <c r="N21" i="7"/>
  <c r="M21" i="7"/>
  <c r="K21" i="7"/>
  <c r="J21" i="7"/>
  <c r="I21" i="7"/>
  <c r="H21" i="7"/>
  <c r="U19" i="7"/>
  <c r="T19" i="7"/>
  <c r="S19" i="7"/>
  <c r="R19" i="7"/>
  <c r="P19" i="7"/>
  <c r="O19" i="7"/>
  <c r="N19" i="7"/>
  <c r="M19" i="7"/>
  <c r="K19" i="7"/>
  <c r="J19" i="7"/>
  <c r="I19" i="7"/>
  <c r="H19" i="7"/>
  <c r="U17" i="7"/>
  <c r="T17" i="7"/>
  <c r="S17" i="7"/>
  <c r="R17" i="7"/>
  <c r="P17" i="7"/>
  <c r="O17" i="7"/>
  <c r="N17" i="7"/>
  <c r="M17" i="7"/>
  <c r="K17" i="7"/>
  <c r="J17" i="7"/>
  <c r="I17" i="7"/>
  <c r="H17" i="7"/>
  <c r="U15" i="7"/>
  <c r="T15" i="7"/>
  <c r="S15" i="7"/>
  <c r="R15" i="7"/>
  <c r="P15" i="7"/>
  <c r="O15" i="7"/>
  <c r="N15" i="7"/>
  <c r="M15" i="7"/>
  <c r="J15" i="7"/>
  <c r="I15" i="7"/>
  <c r="H15" i="7"/>
  <c r="U6" i="7"/>
  <c r="T6" i="7"/>
  <c r="S6" i="7"/>
  <c r="R6" i="7"/>
  <c r="P6" i="7"/>
  <c r="O6" i="7"/>
  <c r="N6" i="7"/>
  <c r="M6" i="7"/>
  <c r="K6" i="7"/>
  <c r="J6" i="7"/>
  <c r="I6" i="7"/>
  <c r="H6" i="7"/>
  <c r="C28" i="6"/>
  <c r="D28" i="6"/>
  <c r="E28" i="6"/>
  <c r="F28" i="6"/>
  <c r="H28" i="6"/>
  <c r="I28" i="6"/>
  <c r="J28" i="6"/>
  <c r="K28" i="6"/>
  <c r="M28" i="6"/>
  <c r="N28" i="6"/>
  <c r="O28" i="6"/>
  <c r="P28" i="6"/>
  <c r="R28" i="6"/>
  <c r="T28" i="6"/>
  <c r="U28" i="6"/>
  <c r="V28" i="6" s="1"/>
  <c r="S28" i="6"/>
  <c r="U27" i="6"/>
  <c r="T27" i="6"/>
  <c r="S27" i="6"/>
  <c r="R27" i="6"/>
  <c r="P27" i="6"/>
  <c r="O27" i="6"/>
  <c r="N27" i="6"/>
  <c r="M27" i="6"/>
  <c r="K27" i="6"/>
  <c r="J27" i="6"/>
  <c r="I27" i="6"/>
  <c r="H27" i="6"/>
  <c r="U25" i="6"/>
  <c r="T25" i="6"/>
  <c r="S25" i="6"/>
  <c r="R25" i="6"/>
  <c r="P25" i="6"/>
  <c r="O25" i="6"/>
  <c r="N25" i="6"/>
  <c r="M25" i="6"/>
  <c r="K25" i="6"/>
  <c r="J25" i="6"/>
  <c r="I25" i="6"/>
  <c r="H25" i="6"/>
  <c r="U23" i="6"/>
  <c r="T23" i="6"/>
  <c r="S23" i="6"/>
  <c r="R23" i="6"/>
  <c r="P23" i="6"/>
  <c r="O23" i="6"/>
  <c r="N23" i="6"/>
  <c r="M23" i="6"/>
  <c r="K23" i="6"/>
  <c r="J23" i="6"/>
  <c r="I23" i="6"/>
  <c r="H23" i="6"/>
  <c r="U21" i="6"/>
  <c r="T21" i="6"/>
  <c r="S21" i="6"/>
  <c r="R21" i="6"/>
  <c r="P21" i="6"/>
  <c r="O21" i="6"/>
  <c r="N21" i="6"/>
  <c r="M21" i="6"/>
  <c r="K21" i="6"/>
  <c r="J21" i="6"/>
  <c r="I21" i="6"/>
  <c r="H21" i="6"/>
  <c r="U19" i="6"/>
  <c r="T19" i="6"/>
  <c r="S19" i="6"/>
  <c r="R19" i="6"/>
  <c r="P19" i="6"/>
  <c r="O19" i="6"/>
  <c r="N19" i="6"/>
  <c r="M19" i="6"/>
  <c r="K19" i="6"/>
  <c r="J19" i="6"/>
  <c r="I19" i="6"/>
  <c r="H19" i="6"/>
  <c r="U17" i="6"/>
  <c r="T17" i="6"/>
  <c r="S17" i="6"/>
  <c r="R17" i="6"/>
  <c r="P17" i="6"/>
  <c r="O17" i="6"/>
  <c r="N17" i="6"/>
  <c r="M17" i="6"/>
  <c r="K17" i="6"/>
  <c r="J17" i="6"/>
  <c r="I17" i="6"/>
  <c r="H17" i="6"/>
  <c r="U15" i="6"/>
  <c r="T15" i="6"/>
  <c r="S15" i="6"/>
  <c r="R15" i="6"/>
  <c r="P15" i="6"/>
  <c r="O15" i="6"/>
  <c r="N15" i="6"/>
  <c r="M15" i="6"/>
  <c r="K15" i="6"/>
  <c r="J15" i="6"/>
  <c r="I15" i="6"/>
  <c r="H15" i="6"/>
  <c r="U13" i="6"/>
  <c r="T13" i="6"/>
  <c r="S13" i="6"/>
  <c r="R13" i="6"/>
  <c r="P13" i="6"/>
  <c r="O13" i="6"/>
  <c r="N13" i="6"/>
  <c r="M13" i="6"/>
  <c r="K13" i="6"/>
  <c r="J13" i="6"/>
  <c r="I13" i="6"/>
  <c r="H13" i="6"/>
  <c r="U6" i="6"/>
  <c r="T6" i="6"/>
  <c r="S6" i="6"/>
  <c r="R6" i="6"/>
  <c r="P6" i="6"/>
  <c r="O6" i="6"/>
  <c r="N6" i="6"/>
  <c r="M6" i="6"/>
  <c r="K6" i="6"/>
  <c r="J6" i="6"/>
  <c r="I6" i="6"/>
  <c r="H6" i="6"/>
  <c r="K19" i="4"/>
  <c r="K21" i="4"/>
  <c r="C30" i="4"/>
  <c r="D30" i="4"/>
  <c r="F30" i="4"/>
  <c r="H30" i="4"/>
  <c r="I30" i="4"/>
  <c r="J30" i="4"/>
  <c r="K30" i="4"/>
  <c r="M30" i="4"/>
  <c r="N30" i="4"/>
  <c r="O30" i="4"/>
  <c r="P30" i="4"/>
  <c r="R30" i="4"/>
  <c r="T30" i="4"/>
  <c r="U30" i="4"/>
  <c r="V30" i="4" s="1"/>
  <c r="U29" i="4"/>
  <c r="T29" i="4"/>
  <c r="S29" i="4"/>
  <c r="R29" i="4"/>
  <c r="P29" i="4"/>
  <c r="O29" i="4"/>
  <c r="N29" i="4"/>
  <c r="M29" i="4"/>
  <c r="K29" i="4"/>
  <c r="I29" i="4"/>
  <c r="H29" i="4"/>
  <c r="U27" i="4"/>
  <c r="T27" i="4"/>
  <c r="S27" i="4"/>
  <c r="R27" i="4"/>
  <c r="K27" i="4"/>
  <c r="J27" i="4"/>
  <c r="I27" i="4"/>
  <c r="H27" i="4"/>
  <c r="U25" i="4"/>
  <c r="T25" i="4"/>
  <c r="S25" i="4"/>
  <c r="R25" i="4"/>
  <c r="P25" i="4"/>
  <c r="O25" i="4"/>
  <c r="N25" i="4"/>
  <c r="M25" i="4"/>
  <c r="I25" i="4"/>
  <c r="H25" i="4"/>
  <c r="U23" i="4"/>
  <c r="T23" i="4"/>
  <c r="S23" i="4"/>
  <c r="R23" i="4"/>
  <c r="P23" i="4"/>
  <c r="O23" i="4"/>
  <c r="N23" i="4"/>
  <c r="M23" i="4"/>
  <c r="K23" i="4"/>
  <c r="J23" i="4"/>
  <c r="I23" i="4"/>
  <c r="H23" i="4"/>
  <c r="U21" i="4"/>
  <c r="T21" i="4"/>
  <c r="S21" i="4"/>
  <c r="R21" i="4"/>
  <c r="P21" i="4"/>
  <c r="O21" i="4"/>
  <c r="N21" i="4"/>
  <c r="M21" i="4"/>
  <c r="J21" i="4"/>
  <c r="I21" i="4"/>
  <c r="H21" i="4"/>
  <c r="U19" i="4"/>
  <c r="T19" i="4"/>
  <c r="S19" i="4"/>
  <c r="R19" i="4"/>
  <c r="P19" i="4"/>
  <c r="O19" i="4"/>
  <c r="N19" i="4"/>
  <c r="M19" i="4"/>
  <c r="J19" i="4"/>
  <c r="I19" i="4"/>
  <c r="H19" i="4"/>
  <c r="T17" i="4"/>
  <c r="S17" i="4"/>
  <c r="R17" i="4"/>
  <c r="P17" i="4"/>
  <c r="O17" i="4"/>
  <c r="N17" i="4"/>
  <c r="M17" i="4"/>
  <c r="K17" i="4"/>
  <c r="J17" i="4"/>
  <c r="I17" i="4"/>
  <c r="H17" i="4"/>
  <c r="T15" i="4"/>
  <c r="S15" i="4"/>
  <c r="R15" i="4"/>
  <c r="P15" i="4"/>
  <c r="O15" i="4"/>
  <c r="N15" i="4"/>
  <c r="M15" i="4"/>
  <c r="K15" i="4"/>
  <c r="J15" i="4"/>
  <c r="I15" i="4"/>
  <c r="H15" i="4"/>
  <c r="H13" i="4"/>
  <c r="I13" i="4"/>
  <c r="J13" i="4"/>
  <c r="K13" i="4"/>
  <c r="M13" i="4"/>
  <c r="N13" i="4"/>
  <c r="O13" i="4"/>
  <c r="P13" i="4"/>
  <c r="R13" i="4"/>
  <c r="T13" i="4"/>
  <c r="U13" i="4"/>
  <c r="S13" i="4"/>
  <c r="S30" i="4"/>
  <c r="H6" i="4"/>
  <c r="I6" i="4"/>
  <c r="J6" i="4"/>
  <c r="K6" i="4"/>
  <c r="M6" i="4"/>
  <c r="N6" i="4"/>
  <c r="O6" i="4"/>
  <c r="P6" i="4"/>
  <c r="R6" i="4"/>
  <c r="T6" i="4"/>
  <c r="U6" i="4"/>
  <c r="S6" i="4"/>
  <c r="R15" i="5"/>
  <c r="J23" i="5"/>
  <c r="U23" i="5"/>
  <c r="T23" i="5"/>
  <c r="S23" i="5"/>
  <c r="R23" i="5"/>
  <c r="P23" i="5"/>
  <c r="O23" i="5"/>
  <c r="N23" i="5"/>
  <c r="M23" i="5"/>
  <c r="K23" i="5"/>
  <c r="I23" i="5"/>
  <c r="H23" i="5"/>
  <c r="U21" i="5"/>
  <c r="T21" i="5"/>
  <c r="S21" i="5"/>
  <c r="R21" i="5"/>
  <c r="P21" i="5"/>
  <c r="O21" i="5"/>
  <c r="N21" i="5"/>
  <c r="M21" i="5"/>
  <c r="K21" i="5"/>
  <c r="J21" i="5"/>
  <c r="I21" i="5"/>
  <c r="H21" i="5"/>
  <c r="U19" i="5"/>
  <c r="T19" i="5"/>
  <c r="S19" i="5"/>
  <c r="R19" i="5"/>
  <c r="P19" i="5"/>
  <c r="O19" i="5"/>
  <c r="N19" i="5"/>
  <c r="M19" i="5"/>
  <c r="K19" i="5"/>
  <c r="J19" i="5"/>
  <c r="I19" i="5"/>
  <c r="H19" i="5"/>
  <c r="U17" i="5"/>
  <c r="T17" i="5"/>
  <c r="S17" i="5"/>
  <c r="R17" i="5"/>
  <c r="P17" i="5"/>
  <c r="O17" i="5"/>
  <c r="N17" i="5"/>
  <c r="M17" i="5"/>
  <c r="K17" i="5"/>
  <c r="J17" i="5"/>
  <c r="I17" i="5"/>
  <c r="H17" i="5"/>
  <c r="U15" i="5"/>
  <c r="T15" i="5"/>
  <c r="S15" i="5"/>
  <c r="P15" i="5"/>
  <c r="O15" i="5"/>
  <c r="N15" i="5"/>
  <c r="M15" i="5"/>
  <c r="K15" i="5"/>
  <c r="J15" i="5"/>
  <c r="I15" i="5"/>
  <c r="H15" i="5"/>
  <c r="U13" i="5"/>
  <c r="T13" i="5"/>
  <c r="S13" i="5"/>
  <c r="R13" i="5"/>
  <c r="P13" i="5"/>
  <c r="O13" i="5"/>
  <c r="N13" i="5"/>
  <c r="M13" i="5"/>
  <c r="K13" i="5"/>
  <c r="J13" i="5"/>
  <c r="I13" i="5"/>
  <c r="H13" i="5"/>
  <c r="U11" i="5"/>
  <c r="T11" i="5"/>
  <c r="S11" i="5"/>
  <c r="R11" i="5"/>
  <c r="P11" i="5"/>
  <c r="O11" i="5"/>
  <c r="N11" i="5"/>
  <c r="M11" i="5"/>
  <c r="K11" i="5"/>
  <c r="J11" i="5"/>
  <c r="I11" i="5"/>
  <c r="H11" i="5"/>
  <c r="U9" i="5"/>
  <c r="T9" i="5"/>
  <c r="S9" i="5"/>
  <c r="R9" i="5"/>
  <c r="P9" i="5"/>
  <c r="O9" i="5"/>
  <c r="N9" i="5"/>
  <c r="M9" i="5"/>
  <c r="K9" i="5"/>
  <c r="J9" i="5"/>
  <c r="I9" i="5"/>
  <c r="H9" i="5"/>
  <c r="U7" i="5"/>
  <c r="T7" i="5"/>
  <c r="S7" i="5"/>
  <c r="R7" i="5"/>
  <c r="P7" i="5"/>
  <c r="O7" i="5"/>
  <c r="N7" i="5"/>
  <c r="M7" i="5"/>
  <c r="K7" i="5"/>
  <c r="J7" i="5"/>
  <c r="I7" i="5"/>
  <c r="H7" i="5"/>
  <c r="C24" i="5"/>
  <c r="D24" i="5"/>
  <c r="E24" i="5"/>
  <c r="F24" i="5"/>
  <c r="H24" i="5"/>
  <c r="I24" i="5"/>
  <c r="J24" i="5"/>
  <c r="K24" i="5"/>
  <c r="M24" i="5"/>
  <c r="N24" i="5"/>
  <c r="O24" i="5"/>
  <c r="P24" i="5"/>
  <c r="R24" i="5"/>
  <c r="S24" i="5"/>
  <c r="AJ11" i="2"/>
  <c r="AJ7" i="2"/>
  <c r="U91" i="2" l="1"/>
  <c r="U65" i="2"/>
  <c r="U23" i="2"/>
  <c r="U68" i="2"/>
  <c r="U25" i="2"/>
  <c r="AK6" i="2"/>
  <c r="T93" i="2"/>
  <c r="T65" i="2"/>
  <c r="T13" i="2"/>
  <c r="T25" i="2" s="1"/>
  <c r="AA9" i="7"/>
  <c r="AA29" i="7"/>
  <c r="AA25" i="7"/>
  <c r="AA23" i="7"/>
  <c r="AA21" i="7"/>
  <c r="AA15" i="7"/>
  <c r="AA13" i="7"/>
  <c r="AA27" i="6"/>
  <c r="AA25" i="6"/>
  <c r="AA21" i="6"/>
  <c r="AA19" i="6"/>
  <c r="AA17" i="6"/>
  <c r="AA15" i="6"/>
  <c r="AA6" i="6"/>
  <c r="AA29" i="4"/>
  <c r="AA27" i="4"/>
  <c r="AA25" i="4"/>
  <c r="AA15" i="4"/>
  <c r="AA13" i="4"/>
  <c r="AA6" i="4"/>
  <c r="AA23" i="5"/>
  <c r="AA21" i="5"/>
  <c r="AA19" i="5"/>
  <c r="AA17" i="5"/>
  <c r="AA15" i="5"/>
  <c r="AA13" i="5"/>
  <c r="AA11" i="5"/>
  <c r="AA5" i="5"/>
  <c r="Z23" i="2"/>
  <c r="R93" i="2"/>
  <c r="S91" i="2"/>
  <c r="G10" i="9"/>
  <c r="B56" i="9"/>
  <c r="AA28" i="6"/>
  <c r="AA9" i="6"/>
  <c r="AA11" i="6"/>
  <c r="AJ12" i="2"/>
  <c r="AJ13" i="2" s="1"/>
  <c r="AJ15" i="2" s="1"/>
  <c r="AJ16" i="2" s="1"/>
  <c r="AJ17" i="2" s="1"/>
  <c r="AI12" i="2"/>
  <c r="AI13" i="2" s="1"/>
  <c r="AI15" i="2" s="1"/>
  <c r="S65" i="2"/>
  <c r="AI6" i="2"/>
  <c r="R91" i="2"/>
  <c r="R65" i="2"/>
  <c r="AA32" i="7"/>
  <c r="AA11" i="7"/>
  <c r="V9" i="7"/>
  <c r="V11" i="7"/>
  <c r="V11" i="6"/>
  <c r="V9" i="6"/>
  <c r="AA30" i="4"/>
  <c r="AA11" i="4"/>
  <c r="AA9" i="4"/>
  <c r="V11" i="4"/>
  <c r="V9" i="4"/>
  <c r="F15" i="8"/>
  <c r="F17" i="8" s="1"/>
  <c r="F19" i="8" s="1"/>
  <c r="F24" i="8"/>
  <c r="J13" i="8"/>
  <c r="G15" i="8"/>
  <c r="G17" i="8" s="1"/>
  <c r="G19" i="8" s="1"/>
  <c r="F22" i="8"/>
  <c r="K13" i="8"/>
  <c r="H15" i="8"/>
  <c r="H17" i="8" s="1"/>
  <c r="H19" i="8" s="1"/>
  <c r="N5" i="8"/>
  <c r="N12" i="8" s="1"/>
  <c r="N22" i="8" s="1"/>
  <c r="L13" i="8"/>
  <c r="I15" i="8"/>
  <c r="I17" i="8" s="1"/>
  <c r="I19" i="8" s="1"/>
  <c r="N13" i="8"/>
  <c r="N21" i="8"/>
  <c r="AJ19" i="2" l="1"/>
  <c r="D6" i="3" s="1"/>
  <c r="AK12" i="2"/>
  <c r="AK13" i="2" s="1"/>
  <c r="AK15" i="2" s="1"/>
  <c r="AK16" i="2" s="1"/>
  <c r="AK17" i="2" s="1"/>
  <c r="AK19" i="2" s="1"/>
  <c r="E6" i="3" s="1"/>
  <c r="T17" i="2"/>
  <c r="T19" i="2" s="1"/>
  <c r="B59" i="9"/>
  <c r="G15" i="9"/>
  <c r="B64" i="9" s="1"/>
  <c r="AI17" i="2"/>
  <c r="AI19" i="2" s="1"/>
  <c r="AJ6" i="2"/>
  <c r="AJ24" i="2" s="1"/>
  <c r="N15" i="8"/>
  <c r="N24" i="8"/>
  <c r="O21" i="8"/>
  <c r="O12" i="8"/>
  <c r="O22" i="8" s="1"/>
  <c r="K15" i="8"/>
  <c r="K17" i="8" s="1"/>
  <c r="K19" i="8" s="1"/>
  <c r="K24" i="8"/>
  <c r="J24" i="8"/>
  <c r="J15" i="8"/>
  <c r="J17" i="8" s="1"/>
  <c r="J19" i="8" s="1"/>
  <c r="L15" i="8"/>
  <c r="L17" i="8" s="1"/>
  <c r="L19" i="8" s="1"/>
  <c r="L24" i="8"/>
  <c r="N6" i="8"/>
  <c r="N23" i="8" s="1"/>
  <c r="D76" i="2"/>
  <c r="H79" i="2"/>
  <c r="H76" i="2"/>
  <c r="H77" i="2" s="1"/>
  <c r="AJ23" i="2"/>
  <c r="AK23" i="2"/>
  <c r="AK24" i="2"/>
  <c r="AI24" i="2"/>
  <c r="R24" i="2"/>
  <c r="S24" i="2"/>
  <c r="G24" i="2"/>
  <c r="F12" i="2"/>
  <c r="F13" i="2" s="1"/>
  <c r="F15" i="2" s="1"/>
  <c r="F17" i="2" s="1"/>
  <c r="F6" i="2"/>
  <c r="F24" i="2" s="1"/>
  <c r="G12" i="2"/>
  <c r="G13" i="2" s="1"/>
  <c r="G15" i="2" s="1"/>
  <c r="G17" i="2" s="1"/>
  <c r="G6" i="2"/>
  <c r="D12" i="2"/>
  <c r="D13" i="2" s="1"/>
  <c r="D15" i="2" s="1"/>
  <c r="D17" i="2" s="1"/>
  <c r="D6" i="2"/>
  <c r="D24" i="2" s="1"/>
  <c r="H12" i="2"/>
  <c r="H13" i="2" s="1"/>
  <c r="H15" i="2" s="1"/>
  <c r="H17" i="2" s="1"/>
  <c r="H6" i="2"/>
  <c r="H24" i="2" s="1"/>
  <c r="E12" i="2"/>
  <c r="E13" i="2" s="1"/>
  <c r="E15" i="2" s="1"/>
  <c r="E17" i="2" s="1"/>
  <c r="E6" i="2"/>
  <c r="E24" i="2" s="1"/>
  <c r="I12" i="2"/>
  <c r="I13" i="2" s="1"/>
  <c r="I15" i="2" s="1"/>
  <c r="I17" i="2" s="1"/>
  <c r="I6" i="2"/>
  <c r="I24" i="2" s="1"/>
  <c r="J12" i="2"/>
  <c r="J6" i="2"/>
  <c r="J24" i="2" s="1"/>
  <c r="N12" i="2"/>
  <c r="N13" i="2" s="1"/>
  <c r="N15" i="2" s="1"/>
  <c r="N17" i="2" s="1"/>
  <c r="N6" i="2"/>
  <c r="N24" i="2" s="1"/>
  <c r="K12" i="2"/>
  <c r="K13" i="2" s="1"/>
  <c r="K15" i="2" s="1"/>
  <c r="K17" i="2" s="1"/>
  <c r="K6" i="2"/>
  <c r="K24" i="2" s="1"/>
  <c r="O12" i="2"/>
  <c r="O13" i="2" s="1"/>
  <c r="O6" i="2"/>
  <c r="O24" i="2" s="1"/>
  <c r="L76" i="2"/>
  <c r="P79" i="2"/>
  <c r="P76" i="2"/>
  <c r="L12" i="2"/>
  <c r="L13" i="2" s="1"/>
  <c r="L15" i="2" s="1"/>
  <c r="L17" i="2" s="1"/>
  <c r="L6" i="2"/>
  <c r="L24" i="2" s="1"/>
  <c r="P12" i="2"/>
  <c r="P13" i="2" s="1"/>
  <c r="P15" i="2" s="1"/>
  <c r="P17" i="2" s="1"/>
  <c r="P6" i="2"/>
  <c r="P24" i="2" s="1"/>
  <c r="J23" i="2" l="1"/>
  <c r="R23" i="2"/>
  <c r="O15" i="2"/>
  <c r="O17" i="2" s="1"/>
  <c r="H23" i="2"/>
  <c r="S23" i="2"/>
  <c r="AM12" i="2"/>
  <c r="AM6" i="2"/>
  <c r="AM24" i="2" s="1"/>
  <c r="AL6" i="2"/>
  <c r="AL24" i="2" s="1"/>
  <c r="AL12" i="2"/>
  <c r="O6" i="8"/>
  <c r="O23" i="8" s="1"/>
  <c r="P21" i="8"/>
  <c r="P12" i="8"/>
  <c r="P22" i="8" s="1"/>
  <c r="O13" i="8"/>
  <c r="N16" i="8"/>
  <c r="N17" i="8" s="1"/>
  <c r="N19" i="8" s="1"/>
  <c r="K23" i="2"/>
  <c r="P23" i="2"/>
  <c r="O23" i="2"/>
  <c r="L23" i="2"/>
  <c r="I23" i="2"/>
  <c r="J13" i="2"/>
  <c r="J15" i="2" s="1"/>
  <c r="J17" i="2" s="1"/>
  <c r="N23" i="2"/>
  <c r="Y25" i="2"/>
  <c r="Z25" i="2"/>
  <c r="Z21" i="2"/>
  <c r="AA21" i="2"/>
  <c r="Y19" i="2"/>
  <c r="Z19" i="2"/>
  <c r="AC21" i="2"/>
  <c r="AB21" i="2"/>
  <c r="AA12" i="2"/>
  <c r="AA6" i="2"/>
  <c r="AA24" i="2" s="1"/>
  <c r="AB12" i="2"/>
  <c r="AB6" i="2"/>
  <c r="AB24" i="2" s="1"/>
  <c r="AA13" i="2" l="1"/>
  <c r="AA15" i="2" s="1"/>
  <c r="AA17" i="2" s="1"/>
  <c r="AA19" i="2" s="1"/>
  <c r="AA23" i="2"/>
  <c r="AB13" i="2"/>
  <c r="AB15" i="2" s="1"/>
  <c r="AB17" i="2" s="1"/>
  <c r="AB19" i="2" s="1"/>
  <c r="AB23" i="2"/>
  <c r="AL13" i="2"/>
  <c r="AL15" i="2" s="1"/>
  <c r="AL23" i="2"/>
  <c r="AN12" i="2"/>
  <c r="AN6" i="2"/>
  <c r="AN24" i="2" s="1"/>
  <c r="AM13" i="2"/>
  <c r="AM15" i="2" s="1"/>
  <c r="AM16" i="2" s="1"/>
  <c r="AM17" i="2" s="1"/>
  <c r="AM19" i="2" s="1"/>
  <c r="AM23" i="2"/>
  <c r="P13" i="8"/>
  <c r="Q21" i="8"/>
  <c r="Q12" i="8"/>
  <c r="Q22" i="8" s="1"/>
  <c r="Q6" i="8"/>
  <c r="Q23" i="8" s="1"/>
  <c r="O24" i="8"/>
  <c r="O15" i="8"/>
  <c r="P24" i="8"/>
  <c r="P15" i="8"/>
  <c r="P6" i="8"/>
  <c r="P23" i="8" s="1"/>
  <c r="AA25" i="2"/>
  <c r="AB25" i="2"/>
  <c r="M79" i="2"/>
  <c r="M82" i="2" s="1"/>
  <c r="M76" i="2"/>
  <c r="M77" i="2" s="1"/>
  <c r="D77" i="2"/>
  <c r="E77" i="2"/>
  <c r="E93" i="2" s="1"/>
  <c r="F77" i="2"/>
  <c r="G77" i="2"/>
  <c r="G93" i="2" s="1"/>
  <c r="H93" i="2"/>
  <c r="I77" i="2"/>
  <c r="I93" i="2" s="1"/>
  <c r="J77" i="2"/>
  <c r="J93" i="2" s="1"/>
  <c r="K77" i="2"/>
  <c r="K93" i="2" s="1"/>
  <c r="L77" i="2"/>
  <c r="L93" i="2" s="1"/>
  <c r="N77" i="2"/>
  <c r="N93" i="2" s="1"/>
  <c r="O77" i="2"/>
  <c r="O93" i="2" s="1"/>
  <c r="P77" i="2"/>
  <c r="P93" i="2" s="1"/>
  <c r="D82" i="2"/>
  <c r="E82" i="2"/>
  <c r="F82" i="2"/>
  <c r="G82" i="2"/>
  <c r="H82" i="2"/>
  <c r="I82" i="2"/>
  <c r="J82" i="2"/>
  <c r="K82" i="2"/>
  <c r="L82" i="2"/>
  <c r="N82" i="2"/>
  <c r="O82" i="2"/>
  <c r="P82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Q79" i="2"/>
  <c r="Q82" i="2" s="1"/>
  <c r="Q76" i="2"/>
  <c r="Q77" i="2" s="1"/>
  <c r="R68" i="2"/>
  <c r="S68" i="2"/>
  <c r="D68" i="2"/>
  <c r="E68" i="2"/>
  <c r="F68" i="2"/>
  <c r="G68" i="2"/>
  <c r="H68" i="2"/>
  <c r="I68" i="2"/>
  <c r="J68" i="2"/>
  <c r="K68" i="2"/>
  <c r="L68" i="2"/>
  <c r="N68" i="2"/>
  <c r="O68" i="2"/>
  <c r="P68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Q52" i="2"/>
  <c r="Q47" i="2"/>
  <c r="M12" i="2"/>
  <c r="M6" i="2"/>
  <c r="M24" i="2" s="1"/>
  <c r="P19" i="2"/>
  <c r="O19" i="2"/>
  <c r="N19" i="2"/>
  <c r="L19" i="2"/>
  <c r="K19" i="2"/>
  <c r="J19" i="2"/>
  <c r="I19" i="2"/>
  <c r="H19" i="2"/>
  <c r="G19" i="2"/>
  <c r="F19" i="2"/>
  <c r="E19" i="2"/>
  <c r="D19" i="2"/>
  <c r="S19" i="2"/>
  <c r="R19" i="2"/>
  <c r="Q12" i="2"/>
  <c r="Q6" i="2"/>
  <c r="Q24" i="2" s="1"/>
  <c r="H21" i="2"/>
  <c r="I21" i="2"/>
  <c r="J21" i="2"/>
  <c r="K21" i="2"/>
  <c r="L21" i="2"/>
  <c r="M21" i="2"/>
  <c r="N21" i="2"/>
  <c r="O21" i="2"/>
  <c r="P21" i="2"/>
  <c r="Q21" i="2"/>
  <c r="R21" i="2"/>
  <c r="S21" i="2"/>
  <c r="R25" i="2"/>
  <c r="P25" i="2"/>
  <c r="O25" i="2"/>
  <c r="N25" i="2"/>
  <c r="L25" i="2"/>
  <c r="K25" i="2"/>
  <c r="J25" i="2"/>
  <c r="I25" i="2"/>
  <c r="H25" i="2"/>
  <c r="G25" i="2"/>
  <c r="F25" i="2"/>
  <c r="E25" i="2"/>
  <c r="D25" i="2"/>
  <c r="S25" i="2"/>
  <c r="AI25" i="2"/>
  <c r="AJ25" i="2"/>
  <c r="AK25" i="2"/>
  <c r="AI21" i="2"/>
  <c r="AJ21" i="2"/>
  <c r="AK21" i="2"/>
  <c r="AL21" i="2"/>
  <c r="AM21" i="2"/>
  <c r="AN21" i="2"/>
  <c r="AD21" i="2"/>
  <c r="AE21" i="2"/>
  <c r="AF21" i="2"/>
  <c r="AG21" i="2"/>
  <c r="AH21" i="2"/>
  <c r="AC84" i="2"/>
  <c r="AC87" i="2" s="1"/>
  <c r="AC79" i="2"/>
  <c r="AC82" i="2" s="1"/>
  <c r="AC76" i="2"/>
  <c r="AC77" i="2" s="1"/>
  <c r="AD87" i="2"/>
  <c r="AD79" i="2"/>
  <c r="AD82" i="2" s="1"/>
  <c r="AD76" i="2"/>
  <c r="AD77" i="2" s="1"/>
  <c r="AC12" i="2"/>
  <c r="AC6" i="2"/>
  <c r="AC24" i="2" s="1"/>
  <c r="AD12" i="2"/>
  <c r="AD6" i="2"/>
  <c r="AD24" i="2" s="1"/>
  <c r="AE84" i="2"/>
  <c r="AE87" i="2" s="1"/>
  <c r="AE79" i="2"/>
  <c r="AE82" i="2" s="1"/>
  <c r="AE76" i="2"/>
  <c r="AE77" i="2" s="1"/>
  <c r="AF84" i="2"/>
  <c r="AF87" i="2" s="1"/>
  <c r="AF76" i="2"/>
  <c r="AF77" i="2" s="1"/>
  <c r="AE12" i="2"/>
  <c r="AE6" i="2"/>
  <c r="AE24" i="2" s="1"/>
  <c r="AF12" i="2"/>
  <c r="AF6" i="2"/>
  <c r="AF24" i="2" s="1"/>
  <c r="AG87" i="2"/>
  <c r="AF82" i="2"/>
  <c r="AG82" i="2"/>
  <c r="AH87" i="2"/>
  <c r="AH82" i="2"/>
  <c r="AG12" i="2"/>
  <c r="AG6" i="2"/>
  <c r="AG24" i="2" s="1"/>
  <c r="AH12" i="2"/>
  <c r="AH6" i="2"/>
  <c r="AH24" i="2" s="1"/>
  <c r="AO21" i="2" l="1"/>
  <c r="AL25" i="2"/>
  <c r="AD13" i="2"/>
  <c r="AD15" i="2" s="1"/>
  <c r="AD17" i="2" s="1"/>
  <c r="AD19" i="2" s="1"/>
  <c r="AD23" i="2"/>
  <c r="AH13" i="2"/>
  <c r="AH25" i="2" s="1"/>
  <c r="AH23" i="2"/>
  <c r="AI23" i="2"/>
  <c r="AF13" i="2"/>
  <c r="AF15" i="2" s="1"/>
  <c r="AF17" i="2" s="1"/>
  <c r="AF19" i="2" s="1"/>
  <c r="AF23" i="2"/>
  <c r="AG13" i="2"/>
  <c r="AG25" i="2" s="1"/>
  <c r="AG23" i="2"/>
  <c r="AE13" i="2"/>
  <c r="AE15" i="2" s="1"/>
  <c r="AE17" i="2" s="1"/>
  <c r="AE19" i="2" s="1"/>
  <c r="AE23" i="2"/>
  <c r="AC13" i="2"/>
  <c r="AC68" i="2" s="1"/>
  <c r="AC23" i="2"/>
  <c r="AN13" i="2"/>
  <c r="AN23" i="2"/>
  <c r="AM25" i="2"/>
  <c r="AL16" i="2"/>
  <c r="AL17" i="2"/>
  <c r="R21" i="8"/>
  <c r="R12" i="8"/>
  <c r="R22" i="8" s="1"/>
  <c r="Q13" i="8"/>
  <c r="O16" i="8"/>
  <c r="O17" i="8"/>
  <c r="P16" i="8"/>
  <c r="P17" i="8" s="1"/>
  <c r="P19" i="8" s="1"/>
  <c r="M13" i="2"/>
  <c r="M68" i="2" s="1"/>
  <c r="M23" i="2"/>
  <c r="Q13" i="2"/>
  <c r="Q25" i="2" s="1"/>
  <c r="Q23" i="2"/>
  <c r="E65" i="2"/>
  <c r="AE93" i="2"/>
  <c r="AH77" i="2"/>
  <c r="AH93" i="2" s="1"/>
  <c r="D65" i="2"/>
  <c r="N65" i="2"/>
  <c r="F91" i="2"/>
  <c r="D91" i="2"/>
  <c r="N91" i="2"/>
  <c r="L91" i="2"/>
  <c r="L65" i="2"/>
  <c r="AD68" i="2"/>
  <c r="Q65" i="2"/>
  <c r="Q93" i="2"/>
  <c r="Q91" i="2"/>
  <c r="D93" i="2"/>
  <c r="E91" i="2"/>
  <c r="AE25" i="2"/>
  <c r="AG77" i="2"/>
  <c r="AG93" i="2" s="1"/>
  <c r="AD25" i="2"/>
  <c r="F65" i="2"/>
  <c r="F93" i="2"/>
  <c r="M91" i="2"/>
  <c r="M93" i="2"/>
  <c r="P91" i="2"/>
  <c r="O91" i="2"/>
  <c r="K91" i="2"/>
  <c r="J91" i="2"/>
  <c r="H91" i="2"/>
  <c r="I91" i="2"/>
  <c r="G91" i="2"/>
  <c r="M65" i="2"/>
  <c r="H65" i="2"/>
  <c r="K65" i="2"/>
  <c r="J65" i="2"/>
  <c r="I65" i="2"/>
  <c r="P65" i="2"/>
  <c r="O65" i="2"/>
  <c r="G65" i="2"/>
  <c r="M15" i="2"/>
  <c r="M17" i="2" s="1"/>
  <c r="M19" i="2" s="1"/>
  <c r="M25" i="2"/>
  <c r="AC91" i="2"/>
  <c r="AD91" i="2"/>
  <c r="AD93" i="2"/>
  <c r="AF91" i="2"/>
  <c r="AC93" i="2"/>
  <c r="AE91" i="2"/>
  <c r="AF93" i="2"/>
  <c r="AE68" i="2" l="1"/>
  <c r="AC25" i="2"/>
  <c r="Q15" i="2"/>
  <c r="Q17" i="2" s="1"/>
  <c r="Q19" i="2" s="1"/>
  <c r="AF68" i="2"/>
  <c r="Q68" i="2"/>
  <c r="AC15" i="2"/>
  <c r="AC17" i="2" s="1"/>
  <c r="AC19" i="2" s="1"/>
  <c r="AF25" i="2"/>
  <c r="AH15" i="2"/>
  <c r="AH17" i="2" s="1"/>
  <c r="AH19" i="2" s="1"/>
  <c r="AH68" i="2"/>
  <c r="AG15" i="2"/>
  <c r="AG17" i="2" s="1"/>
  <c r="AG19" i="2" s="1"/>
  <c r="AG68" i="2"/>
  <c r="AL19" i="2"/>
  <c r="F6" i="3" s="1"/>
  <c r="AO6" i="2"/>
  <c r="AO24" i="2" s="1"/>
  <c r="AO12" i="2"/>
  <c r="AP21" i="2"/>
  <c r="AN15" i="2"/>
  <c r="AN16" i="2" s="1"/>
  <c r="AN17" i="2" s="1"/>
  <c r="AN19" i="2" s="1"/>
  <c r="AN25" i="2"/>
  <c r="R13" i="8"/>
  <c r="R6" i="8"/>
  <c r="R23" i="8" s="1"/>
  <c r="O19" i="8"/>
  <c r="Q24" i="8"/>
  <c r="Q15" i="8"/>
  <c r="S12" i="8"/>
  <c r="S22" i="8" s="1"/>
  <c r="S21" i="8"/>
  <c r="AH91" i="2"/>
  <c r="AG91" i="2"/>
  <c r="AQ21" i="2" l="1"/>
  <c r="AP6" i="2"/>
  <c r="AP24" i="2" s="1"/>
  <c r="AP12" i="2"/>
  <c r="AO13" i="2"/>
  <c r="AO23" i="2"/>
  <c r="T21" i="8"/>
  <c r="T12" i="8"/>
  <c r="T22" i="8" s="1"/>
  <c r="Q16" i="8"/>
  <c r="Q17" i="8" s="1"/>
  <c r="S13" i="8"/>
  <c r="S6" i="8"/>
  <c r="S23" i="8" s="1"/>
  <c r="R24" i="8"/>
  <c r="R15" i="8"/>
  <c r="B6" i="2"/>
  <c r="B9" i="2" s="1"/>
  <c r="F5" i="3" s="1"/>
  <c r="AO15" i="2" l="1"/>
  <c r="AO16" i="2" s="1"/>
  <c r="AO17" i="2" s="1"/>
  <c r="AO25" i="2"/>
  <c r="AP13" i="2"/>
  <c r="AP23" i="2"/>
  <c r="AR12" i="2"/>
  <c r="AR6" i="2"/>
  <c r="AR24" i="2" s="1"/>
  <c r="AR21" i="2"/>
  <c r="AQ6" i="2"/>
  <c r="AQ24" i="2" s="1"/>
  <c r="AQ12" i="2"/>
  <c r="S15" i="8"/>
  <c r="S24" i="8"/>
  <c r="Q19" i="8"/>
  <c r="U21" i="8"/>
  <c r="U12" i="8"/>
  <c r="U22" i="8" s="1"/>
  <c r="R16" i="8"/>
  <c r="R17" i="8" s="1"/>
  <c r="R19" i="8" s="1"/>
  <c r="T13" i="8"/>
  <c r="T6" i="8"/>
  <c r="T23" i="8" s="1"/>
  <c r="E5" i="3"/>
  <c r="D5" i="3"/>
  <c r="AS12" i="2" l="1"/>
  <c r="AS6" i="2"/>
  <c r="AS24" i="2" s="1"/>
  <c r="AS21" i="2"/>
  <c r="AR13" i="2"/>
  <c r="AR23" i="2"/>
  <c r="AP15" i="2"/>
  <c r="AP16" i="2" s="1"/>
  <c r="AP17" i="2" s="1"/>
  <c r="AP19" i="2" s="1"/>
  <c r="AP25" i="2"/>
  <c r="AQ13" i="2"/>
  <c r="AQ23" i="2"/>
  <c r="AO19" i="2"/>
  <c r="U13" i="8"/>
  <c r="U6" i="8"/>
  <c r="U23" i="8" s="1"/>
  <c r="U15" i="8"/>
  <c r="U24" i="8"/>
  <c r="V21" i="8"/>
  <c r="V12" i="8"/>
  <c r="V22" i="8" s="1"/>
  <c r="T15" i="8"/>
  <c r="T24" i="8"/>
  <c r="S16" i="8"/>
  <c r="S17" i="8"/>
  <c r="AR15" i="2" l="1"/>
  <c r="AR16" i="2" s="1"/>
  <c r="AR17" i="2" s="1"/>
  <c r="AR19" i="2" s="1"/>
  <c r="AR25" i="2"/>
  <c r="AQ15" i="2"/>
  <c r="AQ16" i="2" s="1"/>
  <c r="AQ17" i="2" s="1"/>
  <c r="AQ19" i="2" s="1"/>
  <c r="AQ25" i="2"/>
  <c r="AS13" i="2"/>
  <c r="AS23" i="2"/>
  <c r="W21" i="8"/>
  <c r="W12" i="8"/>
  <c r="W22" i="8" s="1"/>
  <c r="W6" i="8"/>
  <c r="W23" i="8" s="1"/>
  <c r="V13" i="8"/>
  <c r="S19" i="8"/>
  <c r="T16" i="8"/>
  <c r="T17" i="8" s="1"/>
  <c r="V6" i="8"/>
  <c r="V23" i="8" s="1"/>
  <c r="U16" i="8"/>
  <c r="U17" i="8" s="1"/>
  <c r="U19" i="8" s="1"/>
  <c r="AS15" i="2" l="1"/>
  <c r="AS16" i="2" s="1"/>
  <c r="AS17" i="2" s="1"/>
  <c r="AS25" i="2"/>
  <c r="T19" i="8"/>
  <c r="V15" i="8"/>
  <c r="V24" i="8"/>
  <c r="W13" i="8"/>
  <c r="X21" i="8"/>
  <c r="X12" i="8"/>
  <c r="X22" i="8" s="1"/>
  <c r="AT17" i="2" l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AV22" i="2" s="1"/>
  <c r="AS19" i="2"/>
  <c r="X6" i="8"/>
  <c r="X23" i="8" s="1"/>
  <c r="W24" i="8"/>
  <c r="W15" i="8"/>
  <c r="V16" i="8"/>
  <c r="V17" i="8" s="1"/>
  <c r="X13" i="8"/>
  <c r="AV24" i="2" l="1"/>
  <c r="AV25" i="2" s="1"/>
  <c r="V19" i="8"/>
  <c r="X24" i="8"/>
  <c r="X15" i="8"/>
  <c r="W16" i="8"/>
  <c r="W17" i="8" s="1"/>
  <c r="W19" i="8" s="1"/>
  <c r="X16" i="8" l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BD17" i="8" s="1"/>
  <c r="BE17" i="8" s="1"/>
  <c r="BF17" i="8" s="1"/>
  <c r="BG17" i="8" s="1"/>
  <c r="BH17" i="8" s="1"/>
  <c r="BI17" i="8" s="1"/>
  <c r="BJ17" i="8" s="1"/>
  <c r="BK17" i="8" s="1"/>
  <c r="BL17" i="8" s="1"/>
  <c r="BM17" i="8" s="1"/>
  <c r="BN17" i="8" s="1"/>
  <c r="BO17" i="8" s="1"/>
  <c r="BP17" i="8" s="1"/>
  <c r="BQ17" i="8" s="1"/>
  <c r="BR17" i="8" s="1"/>
  <c r="BS17" i="8" s="1"/>
  <c r="BT17" i="8" s="1"/>
  <c r="BU17" i="8" s="1"/>
  <c r="BV17" i="8" s="1"/>
  <c r="BW17" i="8" s="1"/>
  <c r="BX17" i="8" s="1"/>
  <c r="BY17" i="8" s="1"/>
  <c r="BZ17" i="8" s="1"/>
  <c r="CA17" i="8" s="1"/>
  <c r="CB17" i="8" s="1"/>
  <c r="CC17" i="8" s="1"/>
  <c r="CD17" i="8" s="1"/>
  <c r="CE17" i="8" s="1"/>
  <c r="CF17" i="8" s="1"/>
  <c r="CG17" i="8" s="1"/>
  <c r="CH17" i="8" s="1"/>
  <c r="CI17" i="8" s="1"/>
  <c r="CJ17" i="8" s="1"/>
  <c r="CK17" i="8" s="1"/>
  <c r="CL17" i="8" s="1"/>
  <c r="CM17" i="8" s="1"/>
  <c r="CN17" i="8" s="1"/>
  <c r="CO17" i="8" s="1"/>
  <c r="CP17" i="8" s="1"/>
  <c r="CQ17" i="8" s="1"/>
  <c r="CR17" i="8" s="1"/>
  <c r="CS17" i="8" s="1"/>
  <c r="CT17" i="8" s="1"/>
  <c r="CU17" i="8" s="1"/>
  <c r="CV17" i="8" s="1"/>
  <c r="CW17" i="8" s="1"/>
  <c r="CX17" i="8" s="1"/>
  <c r="CY17" i="8" s="1"/>
  <c r="CZ17" i="8" s="1"/>
  <c r="DA17" i="8" s="1"/>
  <c r="DB17" i="8" s="1"/>
  <c r="DC17" i="8" s="1"/>
  <c r="DD17" i="8" s="1"/>
  <c r="DE17" i="8" s="1"/>
  <c r="DF17" i="8" s="1"/>
  <c r="X19" i="8" l="1"/>
  <c r="AA22" i="8"/>
  <c r="AA24" i="8" s="1"/>
  <c r="AA25" i="8" s="1"/>
  <c r="A6" i="8" s="1"/>
</calcChain>
</file>

<file path=xl/sharedStrings.xml><?xml version="1.0" encoding="utf-8"?>
<sst xmlns="http://schemas.openxmlformats.org/spreadsheetml/2006/main" count="396" uniqueCount="172">
  <si>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</si>
  <si>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</si>
  <si>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</si>
  <si>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</si>
  <si>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</si>
  <si>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</si>
  <si>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</si>
  <si>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</si>
  <si>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</si>
  <si>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</si>
  <si>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</si>
  <si>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</si>
  <si>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</si>
  <si>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</si>
  <si>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</si>
  <si>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</si>
  <si>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</si>
  <si>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</si>
  <si>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</si>
  <si>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</si>
  <si>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</si>
  <si>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</si>
  <si>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</si>
  <si>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</si>
  <si>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</si>
  <si>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</si>
  <si>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</si>
  <si>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</si>
  <si>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</si>
  <si>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</si>
  <si>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</si>
  <si>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</si>
  <si>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</si>
  <si>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</si>
  <si>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</si>
  <si>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</si>
  <si>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</si>
  <si>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</si>
  <si>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SEK million</t>
  </si>
  <si>
    <t>MC SEKm</t>
  </si>
  <si>
    <t>Cash SEKm</t>
  </si>
  <si>
    <t>Debt SEKm</t>
  </si>
  <si>
    <t>EV SEKm</t>
  </si>
  <si>
    <t>Revenue y/y</t>
  </si>
  <si>
    <t>EBIT margin</t>
  </si>
  <si>
    <t>ROE</t>
  </si>
  <si>
    <t>12.2%</t>
  </si>
  <si>
    <t>Revenues</t>
  </si>
  <si>
    <t>COGS</t>
  </si>
  <si>
    <t>Gross profit</t>
  </si>
  <si>
    <t>Selling expenses</t>
  </si>
  <si>
    <t>Adminstrative expenses</t>
  </si>
  <si>
    <t>R&amp;D</t>
  </si>
  <si>
    <t>Other operating inome</t>
  </si>
  <si>
    <t>Other opex</t>
  </si>
  <si>
    <t>Total opex</t>
  </si>
  <si>
    <t>Operating income (EBIT)</t>
  </si>
  <si>
    <t>Financial items</t>
  </si>
  <si>
    <t>PTP</t>
  </si>
  <si>
    <t>Tax</t>
  </si>
  <si>
    <t>Net income</t>
  </si>
  <si>
    <t>Share</t>
  </si>
  <si>
    <t>EPS</t>
  </si>
  <si>
    <t>Model OP</t>
  </si>
  <si>
    <t>Reported OP</t>
  </si>
  <si>
    <t>D/A</t>
  </si>
  <si>
    <t>Gains from divestements</t>
  </si>
  <si>
    <t>Other items not affecting liq</t>
  </si>
  <si>
    <t>Interest received</t>
  </si>
  <si>
    <t>Interest paid</t>
  </si>
  <si>
    <t>Tax paid</t>
  </si>
  <si>
    <t>WC</t>
  </si>
  <si>
    <t>CFFO</t>
  </si>
  <si>
    <t>Capex</t>
  </si>
  <si>
    <t>Divestment of property</t>
  </si>
  <si>
    <t>Net settlements, business combination</t>
  </si>
  <si>
    <t>CFFI</t>
  </si>
  <si>
    <t>Loans raised and changes to existing loans</t>
  </si>
  <si>
    <t>Amortization of lease liability</t>
  </si>
  <si>
    <t>Dividend paid</t>
  </si>
  <si>
    <t>CFFF</t>
  </si>
  <si>
    <t>FX</t>
  </si>
  <si>
    <t>CIC</t>
  </si>
  <si>
    <t>FCF</t>
  </si>
  <si>
    <t xml:space="preserve">Cash flow SEKm </t>
  </si>
  <si>
    <t>Balanse SEKm</t>
  </si>
  <si>
    <t>Brands and other intangiable assets</t>
  </si>
  <si>
    <t>Goodwill</t>
  </si>
  <si>
    <t>Land and buildings</t>
  </si>
  <si>
    <t>Plant and machinery</t>
  </si>
  <si>
    <t>Equipment, tools, fixtures</t>
  </si>
  <si>
    <t>Construction in progress</t>
  </si>
  <si>
    <t>Right-of-use assets</t>
  </si>
  <si>
    <t>Non-current receivables</t>
  </si>
  <si>
    <t>Deferred tax asset</t>
  </si>
  <si>
    <t>Raw materials and consumables</t>
  </si>
  <si>
    <t>Work in progress</t>
  </si>
  <si>
    <t>Finished products and merchandise</t>
  </si>
  <si>
    <t>Trade receivables</t>
  </si>
  <si>
    <t>Current tax assets</t>
  </si>
  <si>
    <t>Other receivables</t>
  </si>
  <si>
    <t>Prepaid expenses and accrued income</t>
  </si>
  <si>
    <t>Current capex</t>
  </si>
  <si>
    <t>Cash</t>
  </si>
  <si>
    <t>Total assets</t>
  </si>
  <si>
    <t>Share capital</t>
  </si>
  <si>
    <t>Other contributed capital</t>
  </si>
  <si>
    <t>Reserves</t>
  </si>
  <si>
    <t>Retained earnings</t>
  </si>
  <si>
    <t>Total equity</t>
  </si>
  <si>
    <t>Provisions for pensions and other</t>
  </si>
  <si>
    <t>Deferred tax liabilities</t>
  </si>
  <si>
    <t>Other provisons</t>
  </si>
  <si>
    <t>Lease liability</t>
  </si>
  <si>
    <t>Liabilities to banks</t>
  </si>
  <si>
    <t>Other non-current liabilities</t>
  </si>
  <si>
    <t>Trade payable</t>
  </si>
  <si>
    <t>Current tax liabilites</t>
  </si>
  <si>
    <t>Other liabilites</t>
  </si>
  <si>
    <t>Accrued expenses and deferred income</t>
  </si>
  <si>
    <t>Total debt</t>
  </si>
  <si>
    <t>Total E/D</t>
  </si>
  <si>
    <t>FY 2017</t>
  </si>
  <si>
    <t>FY 2018</t>
  </si>
  <si>
    <t>FY 2015</t>
  </si>
  <si>
    <t>FY 2016</t>
  </si>
  <si>
    <t>OPEX Y/Y</t>
  </si>
  <si>
    <t>Gross margin</t>
  </si>
  <si>
    <t>Discount</t>
  </si>
  <si>
    <t>TV</t>
  </si>
  <si>
    <t>NPV</t>
  </si>
  <si>
    <t>NPV/Share</t>
  </si>
  <si>
    <t>Opp/nedside</t>
  </si>
  <si>
    <t>Sweden</t>
  </si>
  <si>
    <t>Other Nordic countries</t>
  </si>
  <si>
    <t>Germany</t>
  </si>
  <si>
    <t>Other European countries</t>
  </si>
  <si>
    <t>US</t>
  </si>
  <si>
    <t>Rest of North America</t>
  </si>
  <si>
    <t>Brazil</t>
  </si>
  <si>
    <t>Australia/New Zealand</t>
  </si>
  <si>
    <t xml:space="preserve">China </t>
  </si>
  <si>
    <t>Rest of world</t>
  </si>
  <si>
    <t>Group</t>
  </si>
  <si>
    <t>Growth %</t>
  </si>
  <si>
    <t>Revenue</t>
  </si>
  <si>
    <t>EBITDA</t>
  </si>
  <si>
    <t>EBITA</t>
  </si>
  <si>
    <t>EBITA margin %</t>
  </si>
  <si>
    <t>EBIT</t>
  </si>
  <si>
    <t>Truck and Trailer</t>
  </si>
  <si>
    <t>Mobile Thermal sol</t>
  </si>
  <si>
    <t>Press release:</t>
  </si>
  <si>
    <t>Nullvekst og konstante dårlige marginer</t>
  </si>
  <si>
    <t>Q126</t>
  </si>
  <si>
    <t>Q226</t>
  </si>
  <si>
    <t>Q326</t>
  </si>
  <si>
    <t>Q426</t>
  </si>
  <si>
    <t>Organic growth</t>
  </si>
  <si>
    <t>P/B</t>
  </si>
  <si>
    <t>SEKm</t>
  </si>
  <si>
    <t>EBIT 26E</t>
  </si>
  <si>
    <t>Value</t>
  </si>
  <si>
    <t>SEK/Share</t>
  </si>
  <si>
    <t>T&amp;T</t>
  </si>
  <si>
    <t>Mobile thermal sol</t>
  </si>
  <si>
    <t>Ringfender power trans</t>
  </si>
  <si>
    <t>Debt</t>
  </si>
  <si>
    <t>Equity value</t>
  </si>
  <si>
    <t>Enterprise value</t>
  </si>
  <si>
    <t>EV</t>
  </si>
  <si>
    <t xml:space="preserve">Gearing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</si>
</sst>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#,##0.0000"/>
    <numFmt numFmtId="167" formatCode="0.0\ %"/>
  </numFmts>
  <fonts count="1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10" fontId="1" fillId="0" borderId="1" xfId="0" applyNumberFormat="1" applyFont="1" applyBorder="1"/>
    <xf numFmtId="166" fontId="1" fillId="0" borderId="0" xfId="0" applyNumberFormat="1" applyFont="1"/>
    <xf numFmtId="0" fontId="5" fillId="0" borderId="2" xfId="0" applyFont="1" applyBorder="1"/>
    <xf numFmtId="165" fontId="6" fillId="0" borderId="2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0" fontId="8" fillId="0" borderId="0" xfId="0" applyFont="1"/>
    <xf numFmtId="10" fontId="8" fillId="0" borderId="0" xfId="0" applyNumberFormat="1" applyFont="1"/>
    <xf numFmtId="0" fontId="1" fillId="0" borderId="3" xfId="0" applyFont="1" applyBorder="1"/>
    <xf numFmtId="0" fontId="4" fillId="0" borderId="3" xfId="0" applyFont="1" applyBorder="1"/>
    <xf numFmtId="10" fontId="4" fillId="0" borderId="3" xfId="0" applyNumberFormat="1" applyFont="1" applyBorder="1"/>
    <xf numFmtId="10" fontId="4" fillId="0" borderId="0" xfId="0" applyNumberFormat="1" applyFont="1"/>
    <xf numFmtId="0" fontId="1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9" fillId="0" borderId="5" xfId="0" applyFont="1" applyBorder="1"/>
    <xf numFmtId="10" fontId="3" fillId="0" borderId="5" xfId="0" applyNumberFormat="1" applyFont="1" applyBorder="1"/>
    <xf numFmtId="10" fontId="3" fillId="0" borderId="4" xfId="0" applyNumberFormat="1" applyFont="1" applyBorder="1"/>
    <xf numFmtId="10" fontId="9" fillId="0" borderId="5" xfId="0" applyNumberFormat="1" applyFont="1" applyBorder="1"/>
    <xf numFmtId="10" fontId="8" fillId="0" borderId="5" xfId="0" applyNumberFormat="1" applyFont="1" applyBorder="1"/>
    <xf numFmtId="0" fontId="8" fillId="0" borderId="5" xfId="0" applyFont="1" applyBorder="1"/>
    <xf numFmtId="0" fontId="0" fillId="0" borderId="1" xfId="0" applyBorder="1"/>
    <xf numFmtId="165" fontId="1" fillId="0" borderId="0" xfId="0" applyNumberFormat="1" applyFont="1"/>
    <xf numFmtId="3" fontId="1" fillId="0" borderId="3" xfId="0" applyNumberFormat="1" applyFont="1" applyBorder="1"/>
    <xf numFmtId="3" fontId="1" fillId="0" borderId="4" xfId="0" applyNumberFormat="1" applyFont="1" applyBorder="1"/>
    <xf numFmtId="3" fontId="2" fillId="0" borderId="3" xfId="0" applyNumberFormat="1" applyFont="1" applyBorder="1"/>
    <xf numFmtId="3" fontId="1" fillId="0" borderId="5" xfId="0" applyNumberFormat="1" applyFont="1" applyBorder="1"/>
    <xf numFmtId="1" fontId="2" fillId="0" borderId="0" xfId="0" applyNumberFormat="1" applyFont="1"/>
    <xf numFmtId="1" fontId="1" fillId="0" borderId="5" xfId="0" applyNumberFormat="1" applyFont="1" applyBorder="1"/>
    <xf numFmtId="2" fontId="2" fillId="0" borderId="1" xfId="0" applyNumberFormat="1" applyFont="1" applyBorder="1"/>
    <xf numFmtId="0" fontId="10" fillId="0" borderId="0" xfId="0" applyFont="1"/>
    <xf numFmtId="1" fontId="10" fillId="0" borderId="0" xfId="0" applyNumberFormat="1" applyFont="1"/>
    <xf numFmtId="0" fontId="11" fillId="0" borderId="2" xfId="0" applyFont="1" applyBorder="1"/>
    <xf numFmtId="0" fontId="10" fillId="0" borderId="2" xfId="0" applyFont="1" applyBorder="1"/>
    <xf numFmtId="3" fontId="10" fillId="0" borderId="2" xfId="0" applyNumberFormat="1" applyFont="1" applyBorder="1"/>
    <xf numFmtId="1" fontId="10" fillId="0" borderId="2" xfId="0" applyNumberFormat="1" applyFont="1" applyBorder="1"/>
    <xf numFmtId="0" fontId="10" fillId="2" borderId="2" xfId="0" applyFont="1" applyFill="1" applyBorder="1"/>
    <xf numFmtId="0" fontId="10" fillId="2" borderId="0" xfId="0" applyFont="1" applyFill="1"/>
    <xf numFmtId="1" fontId="11" fillId="0" borderId="2" xfId="0" applyNumberFormat="1" applyFont="1" applyBorder="1"/>
    <xf numFmtId="3" fontId="11" fillId="0" borderId="2" xfId="0" applyNumberFormat="1" applyFont="1" applyBorder="1"/>
    <xf numFmtId="167" fontId="2" fillId="0" borderId="1" xfId="0" applyNumberFormat="1" applyFont="1" applyBorder="1"/>
    <xf numFmtId="167" fontId="1" fillId="0" borderId="0" xfId="0" applyNumberFormat="1" applyFont="1"/>
    <xf numFmtId="167" fontId="2" fillId="0" borderId="0" xfId="0" applyNumberFormat="1" applyFont="1"/>
    <xf numFmtId="167" fontId="2" fillId="0" borderId="3" xfId="0" applyNumberFormat="1" applyFont="1" applyBorder="1"/>
    <xf numFmtId="16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VBG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 VBG</a:t>
          </a:r>
        </a:p>
      </cx:txPr>
    </cx:title>
    <cx:plotArea>
      <cx:plotAreaRegion>
        <cx:series layoutId="waterfall" uniqueId="{E8F0F067-64F0-CE44-80DA-A30EA21370F6}">
          <cx:dataPt idx="3"/>
          <cx:dataPt idx="8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774700</xdr:colOff>
      <xdr:row>0</xdr:row>
      <xdr:rowOff>0</xdr:rowOff>
    </xdr:from>
    <xdr:to>
      <xdr:col>16</xdr:col>
      <xdr:colOff>361896</xdr:colOff>
      <xdr:row>22</xdr:row>
      <xdr:rowOff>12700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2E31234-F161-F3EF-5B36-8298AFF2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1200" y="0"/>
          <a:ext cx="10318696" cy="5321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15</xdr:row>
      <xdr:rowOff>107950</xdr:rowOff>
    </xdr:from>
    <xdr:to>
      <xdr:col>7</xdr:col>
      <xdr:colOff>330200</xdr:colOff>
      <xdr:row>31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C56EE34B-985B-012A-00A5-9773AA49CC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7550" y="4679950"/>
              <a:ext cx="6216650" cy="481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409654-C327-2D4C-962B-5CC2F13398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2f64dbe-e5cd-4315-902a-e951ed318f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13"/>
  <sheetViews>
    <sheetView showGridLines="0" workbookViewId="0">
      <selection activeCell="A14" sqref="A14"/>
    </sheetView>
  </sheetViews>
  <sheetFormatPr baseColWidth="10" defaultRowHeight="19" x14ac:dyDescent="0.25"/>
  <cols>
    <col min="1" max="16384" width="10.83203125" style="2"/>
  </cols>
  <sheetData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13" spans="1:1" x14ac:dyDescent="0.25">
      <c r="A13" s="1" t="s">
        <v>152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A93"/>
  <sheetViews>
    <sheetView showGridLines="0" zoomScaleNormal="100" workbookViewId="0">
      <pane xSplit="3" ySplit="3" topLeftCell="AC4" activePane="bottomRight" state="frozen"/>
      <selection pane="topRight" activeCell="D1" sqref="D1"/>
      <selection pane="bottomLeft" activeCell="A4" sqref="A4"/>
      <selection pane="bottomRight" activeCell="AK23" sqref="AK23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6.8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9" width="10.83203125" style="2"/>
    <col min="20" max="20" width="12" style="2" bestFit="1" customWidth="1"/>
    <col min="21" max="23" width="12" style="2" customWidth="1"/>
    <col min="24" max="46" width="10.83203125" style="2"/>
    <col min="47" max="47" width="14.1640625" style="2" bestFit="1" customWidth="1"/>
    <col min="48" max="48" width="14.83203125" style="2" bestFit="1" customWidth="1"/>
    <col min="49" max="16384" width="10.83203125" style="2"/>
  </cols>
  <sheetData>
    <row r="1" spans="1:45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45" x14ac:dyDescent="0.25">
      <c r="A3" s="1" t="s">
        <v>0</v>
      </c>
      <c r="C3" s="2" t="s">
        <v>38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154</v>
      </c>
      <c r="U3" s="7" t="s">
        <v>155</v>
      </c>
      <c r="V3" s="7" t="s">
        <v>156</v>
      </c>
      <c r="W3" s="7" t="s">
        <v>157</v>
      </c>
      <c r="Y3" s="7" t="s">
        <v>124</v>
      </c>
      <c r="Z3" s="7" t="s">
        <v>125</v>
      </c>
      <c r="AA3" s="7" t="s">
        <v>122</v>
      </c>
      <c r="AB3" s="7" t="s">
        <v>123</v>
      </c>
      <c r="AC3" s="7" t="s">
        <v>32</v>
      </c>
      <c r="AD3" s="7" t="s">
        <v>33</v>
      </c>
      <c r="AE3" s="7" t="s">
        <v>34</v>
      </c>
      <c r="AF3" s="7" t="s">
        <v>15</v>
      </c>
      <c r="AG3" s="7" t="s">
        <v>16</v>
      </c>
      <c r="AH3" s="7" t="s">
        <v>17</v>
      </c>
      <c r="AI3" s="7" t="s">
        <v>18</v>
      </c>
      <c r="AJ3" s="7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24</v>
      </c>
      <c r="AP3" s="7" t="s">
        <v>25</v>
      </c>
      <c r="AQ3" s="7" t="s">
        <v>26</v>
      </c>
      <c r="AR3" s="7" t="s">
        <v>27</v>
      </c>
      <c r="AS3" s="7" t="s">
        <v>28</v>
      </c>
    </row>
    <row r="4" spans="1:45" x14ac:dyDescent="0.25">
      <c r="A4" s="2" t="s">
        <v>1</v>
      </c>
      <c r="B4" s="4">
        <v>306</v>
      </c>
      <c r="C4" s="1" t="s">
        <v>47</v>
      </c>
      <c r="D4" s="11">
        <v>1155.5</v>
      </c>
      <c r="E4" s="11">
        <v>1141.3</v>
      </c>
      <c r="F4" s="11">
        <v>1091.5999999999999</v>
      </c>
      <c r="G4" s="11">
        <v>1191.5</v>
      </c>
      <c r="H4" s="11">
        <v>1399.9</v>
      </c>
      <c r="I4" s="11">
        <v>1450.2</v>
      </c>
      <c r="J4" s="11">
        <v>1439.9</v>
      </c>
      <c r="K4" s="11">
        <v>1449.9</v>
      </c>
      <c r="L4" s="11">
        <v>1535</v>
      </c>
      <c r="M4" s="11">
        <v>1494.3</v>
      </c>
      <c r="N4" s="11">
        <v>1272.9000000000001</v>
      </c>
      <c r="O4" s="11">
        <v>1276.5999999999999</v>
      </c>
      <c r="P4" s="11">
        <v>1351.3</v>
      </c>
      <c r="Q4" s="11">
        <v>1362.4</v>
      </c>
      <c r="R4" s="11">
        <v>1367.9</v>
      </c>
      <c r="S4" s="11">
        <v>1312.5</v>
      </c>
      <c r="T4" s="11">
        <v>1376.4</v>
      </c>
      <c r="U4" s="11">
        <v>1480.4</v>
      </c>
      <c r="V4" s="13"/>
      <c r="W4" s="13"/>
      <c r="X4" s="13"/>
      <c r="Y4" s="11">
        <v>1315.3</v>
      </c>
      <c r="Z4" s="11">
        <v>1543.9</v>
      </c>
      <c r="AA4" s="11">
        <v>3002.0450000000001</v>
      </c>
      <c r="AB4" s="11">
        <v>3492.4490000000001</v>
      </c>
      <c r="AC4" s="11">
        <v>3725.442</v>
      </c>
      <c r="AD4" s="11">
        <v>3147.1570000000002</v>
      </c>
      <c r="AE4" s="11">
        <v>3611.2240000000002</v>
      </c>
      <c r="AF4" s="11">
        <v>4579.9780000000001</v>
      </c>
      <c r="AG4" s="11">
        <v>5739.7560000000003</v>
      </c>
      <c r="AH4" s="11">
        <v>5578.8590000000004</v>
      </c>
      <c r="AI4" s="11">
        <v>5394</v>
      </c>
      <c r="AJ4" s="11">
        <f>AI4*1.06</f>
        <v>5717.64</v>
      </c>
      <c r="AK4" s="11">
        <f>AJ4*1.05</f>
        <v>6003.5220000000008</v>
      </c>
      <c r="AL4" s="11">
        <f t="shared" ref="AL4:AS4" si="0">AK4*1.05</f>
        <v>6303.6981000000014</v>
      </c>
      <c r="AM4" s="11">
        <f t="shared" si="0"/>
        <v>6618.8830050000015</v>
      </c>
      <c r="AN4" s="11">
        <f t="shared" si="0"/>
        <v>6949.8271552500019</v>
      </c>
      <c r="AO4" s="11">
        <f t="shared" si="0"/>
        <v>7297.3185130125021</v>
      </c>
      <c r="AP4" s="11">
        <f t="shared" si="0"/>
        <v>7662.1844386631274</v>
      </c>
      <c r="AQ4" s="11">
        <f t="shared" si="0"/>
        <v>8045.2936605962841</v>
      </c>
      <c r="AR4" s="11">
        <f t="shared" si="0"/>
        <v>8447.5583436260986</v>
      </c>
      <c r="AS4" s="11">
        <f t="shared" si="0"/>
        <v>8869.9362608074043</v>
      </c>
    </row>
    <row r="5" spans="1:45" x14ac:dyDescent="0.25">
      <c r="A5" s="2" t="s">
        <v>2</v>
      </c>
      <c r="B5" s="5">
        <v>25.003</v>
      </c>
      <c r="C5" s="2" t="s">
        <v>48</v>
      </c>
      <c r="D5" s="13">
        <v>-794</v>
      </c>
      <c r="E5" s="13">
        <v>-806.9</v>
      </c>
      <c r="F5" s="13">
        <v>-787.1</v>
      </c>
      <c r="G5" s="13">
        <v>-844.7</v>
      </c>
      <c r="H5" s="13">
        <v>-973</v>
      </c>
      <c r="I5" s="13">
        <v>-993.3</v>
      </c>
      <c r="J5" s="13">
        <v>-1002.2</v>
      </c>
      <c r="K5" s="13">
        <v>-984.7</v>
      </c>
      <c r="L5" s="13">
        <v>-1034.5</v>
      </c>
      <c r="M5" s="13">
        <v>-1001.5</v>
      </c>
      <c r="N5" s="13">
        <v>-871.7</v>
      </c>
      <c r="O5" s="13">
        <v>-859.1</v>
      </c>
      <c r="P5" s="13">
        <v>-916</v>
      </c>
      <c r="Q5" s="13">
        <v>-923.9</v>
      </c>
      <c r="R5" s="13">
        <v>-940</v>
      </c>
      <c r="S5" s="13">
        <v>-917.3</v>
      </c>
      <c r="T5" s="13">
        <v>-930.8</v>
      </c>
      <c r="U5" s="13">
        <v>-1051.0999999999999</v>
      </c>
      <c r="V5" s="13"/>
      <c r="W5" s="13"/>
      <c r="X5" s="13"/>
      <c r="Y5" s="13"/>
      <c r="Z5" s="13"/>
      <c r="AA5" s="13">
        <v>-1934.143</v>
      </c>
      <c r="AB5" s="13">
        <v>-2301.5720000000001</v>
      </c>
      <c r="AC5" s="13">
        <v>-2471.5500000000002</v>
      </c>
      <c r="AD5" s="13">
        <v>-2083.607</v>
      </c>
      <c r="AE5" s="13">
        <v>-2446.404</v>
      </c>
      <c r="AF5" s="13">
        <v>-3232.6909999999998</v>
      </c>
      <c r="AG5" s="13">
        <v>-3980.7640000000001</v>
      </c>
      <c r="AH5" s="13">
        <v>-3773.1819999999998</v>
      </c>
      <c r="AI5" s="13">
        <v>-3697</v>
      </c>
      <c r="AJ5" s="13">
        <f>AJ4*-0.69</f>
        <v>-3945.1716000000001</v>
      </c>
      <c r="AK5" s="13">
        <f t="shared" ref="AK5:AS5" si="1">AK4*-0.69</f>
        <v>-4142.4301800000003</v>
      </c>
      <c r="AL5" s="13">
        <f t="shared" si="1"/>
        <v>-4349.5516890000008</v>
      </c>
      <c r="AM5" s="13">
        <f t="shared" si="1"/>
        <v>-4567.0292734500008</v>
      </c>
      <c r="AN5" s="13">
        <f t="shared" si="1"/>
        <v>-4795.3807371225012</v>
      </c>
      <c r="AO5" s="13">
        <f t="shared" si="1"/>
        <v>-5035.1497739786264</v>
      </c>
      <c r="AP5" s="13">
        <f t="shared" si="1"/>
        <v>-5286.9072626775578</v>
      </c>
      <c r="AQ5" s="13">
        <f t="shared" si="1"/>
        <v>-5551.2526258114358</v>
      </c>
      <c r="AR5" s="13">
        <f t="shared" si="1"/>
        <v>-5828.8152571020073</v>
      </c>
      <c r="AS5" s="13">
        <f t="shared" si="1"/>
        <v>-6120.2560199571089</v>
      </c>
    </row>
    <row r="6" spans="1:45" x14ac:dyDescent="0.25">
      <c r="A6" s="2" t="s">
        <v>39</v>
      </c>
      <c r="B6" s="5">
        <f>B4*B5</f>
        <v>7650.9179999999997</v>
      </c>
      <c r="C6" s="2" t="s">
        <v>49</v>
      </c>
      <c r="D6" s="13">
        <f t="shared" ref="D6:Q6" si="2">SUM(D4:D5)</f>
        <v>361.5</v>
      </c>
      <c r="E6" s="13">
        <f t="shared" si="2"/>
        <v>334.4</v>
      </c>
      <c r="F6" s="13">
        <f t="shared" si="2"/>
        <v>304.49999999999989</v>
      </c>
      <c r="G6" s="13">
        <f t="shared" si="2"/>
        <v>346.79999999999995</v>
      </c>
      <c r="H6" s="13">
        <f t="shared" si="2"/>
        <v>426.90000000000009</v>
      </c>
      <c r="I6" s="13">
        <f t="shared" si="2"/>
        <v>456.90000000000009</v>
      </c>
      <c r="J6" s="13">
        <f t="shared" si="2"/>
        <v>437.70000000000005</v>
      </c>
      <c r="K6" s="13">
        <f t="shared" si="2"/>
        <v>465.20000000000005</v>
      </c>
      <c r="L6" s="13">
        <f t="shared" si="2"/>
        <v>500.5</v>
      </c>
      <c r="M6" s="13">
        <f t="shared" si="2"/>
        <v>492.79999999999995</v>
      </c>
      <c r="N6" s="13">
        <f t="shared" si="2"/>
        <v>401.20000000000005</v>
      </c>
      <c r="O6" s="13">
        <f t="shared" si="2"/>
        <v>417.49999999999989</v>
      </c>
      <c r="P6" s="13">
        <f t="shared" si="2"/>
        <v>435.29999999999995</v>
      </c>
      <c r="Q6" s="13">
        <f t="shared" si="2"/>
        <v>438.50000000000011</v>
      </c>
      <c r="R6" s="13">
        <f t="shared" ref="R6:S6" si="3">SUM(R4:R5)</f>
        <v>427.90000000000009</v>
      </c>
      <c r="S6" s="13">
        <f t="shared" si="3"/>
        <v>395.20000000000005</v>
      </c>
      <c r="T6" s="13">
        <f t="shared" ref="T6:U6" si="4">SUM(T4:T5)</f>
        <v>445.60000000000014</v>
      </c>
      <c r="U6" s="13">
        <f t="shared" si="4"/>
        <v>429.30000000000018</v>
      </c>
      <c r="V6" s="13"/>
      <c r="W6" s="13"/>
      <c r="X6" s="13"/>
      <c r="Y6" s="13"/>
      <c r="Z6" s="13"/>
      <c r="AA6" s="13">
        <f t="shared" ref="AA6:AH6" si="5">SUM(AA4:AA5)</f>
        <v>1067.902</v>
      </c>
      <c r="AB6" s="13">
        <f t="shared" si="5"/>
        <v>1190.877</v>
      </c>
      <c r="AC6" s="13">
        <f t="shared" si="5"/>
        <v>1253.8919999999998</v>
      </c>
      <c r="AD6" s="13">
        <f t="shared" si="5"/>
        <v>1063.5500000000002</v>
      </c>
      <c r="AE6" s="13">
        <f t="shared" si="5"/>
        <v>1164.8200000000002</v>
      </c>
      <c r="AF6" s="13">
        <f t="shared" si="5"/>
        <v>1347.2870000000003</v>
      </c>
      <c r="AG6" s="13">
        <f t="shared" si="5"/>
        <v>1758.9920000000002</v>
      </c>
      <c r="AH6" s="13">
        <f t="shared" si="5"/>
        <v>1805.6770000000006</v>
      </c>
      <c r="AI6" s="13">
        <f t="shared" ref="AI6:AS6" si="6">SUM(AI4:AI5)</f>
        <v>1697</v>
      </c>
      <c r="AJ6" s="13">
        <f t="shared" si="6"/>
        <v>1772.4684000000002</v>
      </c>
      <c r="AK6" s="13">
        <f t="shared" si="6"/>
        <v>1861.0918200000006</v>
      </c>
      <c r="AL6" s="13">
        <f t="shared" si="6"/>
        <v>1954.1464110000006</v>
      </c>
      <c r="AM6" s="13">
        <f t="shared" si="6"/>
        <v>2051.8537315500007</v>
      </c>
      <c r="AN6" s="13">
        <f t="shared" si="6"/>
        <v>2154.4464181275007</v>
      </c>
      <c r="AO6" s="13">
        <f t="shared" si="6"/>
        <v>2262.1687390338757</v>
      </c>
      <c r="AP6" s="13">
        <f t="shared" si="6"/>
        <v>2375.2771759855696</v>
      </c>
      <c r="AQ6" s="13">
        <f t="shared" si="6"/>
        <v>2494.0410347848483</v>
      </c>
      <c r="AR6" s="13">
        <f t="shared" si="6"/>
        <v>2618.7430865240913</v>
      </c>
      <c r="AS6" s="13">
        <f t="shared" si="6"/>
        <v>2749.6802408502954</v>
      </c>
    </row>
    <row r="7" spans="1:45" x14ac:dyDescent="0.25">
      <c r="A7" s="2" t="s">
        <v>40</v>
      </c>
      <c r="B7" s="5">
        <f>U46</f>
        <v>984</v>
      </c>
      <c r="C7" s="2" t="s">
        <v>50</v>
      </c>
      <c r="D7" s="13">
        <v>-94</v>
      </c>
      <c r="E7" s="13">
        <v>-97.8</v>
      </c>
      <c r="F7" s="13">
        <v>-97.8</v>
      </c>
      <c r="G7" s="13">
        <v>-102.8</v>
      </c>
      <c r="H7" s="13">
        <v>-102</v>
      </c>
      <c r="I7" s="13">
        <v>-105.7</v>
      </c>
      <c r="J7" s="13">
        <v>-102.9</v>
      </c>
      <c r="K7" s="13">
        <v>-117.6</v>
      </c>
      <c r="L7" s="13">
        <v>-105.9</v>
      </c>
      <c r="M7" s="13">
        <v>-123.6</v>
      </c>
      <c r="N7" s="13">
        <v>-105.9</v>
      </c>
      <c r="O7" s="13">
        <v>-123.4</v>
      </c>
      <c r="P7" s="13">
        <v>-116</v>
      </c>
      <c r="Q7" s="13">
        <v>-115.3</v>
      </c>
      <c r="R7" s="13">
        <v>-126.4</v>
      </c>
      <c r="S7" s="13">
        <v>-123.5</v>
      </c>
      <c r="T7" s="13">
        <v>-128.6</v>
      </c>
      <c r="U7" s="13">
        <v>-126.6</v>
      </c>
      <c r="V7" s="13"/>
      <c r="W7" s="13"/>
      <c r="X7" s="13"/>
      <c r="Y7" s="13"/>
      <c r="Z7" s="13"/>
      <c r="AA7" s="13">
        <v>-332.08199999999999</v>
      </c>
      <c r="AB7" s="13">
        <v>-381.68</v>
      </c>
      <c r="AC7" s="13">
        <v>-380</v>
      </c>
      <c r="AD7" s="13">
        <v>-321.72000000000003</v>
      </c>
      <c r="AE7" s="13">
        <v>-315.24299999999999</v>
      </c>
      <c r="AF7" s="13">
        <v>-392.50900000000001</v>
      </c>
      <c r="AG7" s="13">
        <v>-428.40499999999997</v>
      </c>
      <c r="AH7" s="13">
        <v>-458.87099999999998</v>
      </c>
      <c r="AI7" s="13">
        <v>-481</v>
      </c>
      <c r="AJ7" s="13">
        <f>AI7*1.05</f>
        <v>-505.05</v>
      </c>
      <c r="AK7" s="13">
        <f>AJ7*1.05</f>
        <v>-530.30250000000001</v>
      </c>
      <c r="AL7" s="13">
        <f t="shared" ref="AL7:AS7" si="7">AK7*1.05</f>
        <v>-556.81762500000002</v>
      </c>
      <c r="AM7" s="13">
        <f t="shared" si="7"/>
        <v>-584.65850625000007</v>
      </c>
      <c r="AN7" s="13">
        <f t="shared" si="7"/>
        <v>-613.89143156250009</v>
      </c>
      <c r="AO7" s="13">
        <f t="shared" si="7"/>
        <v>-644.58600314062517</v>
      </c>
      <c r="AP7" s="13">
        <f t="shared" si="7"/>
        <v>-676.81530329765644</v>
      </c>
      <c r="AQ7" s="13">
        <f t="shared" si="7"/>
        <v>-710.65606846253934</v>
      </c>
      <c r="AR7" s="13">
        <f t="shared" si="7"/>
        <v>-746.18887188566634</v>
      </c>
      <c r="AS7" s="13">
        <f t="shared" si="7"/>
        <v>-783.49831547994972</v>
      </c>
    </row>
    <row r="8" spans="1:45" x14ac:dyDescent="0.25">
      <c r="A8" s="2" t="s">
        <v>41</v>
      </c>
      <c r="B8" s="5">
        <f>U57</f>
        <v>1480.2</v>
      </c>
      <c r="C8" s="2" t="s">
        <v>51</v>
      </c>
      <c r="D8" s="13">
        <v>-77.400000000000006</v>
      </c>
      <c r="E8" s="13">
        <v>-85.9</v>
      </c>
      <c r="F8" s="13">
        <v>-81.400000000000006</v>
      </c>
      <c r="G8" s="13">
        <v>-92</v>
      </c>
      <c r="H8" s="13">
        <v>-89.6</v>
      </c>
      <c r="I8" s="13">
        <v>-98</v>
      </c>
      <c r="J8" s="13">
        <v>-80.2</v>
      </c>
      <c r="K8" s="13">
        <v>-102.1</v>
      </c>
      <c r="L8" s="13">
        <v>-107.8</v>
      </c>
      <c r="M8" s="13">
        <v>-109.6</v>
      </c>
      <c r="N8" s="13">
        <v>-97.3</v>
      </c>
      <c r="O8" s="13">
        <v>-105.4</v>
      </c>
      <c r="P8" s="13">
        <v>-109</v>
      </c>
      <c r="Q8" s="13">
        <v>-116.1</v>
      </c>
      <c r="R8" s="13">
        <v>-106.2</v>
      </c>
      <c r="S8" s="13">
        <v>-98.6</v>
      </c>
      <c r="T8" s="13">
        <v>-120.4</v>
      </c>
      <c r="U8" s="13">
        <v>-129.5</v>
      </c>
      <c r="V8" s="13"/>
      <c r="W8" s="13"/>
      <c r="X8" s="13"/>
      <c r="Y8" s="13"/>
      <c r="Z8" s="13"/>
      <c r="AA8" s="13">
        <v>-253.46700000000001</v>
      </c>
      <c r="AB8" s="13">
        <v>-264.959</v>
      </c>
      <c r="AC8" s="13">
        <v>-274.94600000000003</v>
      </c>
      <c r="AD8" s="13">
        <v>-242.57400000000001</v>
      </c>
      <c r="AE8" s="13">
        <v>-269.31700000000001</v>
      </c>
      <c r="AF8" s="13">
        <v>-336.66399999999999</v>
      </c>
      <c r="AG8" s="13">
        <v>-369.21</v>
      </c>
      <c r="AH8" s="13">
        <v>-419.99400000000003</v>
      </c>
      <c r="AI8" s="13">
        <v>-430</v>
      </c>
      <c r="AJ8" s="13">
        <f t="shared" ref="AJ8:AJ11" si="8">AI8*1.05</f>
        <v>-451.5</v>
      </c>
      <c r="AK8" s="13">
        <f t="shared" ref="AK8:AS11" si="9">AJ8*1.05</f>
        <v>-474.07500000000005</v>
      </c>
      <c r="AL8" s="13">
        <f t="shared" si="9"/>
        <v>-497.77875000000006</v>
      </c>
      <c r="AM8" s="13">
        <f t="shared" si="9"/>
        <v>-522.66768750000006</v>
      </c>
      <c r="AN8" s="13">
        <f t="shared" si="9"/>
        <v>-548.80107187500005</v>
      </c>
      <c r="AO8" s="13">
        <f t="shared" si="9"/>
        <v>-576.24112546875006</v>
      </c>
      <c r="AP8" s="13">
        <f t="shared" si="9"/>
        <v>-605.05318174218758</v>
      </c>
      <c r="AQ8" s="13">
        <f t="shared" si="9"/>
        <v>-635.30584082929693</v>
      </c>
      <c r="AR8" s="13">
        <f t="shared" si="9"/>
        <v>-667.07113287076174</v>
      </c>
      <c r="AS8" s="13">
        <f t="shared" si="9"/>
        <v>-700.42468951429987</v>
      </c>
    </row>
    <row r="9" spans="1:45" x14ac:dyDescent="0.25">
      <c r="A9" s="3" t="s">
        <v>42</v>
      </c>
      <c r="B9" s="6">
        <f>B6-B7+B8</f>
        <v>8147.1179999999995</v>
      </c>
      <c r="C9" s="2" t="s">
        <v>52</v>
      </c>
      <c r="D9" s="13">
        <v>-32</v>
      </c>
      <c r="E9" s="13">
        <v>-34.700000000000003</v>
      </c>
      <c r="F9" s="13">
        <v>-33.200000000000003</v>
      </c>
      <c r="G9" s="13">
        <v>-34.5</v>
      </c>
      <c r="H9" s="13">
        <v>-34.6</v>
      </c>
      <c r="I9" s="13">
        <v>-37.200000000000003</v>
      </c>
      <c r="J9" s="13">
        <v>-35.799999999999997</v>
      </c>
      <c r="K9" s="13">
        <v>-34.6</v>
      </c>
      <c r="L9" s="13">
        <v>-40.1</v>
      </c>
      <c r="M9" s="13">
        <v>-44.8</v>
      </c>
      <c r="N9" s="13">
        <v>-38.9</v>
      </c>
      <c r="O9" s="13">
        <v>-39.1</v>
      </c>
      <c r="P9" s="13">
        <v>-41.1</v>
      </c>
      <c r="Q9" s="13">
        <v>-37.799999999999997</v>
      </c>
      <c r="R9" s="13">
        <v>-38.799999999999997</v>
      </c>
      <c r="S9" s="13">
        <v>-34.1</v>
      </c>
      <c r="T9" s="13">
        <v>-37.5</v>
      </c>
      <c r="U9" s="13">
        <v>-43</v>
      </c>
      <c r="V9" s="13"/>
      <c r="W9" s="13"/>
      <c r="X9" s="13"/>
      <c r="Y9" s="13"/>
      <c r="Z9" s="13"/>
      <c r="AA9" s="13">
        <v>-106.39400000000001</v>
      </c>
      <c r="AB9" s="13">
        <v>-136.40299999999999</v>
      </c>
      <c r="AC9" s="13">
        <v>-136.66800000000001</v>
      </c>
      <c r="AD9" s="13">
        <v>-113.634</v>
      </c>
      <c r="AE9" s="13">
        <v>-109.994</v>
      </c>
      <c r="AF9" s="13">
        <v>-134.38</v>
      </c>
      <c r="AG9" s="13">
        <v>-141.93799999999999</v>
      </c>
      <c r="AH9" s="13">
        <v>-162.875</v>
      </c>
      <c r="AI9" s="13">
        <v>-152</v>
      </c>
      <c r="AJ9" s="13">
        <f t="shared" si="8"/>
        <v>-159.6</v>
      </c>
      <c r="AK9" s="13">
        <f t="shared" si="9"/>
        <v>-167.58</v>
      </c>
      <c r="AL9" s="13">
        <f t="shared" si="9"/>
        <v>-175.95900000000003</v>
      </c>
      <c r="AM9" s="13">
        <f t="shared" si="9"/>
        <v>-184.75695000000005</v>
      </c>
      <c r="AN9" s="13">
        <f t="shared" si="9"/>
        <v>-193.99479750000006</v>
      </c>
      <c r="AO9" s="13">
        <f t="shared" si="9"/>
        <v>-203.69453737500007</v>
      </c>
      <c r="AP9" s="13">
        <f t="shared" si="9"/>
        <v>-213.87926424375007</v>
      </c>
      <c r="AQ9" s="13">
        <f t="shared" si="9"/>
        <v>-224.5732274559376</v>
      </c>
      <c r="AR9" s="13">
        <f t="shared" si="9"/>
        <v>-235.80188882873449</v>
      </c>
      <c r="AS9" s="13">
        <f t="shared" si="9"/>
        <v>-247.59198327017123</v>
      </c>
    </row>
    <row r="10" spans="1:45" x14ac:dyDescent="0.25">
      <c r="C10" s="2" t="s">
        <v>53</v>
      </c>
      <c r="D10" s="2">
        <v>0</v>
      </c>
      <c r="E10" s="2">
        <v>23.3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13">
        <v>4.9000000000000004</v>
      </c>
      <c r="M10" s="13">
        <v>0</v>
      </c>
      <c r="N10" s="13">
        <v>5</v>
      </c>
      <c r="O10" s="13">
        <v>21.6</v>
      </c>
      <c r="P10" s="13">
        <v>0</v>
      </c>
      <c r="Q10" s="13">
        <v>0</v>
      </c>
      <c r="R10" s="13">
        <v>1.8</v>
      </c>
      <c r="S10" s="13">
        <v>20.2</v>
      </c>
      <c r="T10" s="13">
        <v>2.7</v>
      </c>
      <c r="U10" s="13">
        <v>5.3</v>
      </c>
      <c r="V10" s="13"/>
      <c r="W10" s="13"/>
      <c r="X10" s="13"/>
      <c r="Y10" s="13"/>
      <c r="Z10" s="13"/>
      <c r="AA10" s="13">
        <v>3.4329999999999998</v>
      </c>
      <c r="AB10" s="13">
        <v>25.547999999999998</v>
      </c>
      <c r="AC10" s="13">
        <v>8.6999999999999993</v>
      </c>
      <c r="AD10" s="13">
        <v>7.89</v>
      </c>
      <c r="AE10" s="13">
        <v>9.5</v>
      </c>
      <c r="AF10" s="13">
        <v>74.739000000000004</v>
      </c>
      <c r="AG10" s="13">
        <v>22.364999999999998</v>
      </c>
      <c r="AH10" s="13">
        <v>33</v>
      </c>
      <c r="AI10" s="13">
        <v>22</v>
      </c>
      <c r="AJ10" s="13">
        <f t="shared" si="8"/>
        <v>23.1</v>
      </c>
      <c r="AK10" s="13">
        <f t="shared" si="9"/>
        <v>24.255000000000003</v>
      </c>
      <c r="AL10" s="13">
        <f t="shared" si="9"/>
        <v>25.467750000000002</v>
      </c>
      <c r="AM10" s="13">
        <f t="shared" si="9"/>
        <v>26.741137500000004</v>
      </c>
      <c r="AN10" s="13">
        <f t="shared" si="9"/>
        <v>28.078194375000006</v>
      </c>
      <c r="AO10" s="13">
        <f t="shared" si="9"/>
        <v>29.482104093750007</v>
      </c>
      <c r="AP10" s="13">
        <f t="shared" si="9"/>
        <v>30.956209298437507</v>
      </c>
      <c r="AQ10" s="13">
        <f t="shared" si="9"/>
        <v>32.504019763359381</v>
      </c>
      <c r="AR10" s="13">
        <f t="shared" si="9"/>
        <v>34.129220751527349</v>
      </c>
      <c r="AS10" s="13">
        <f t="shared" si="9"/>
        <v>35.835681789103717</v>
      </c>
    </row>
    <row r="11" spans="1:45" x14ac:dyDescent="0.25">
      <c r="C11" s="2" t="s">
        <v>54</v>
      </c>
      <c r="D11" s="2">
        <v>-1.7</v>
      </c>
      <c r="E11" s="2">
        <v>0</v>
      </c>
      <c r="F11" s="2">
        <v>12.4</v>
      </c>
      <c r="G11" s="2">
        <v>9.4</v>
      </c>
      <c r="H11" s="2">
        <v>-6.1</v>
      </c>
      <c r="I11" s="2">
        <v>-11.9</v>
      </c>
      <c r="J11" s="13">
        <v>-1.7</v>
      </c>
      <c r="K11" s="13">
        <v>-1.9</v>
      </c>
      <c r="L11" s="13">
        <v>0</v>
      </c>
      <c r="M11" s="13">
        <v>-5.7</v>
      </c>
      <c r="N11" s="13">
        <v>0</v>
      </c>
      <c r="O11" s="13">
        <v>0</v>
      </c>
      <c r="P11" s="13">
        <v>-3.5</v>
      </c>
      <c r="Q11" s="13">
        <v>-2.2000000000000002</v>
      </c>
      <c r="R11" s="13">
        <v>0</v>
      </c>
      <c r="S11" s="13">
        <v>0</v>
      </c>
      <c r="T11" s="13">
        <v>0</v>
      </c>
      <c r="U11" s="13">
        <v>0</v>
      </c>
      <c r="V11" s="13"/>
      <c r="W11" s="13"/>
      <c r="X11" s="13"/>
      <c r="Y11" s="13"/>
      <c r="Z11" s="13"/>
      <c r="AA11" s="13">
        <v>-28.295999999999999</v>
      </c>
      <c r="AB11" s="13">
        <v>-15.836</v>
      </c>
      <c r="AC11" s="13">
        <v>-35.938000000000002</v>
      </c>
      <c r="AD11" s="13">
        <v>-40.14</v>
      </c>
      <c r="AE11" s="13">
        <v>-23.81</v>
      </c>
      <c r="AF11" s="13">
        <v>-31.254999999999999</v>
      </c>
      <c r="AG11" s="13">
        <v>-14.244999999999999</v>
      </c>
      <c r="AH11" s="13">
        <v>-1.1000000000000001</v>
      </c>
      <c r="AI11" s="13">
        <v>-6</v>
      </c>
      <c r="AJ11" s="13">
        <f t="shared" si="8"/>
        <v>-6.3000000000000007</v>
      </c>
      <c r="AK11" s="13">
        <f t="shared" si="9"/>
        <v>-6.6150000000000011</v>
      </c>
      <c r="AL11" s="13">
        <f t="shared" si="9"/>
        <v>-6.9457500000000012</v>
      </c>
      <c r="AM11" s="13">
        <f t="shared" si="9"/>
        <v>-7.2930375000000014</v>
      </c>
      <c r="AN11" s="13">
        <f t="shared" si="9"/>
        <v>-7.6576893750000021</v>
      </c>
      <c r="AO11" s="13">
        <f t="shared" si="9"/>
        <v>-8.0405738437500034</v>
      </c>
      <c r="AP11" s="13">
        <f t="shared" si="9"/>
        <v>-8.4426025359375032</v>
      </c>
      <c r="AQ11" s="13">
        <f t="shared" si="9"/>
        <v>-8.8647326627343794</v>
      </c>
      <c r="AR11" s="13">
        <f t="shared" si="9"/>
        <v>-9.3079692958710982</v>
      </c>
      <c r="AS11" s="13">
        <f t="shared" si="9"/>
        <v>-9.7733677606646534</v>
      </c>
    </row>
    <row r="12" spans="1:45" x14ac:dyDescent="0.25">
      <c r="A12" s="2" t="s">
        <v>159</v>
      </c>
      <c r="B12" s="51">
        <f>B4/(S52/B5)</f>
        <v>1.9293216663304418</v>
      </c>
      <c r="C12" s="2" t="s">
        <v>55</v>
      </c>
      <c r="D12" s="13">
        <f t="shared" ref="D12:Q12" si="10">D5+D7+D8+D9+D10+D11</f>
        <v>-999.1</v>
      </c>
      <c r="E12" s="13">
        <f t="shared" si="10"/>
        <v>-1002</v>
      </c>
      <c r="F12" s="13">
        <f t="shared" si="10"/>
        <v>-987.1</v>
      </c>
      <c r="G12" s="13">
        <f t="shared" si="10"/>
        <v>-1064.5999999999999</v>
      </c>
      <c r="H12" s="13">
        <f t="shared" si="10"/>
        <v>-1205.2999999999997</v>
      </c>
      <c r="I12" s="13">
        <f t="shared" si="10"/>
        <v>-1246.1000000000001</v>
      </c>
      <c r="J12" s="13">
        <f t="shared" si="10"/>
        <v>-1222.8000000000002</v>
      </c>
      <c r="K12" s="13">
        <f t="shared" si="10"/>
        <v>-1240.8999999999999</v>
      </c>
      <c r="L12" s="13">
        <f t="shared" si="10"/>
        <v>-1283.3999999999999</v>
      </c>
      <c r="M12" s="13">
        <f t="shared" si="10"/>
        <v>-1285.1999999999998</v>
      </c>
      <c r="N12" s="13">
        <f t="shared" si="10"/>
        <v>-1108.8000000000002</v>
      </c>
      <c r="O12" s="13">
        <f t="shared" si="10"/>
        <v>-1105.4000000000001</v>
      </c>
      <c r="P12" s="13">
        <f t="shared" si="10"/>
        <v>-1185.5999999999999</v>
      </c>
      <c r="Q12" s="13">
        <f t="shared" si="10"/>
        <v>-1195.3</v>
      </c>
      <c r="R12" s="13">
        <f t="shared" ref="R12:S12" si="11">R5+R7+R8+R9+R10+R11</f>
        <v>-1209.6000000000001</v>
      </c>
      <c r="S12" s="13">
        <f t="shared" si="11"/>
        <v>-1153.2999999999997</v>
      </c>
      <c r="T12" s="13">
        <f t="shared" ref="T12:U12" si="12">T5+T7+T8+T9+T10+T11</f>
        <v>-1214.5999999999999</v>
      </c>
      <c r="U12" s="13">
        <f t="shared" si="12"/>
        <v>-1344.8999999999999</v>
      </c>
      <c r="V12" s="13"/>
      <c r="W12" s="13"/>
      <c r="X12" s="13"/>
      <c r="Y12" s="13">
        <f>Y13-Y4</f>
        <v>-1180.5999999999999</v>
      </c>
      <c r="Z12" s="13">
        <f>Z13-Z4</f>
        <v>-1347.7</v>
      </c>
      <c r="AA12" s="13">
        <f t="shared" ref="AA12:AH12" si="13">AA5+AA7+AA8+AA9+AA10+AA11</f>
        <v>-2650.9490000000001</v>
      </c>
      <c r="AB12" s="13">
        <f t="shared" si="13"/>
        <v>-3074.9019999999996</v>
      </c>
      <c r="AC12" s="13">
        <f t="shared" si="13"/>
        <v>-3290.4020000000005</v>
      </c>
      <c r="AD12" s="13">
        <f t="shared" si="13"/>
        <v>-2793.7850000000003</v>
      </c>
      <c r="AE12" s="13">
        <f t="shared" si="13"/>
        <v>-3155.268</v>
      </c>
      <c r="AF12" s="13">
        <f t="shared" si="13"/>
        <v>-4052.7599999999998</v>
      </c>
      <c r="AG12" s="13">
        <f t="shared" si="13"/>
        <v>-4912.1970000000001</v>
      </c>
      <c r="AH12" s="13">
        <f t="shared" si="13"/>
        <v>-4783.0219999999999</v>
      </c>
      <c r="AI12" s="13">
        <f t="shared" ref="AI12:AS12" si="14">AI5+AI7+AI8+AI9+AI10+AI11</f>
        <v>-4744</v>
      </c>
      <c r="AJ12" s="13">
        <f t="shared" si="14"/>
        <v>-5044.5216</v>
      </c>
      <c r="AK12" s="13">
        <f t="shared" si="14"/>
        <v>-5296.7476799999995</v>
      </c>
      <c r="AL12" s="13">
        <f t="shared" si="14"/>
        <v>-5561.5850640000008</v>
      </c>
      <c r="AM12" s="13">
        <f t="shared" si="14"/>
        <v>-5839.6643172000004</v>
      </c>
      <c r="AN12" s="13">
        <f t="shared" si="14"/>
        <v>-6131.6475330600015</v>
      </c>
      <c r="AO12" s="13">
        <f t="shared" si="14"/>
        <v>-6438.2299097130026</v>
      </c>
      <c r="AP12" s="13">
        <f t="shared" si="14"/>
        <v>-6760.1414051986512</v>
      </c>
      <c r="AQ12" s="13">
        <f t="shared" si="14"/>
        <v>-7098.1484754585845</v>
      </c>
      <c r="AR12" s="13">
        <f t="shared" si="14"/>
        <v>-7453.0558992315136</v>
      </c>
      <c r="AS12" s="13">
        <f t="shared" si="14"/>
        <v>-7825.7086941930911</v>
      </c>
    </row>
    <row r="13" spans="1:45" x14ac:dyDescent="0.25">
      <c r="C13" s="1" t="s">
        <v>56</v>
      </c>
      <c r="D13" s="11">
        <f t="shared" ref="D13:Q13" si="15">D4+D12</f>
        <v>156.39999999999998</v>
      </c>
      <c r="E13" s="11">
        <f t="shared" si="15"/>
        <v>139.29999999999995</v>
      </c>
      <c r="F13" s="11">
        <f t="shared" si="15"/>
        <v>104.49999999999989</v>
      </c>
      <c r="G13" s="11">
        <f t="shared" si="15"/>
        <v>126.90000000000009</v>
      </c>
      <c r="H13" s="11">
        <f t="shared" si="15"/>
        <v>194.60000000000036</v>
      </c>
      <c r="I13" s="11">
        <f t="shared" si="15"/>
        <v>204.09999999999991</v>
      </c>
      <c r="J13" s="11">
        <f t="shared" si="15"/>
        <v>217.09999999999991</v>
      </c>
      <c r="K13" s="11">
        <f t="shared" si="15"/>
        <v>209.00000000000023</v>
      </c>
      <c r="L13" s="11">
        <f t="shared" si="15"/>
        <v>251.60000000000014</v>
      </c>
      <c r="M13" s="11">
        <f t="shared" si="15"/>
        <v>209.10000000000014</v>
      </c>
      <c r="N13" s="11">
        <f t="shared" si="15"/>
        <v>164.09999999999991</v>
      </c>
      <c r="O13" s="11">
        <f t="shared" si="15"/>
        <v>171.19999999999982</v>
      </c>
      <c r="P13" s="11">
        <f t="shared" si="15"/>
        <v>165.70000000000005</v>
      </c>
      <c r="Q13" s="11">
        <f t="shared" si="15"/>
        <v>167.10000000000014</v>
      </c>
      <c r="R13" s="11">
        <f t="shared" ref="R13:S13" si="16">R4+R12</f>
        <v>158.29999999999995</v>
      </c>
      <c r="S13" s="11">
        <f t="shared" si="16"/>
        <v>159.20000000000027</v>
      </c>
      <c r="T13" s="11">
        <f t="shared" ref="T13:U13" si="17">T4+T12</f>
        <v>161.80000000000018</v>
      </c>
      <c r="U13" s="11">
        <f t="shared" si="17"/>
        <v>135.50000000000023</v>
      </c>
      <c r="V13" s="11"/>
      <c r="W13" s="11"/>
      <c r="X13" s="11"/>
      <c r="Y13" s="11">
        <v>134.69999999999999</v>
      </c>
      <c r="Z13" s="11">
        <v>196.2</v>
      </c>
      <c r="AA13" s="11">
        <f t="shared" ref="AA13:AH13" si="18">AA4+AA12</f>
        <v>351.096</v>
      </c>
      <c r="AB13" s="11">
        <f t="shared" si="18"/>
        <v>417.54700000000048</v>
      </c>
      <c r="AC13" s="11">
        <f t="shared" si="18"/>
        <v>435.03999999999951</v>
      </c>
      <c r="AD13" s="11">
        <f t="shared" si="18"/>
        <v>353.37199999999984</v>
      </c>
      <c r="AE13" s="11">
        <f t="shared" si="18"/>
        <v>455.95600000000013</v>
      </c>
      <c r="AF13" s="11">
        <f t="shared" si="18"/>
        <v>527.2180000000003</v>
      </c>
      <c r="AG13" s="11">
        <f t="shared" si="18"/>
        <v>827.5590000000002</v>
      </c>
      <c r="AH13" s="11">
        <f t="shared" si="18"/>
        <v>795.83700000000044</v>
      </c>
      <c r="AI13" s="11">
        <f t="shared" ref="AI13:AS13" si="19">AI4+AI12</f>
        <v>650</v>
      </c>
      <c r="AJ13" s="11">
        <f t="shared" si="19"/>
        <v>673.11840000000029</v>
      </c>
      <c r="AK13" s="11">
        <f t="shared" si="19"/>
        <v>706.77432000000135</v>
      </c>
      <c r="AL13" s="11">
        <f t="shared" si="19"/>
        <v>742.11303600000065</v>
      </c>
      <c r="AM13" s="11">
        <f t="shared" si="19"/>
        <v>779.21868780000113</v>
      </c>
      <c r="AN13" s="11">
        <f t="shared" si="19"/>
        <v>818.17962219000037</v>
      </c>
      <c r="AO13" s="11">
        <f t="shared" si="19"/>
        <v>859.08860329949948</v>
      </c>
      <c r="AP13" s="11">
        <f t="shared" si="19"/>
        <v>902.04303346447614</v>
      </c>
      <c r="AQ13" s="11">
        <f t="shared" si="19"/>
        <v>947.14518513769963</v>
      </c>
      <c r="AR13" s="11">
        <f t="shared" si="19"/>
        <v>994.50244439458493</v>
      </c>
      <c r="AS13" s="11">
        <f t="shared" si="19"/>
        <v>1044.2275666143132</v>
      </c>
    </row>
    <row r="14" spans="1:45" x14ac:dyDescent="0.25">
      <c r="A14" s="2" t="s">
        <v>171</v>
      </c>
      <c r="C14" s="2" t="s">
        <v>57</v>
      </c>
      <c r="D14" s="13">
        <v>-8.5</v>
      </c>
      <c r="E14" s="13">
        <v>-6.3</v>
      </c>
      <c r="F14" s="13">
        <v>-3.2</v>
      </c>
      <c r="G14" s="13">
        <v>-21.4</v>
      </c>
      <c r="H14" s="13">
        <v>-14.4</v>
      </c>
      <c r="I14" s="13">
        <v>-22.9</v>
      </c>
      <c r="J14" s="13">
        <v>-0.2</v>
      </c>
      <c r="K14" s="13">
        <v>-25.5</v>
      </c>
      <c r="L14" s="13">
        <v>-1.3</v>
      </c>
      <c r="M14" s="13">
        <v>2.5</v>
      </c>
      <c r="N14" s="13">
        <v>-16.3</v>
      </c>
      <c r="O14" s="13">
        <v>1.3</v>
      </c>
      <c r="P14" s="13">
        <v>-14.3</v>
      </c>
      <c r="Q14" s="13">
        <v>-30.5</v>
      </c>
      <c r="R14" s="13">
        <v>-18.8</v>
      </c>
      <c r="S14" s="13">
        <v>-14</v>
      </c>
      <c r="T14" s="13">
        <v>-14.1</v>
      </c>
      <c r="U14" s="13">
        <v>-9.1</v>
      </c>
      <c r="V14" s="13"/>
      <c r="W14" s="13"/>
      <c r="X14" s="13"/>
      <c r="Y14" s="13"/>
      <c r="Z14" s="13"/>
      <c r="AA14" s="13">
        <v>-35.488999999999997</v>
      </c>
      <c r="AB14" s="13">
        <v>-44.5</v>
      </c>
      <c r="AC14" s="13">
        <v>-38.011000000000003</v>
      </c>
      <c r="AD14" s="13">
        <v>-26.9</v>
      </c>
      <c r="AE14" s="13">
        <v>-14.561</v>
      </c>
      <c r="AF14" s="13">
        <v>-39.421999999999997</v>
      </c>
      <c r="AG14" s="13">
        <v>-61.273000000000003</v>
      </c>
      <c r="AH14" s="13">
        <v>-13.724</v>
      </c>
      <c r="AI14" s="13">
        <v>-78</v>
      </c>
      <c r="AJ14" s="13">
        <v>-50</v>
      </c>
      <c r="AK14" s="13">
        <v>-50</v>
      </c>
      <c r="AL14" s="13">
        <v>-50</v>
      </c>
      <c r="AM14" s="13">
        <v>-50</v>
      </c>
      <c r="AN14" s="13">
        <v>-50</v>
      </c>
      <c r="AO14" s="13">
        <v>-50</v>
      </c>
      <c r="AP14" s="13">
        <v>-50</v>
      </c>
      <c r="AQ14" s="13">
        <v>-50</v>
      </c>
      <c r="AR14" s="13">
        <v>-50</v>
      </c>
      <c r="AS14" s="13">
        <v>-50</v>
      </c>
    </row>
    <row r="15" spans="1:45" x14ac:dyDescent="0.25">
      <c r="C15" s="2" t="s">
        <v>58</v>
      </c>
      <c r="D15" s="13">
        <f t="shared" ref="D15:Q15" si="20">SUM(D13:D14)</f>
        <v>147.89999999999998</v>
      </c>
      <c r="E15" s="13">
        <f t="shared" si="20"/>
        <v>132.99999999999994</v>
      </c>
      <c r="F15" s="13">
        <f t="shared" si="20"/>
        <v>101.29999999999988</v>
      </c>
      <c r="G15" s="13">
        <f t="shared" si="20"/>
        <v>105.50000000000009</v>
      </c>
      <c r="H15" s="13">
        <f t="shared" si="20"/>
        <v>180.20000000000036</v>
      </c>
      <c r="I15" s="13">
        <f t="shared" si="20"/>
        <v>181.1999999999999</v>
      </c>
      <c r="J15" s="13">
        <f t="shared" si="20"/>
        <v>216.89999999999992</v>
      </c>
      <c r="K15" s="13">
        <f t="shared" si="20"/>
        <v>183.50000000000023</v>
      </c>
      <c r="L15" s="13">
        <f t="shared" si="20"/>
        <v>250.30000000000013</v>
      </c>
      <c r="M15" s="13">
        <f t="shared" si="20"/>
        <v>211.60000000000014</v>
      </c>
      <c r="N15" s="13">
        <f t="shared" si="20"/>
        <v>147.7999999999999</v>
      </c>
      <c r="O15" s="13">
        <f t="shared" si="20"/>
        <v>172.49999999999983</v>
      </c>
      <c r="P15" s="13">
        <f t="shared" si="20"/>
        <v>151.40000000000003</v>
      </c>
      <c r="Q15" s="13">
        <f t="shared" si="20"/>
        <v>136.60000000000014</v>
      </c>
      <c r="R15" s="13">
        <f t="shared" ref="R15:S15" si="21">SUM(R13:R14)</f>
        <v>139.49999999999994</v>
      </c>
      <c r="S15" s="13">
        <f t="shared" si="21"/>
        <v>145.20000000000027</v>
      </c>
      <c r="T15" s="13">
        <f t="shared" ref="T15:U15" si="22">SUM(T13:T14)</f>
        <v>147.70000000000019</v>
      </c>
      <c r="U15" s="13">
        <f t="shared" si="22"/>
        <v>126.40000000000023</v>
      </c>
      <c r="V15" s="13"/>
      <c r="W15" s="13"/>
      <c r="X15" s="13"/>
      <c r="Y15" s="13"/>
      <c r="Z15" s="13"/>
      <c r="AA15" s="13">
        <f t="shared" ref="AA15:AH15" si="23">SUM(AA13:AA14)</f>
        <v>315.60700000000003</v>
      </c>
      <c r="AB15" s="13">
        <f t="shared" si="23"/>
        <v>373.04700000000048</v>
      </c>
      <c r="AC15" s="13">
        <f t="shared" si="23"/>
        <v>397.02899999999948</v>
      </c>
      <c r="AD15" s="13">
        <f t="shared" si="23"/>
        <v>326.47199999999987</v>
      </c>
      <c r="AE15" s="13">
        <f t="shared" si="23"/>
        <v>441.39500000000015</v>
      </c>
      <c r="AF15" s="13">
        <f t="shared" si="23"/>
        <v>487.79600000000028</v>
      </c>
      <c r="AG15" s="13">
        <f t="shared" si="23"/>
        <v>766.28600000000017</v>
      </c>
      <c r="AH15" s="13">
        <f t="shared" si="23"/>
        <v>782.1130000000004</v>
      </c>
      <c r="AI15" s="13">
        <f t="shared" ref="AI15:AS15" si="24">SUM(AI13:AI14)</f>
        <v>572</v>
      </c>
      <c r="AJ15" s="13">
        <f t="shared" si="24"/>
        <v>623.11840000000029</v>
      </c>
      <c r="AK15" s="13">
        <f t="shared" si="24"/>
        <v>656.77432000000135</v>
      </c>
      <c r="AL15" s="13">
        <f t="shared" si="24"/>
        <v>692.11303600000065</v>
      </c>
      <c r="AM15" s="13">
        <f t="shared" si="24"/>
        <v>729.21868780000113</v>
      </c>
      <c r="AN15" s="13">
        <f t="shared" si="24"/>
        <v>768.17962219000037</v>
      </c>
      <c r="AO15" s="13">
        <f t="shared" si="24"/>
        <v>809.08860329949948</v>
      </c>
      <c r="AP15" s="13">
        <f t="shared" si="24"/>
        <v>852.04303346447614</v>
      </c>
      <c r="AQ15" s="13">
        <f t="shared" si="24"/>
        <v>897.14518513769963</v>
      </c>
      <c r="AR15" s="13">
        <f t="shared" si="24"/>
        <v>944.50244439458493</v>
      </c>
      <c r="AS15" s="13">
        <f t="shared" si="24"/>
        <v>994.22756661431322</v>
      </c>
    </row>
    <row r="16" spans="1:45" x14ac:dyDescent="0.25">
      <c r="C16" s="2" t="s">
        <v>59</v>
      </c>
      <c r="D16" s="13">
        <v>-33.5</v>
      </c>
      <c r="E16" s="13">
        <v>-32.4</v>
      </c>
      <c r="F16" s="13">
        <v>-38.700000000000003</v>
      </c>
      <c r="G16" s="13">
        <v>-14.9</v>
      </c>
      <c r="H16" s="13">
        <v>-38.4</v>
      </c>
      <c r="I16" s="13">
        <v>-43</v>
      </c>
      <c r="J16" s="13">
        <v>-58</v>
      </c>
      <c r="K16" s="13">
        <v>-53.9</v>
      </c>
      <c r="L16" s="13">
        <v>-54.5</v>
      </c>
      <c r="M16" s="13">
        <v>-43.8</v>
      </c>
      <c r="N16" s="13">
        <v>-35.5</v>
      </c>
      <c r="O16" s="13">
        <v>-60.2</v>
      </c>
      <c r="P16" s="13">
        <v>-37</v>
      </c>
      <c r="Q16" s="13">
        <v>-36.6</v>
      </c>
      <c r="R16" s="13">
        <v>-42.8</v>
      </c>
      <c r="S16" s="13">
        <v>-34.4</v>
      </c>
      <c r="T16" s="13">
        <v>-34.5</v>
      </c>
      <c r="U16" s="13">
        <v>-36.799999999999997</v>
      </c>
      <c r="V16" s="13"/>
      <c r="W16" s="13"/>
      <c r="X16" s="13"/>
      <c r="Y16" s="13"/>
      <c r="Z16" s="13"/>
      <c r="AA16" s="13">
        <v>-95.114999999999995</v>
      </c>
      <c r="AB16" s="13">
        <v>-100.17700000000001</v>
      </c>
      <c r="AC16" s="13">
        <v>-97.489000000000004</v>
      </c>
      <c r="AD16" s="13">
        <v>-99.759</v>
      </c>
      <c r="AE16" s="13">
        <v>-104.324</v>
      </c>
      <c r="AF16" s="13">
        <v>-119.523</v>
      </c>
      <c r="AG16" s="13">
        <v>-194.21100000000001</v>
      </c>
      <c r="AH16" s="13">
        <v>-194</v>
      </c>
      <c r="AI16" s="13">
        <v>-151</v>
      </c>
      <c r="AJ16" s="13">
        <f t="shared" ref="AJ16:AS16" si="25">AJ15*-0.206</f>
        <v>-128.36239040000007</v>
      </c>
      <c r="AK16" s="13">
        <f t="shared" si="25"/>
        <v>-135.29550992000028</v>
      </c>
      <c r="AL16" s="13">
        <f t="shared" si="25"/>
        <v>-142.57528541600013</v>
      </c>
      <c r="AM16" s="13">
        <f t="shared" si="25"/>
        <v>-150.21904968680022</v>
      </c>
      <c r="AN16" s="13">
        <f t="shared" si="25"/>
        <v>-158.24500217114007</v>
      </c>
      <c r="AO16" s="13">
        <f t="shared" si="25"/>
        <v>-166.67225227969689</v>
      </c>
      <c r="AP16" s="13">
        <f t="shared" si="25"/>
        <v>-175.52086489368207</v>
      </c>
      <c r="AQ16" s="13">
        <f t="shared" si="25"/>
        <v>-184.81190813836611</v>
      </c>
      <c r="AR16" s="13">
        <f t="shared" si="25"/>
        <v>-194.5675035452845</v>
      </c>
      <c r="AS16" s="13">
        <f t="shared" si="25"/>
        <v>-204.81087872254852</v>
      </c>
    </row>
    <row r="17" spans="2:131" x14ac:dyDescent="0.25">
      <c r="C17" s="1" t="s">
        <v>60</v>
      </c>
      <c r="D17" s="11">
        <f t="shared" ref="D17:Q17" si="26">SUM(D15:D16)</f>
        <v>114.39999999999998</v>
      </c>
      <c r="E17" s="11">
        <f t="shared" si="26"/>
        <v>100.59999999999994</v>
      </c>
      <c r="F17" s="11">
        <f t="shared" si="26"/>
        <v>62.599999999999881</v>
      </c>
      <c r="G17" s="11">
        <f t="shared" si="26"/>
        <v>90.60000000000008</v>
      </c>
      <c r="H17" s="11">
        <f t="shared" si="26"/>
        <v>141.80000000000035</v>
      </c>
      <c r="I17" s="11">
        <f t="shared" si="26"/>
        <v>138.1999999999999</v>
      </c>
      <c r="J17" s="11">
        <f t="shared" si="26"/>
        <v>158.89999999999992</v>
      </c>
      <c r="K17" s="11">
        <f t="shared" si="26"/>
        <v>129.60000000000022</v>
      </c>
      <c r="L17" s="11">
        <f t="shared" si="26"/>
        <v>195.80000000000013</v>
      </c>
      <c r="M17" s="11">
        <f t="shared" si="26"/>
        <v>167.80000000000013</v>
      </c>
      <c r="N17" s="11">
        <f t="shared" si="26"/>
        <v>112.2999999999999</v>
      </c>
      <c r="O17" s="11">
        <f t="shared" si="26"/>
        <v>112.29999999999983</v>
      </c>
      <c r="P17" s="11">
        <f t="shared" si="26"/>
        <v>114.40000000000003</v>
      </c>
      <c r="Q17" s="11">
        <f t="shared" si="26"/>
        <v>100.00000000000014</v>
      </c>
      <c r="R17" s="11">
        <f t="shared" ref="R17:S17" si="27">SUM(R15:R16)</f>
        <v>96.699999999999946</v>
      </c>
      <c r="S17" s="11">
        <f t="shared" si="27"/>
        <v>110.80000000000027</v>
      </c>
      <c r="T17" s="11">
        <f t="shared" ref="T17:U17" si="28">SUM(T15:T16)</f>
        <v>113.20000000000019</v>
      </c>
      <c r="U17" s="11">
        <f t="shared" si="28"/>
        <v>89.600000000000236</v>
      </c>
      <c r="V17" s="22"/>
      <c r="W17" s="22"/>
      <c r="X17" s="11"/>
      <c r="Y17" s="11">
        <v>95.5</v>
      </c>
      <c r="Z17" s="11">
        <v>120.8</v>
      </c>
      <c r="AA17" s="11">
        <f t="shared" ref="AA17:AH17" si="29">SUM(AA15:AA16)</f>
        <v>220.49200000000002</v>
      </c>
      <c r="AB17" s="11">
        <f t="shared" si="29"/>
        <v>272.87000000000046</v>
      </c>
      <c r="AC17" s="11">
        <f t="shared" si="29"/>
        <v>299.53999999999951</v>
      </c>
      <c r="AD17" s="11">
        <f t="shared" si="29"/>
        <v>226.71299999999985</v>
      </c>
      <c r="AE17" s="11">
        <f t="shared" si="29"/>
        <v>337.07100000000014</v>
      </c>
      <c r="AF17" s="11">
        <f t="shared" si="29"/>
        <v>368.27300000000025</v>
      </c>
      <c r="AG17" s="11">
        <f t="shared" si="29"/>
        <v>572.07500000000016</v>
      </c>
      <c r="AH17" s="11">
        <f t="shared" si="29"/>
        <v>588.1130000000004</v>
      </c>
      <c r="AI17" s="11">
        <f t="shared" ref="AI17:AS17" si="30">SUM(AI15:AI16)</f>
        <v>421</v>
      </c>
      <c r="AJ17" s="11">
        <f t="shared" si="30"/>
        <v>494.7560096000002</v>
      </c>
      <c r="AK17" s="11">
        <f t="shared" si="30"/>
        <v>521.47881008000104</v>
      </c>
      <c r="AL17" s="11">
        <f t="shared" si="30"/>
        <v>549.53775058400049</v>
      </c>
      <c r="AM17" s="11">
        <f t="shared" si="30"/>
        <v>578.99963811320094</v>
      </c>
      <c r="AN17" s="11">
        <f t="shared" si="30"/>
        <v>609.9346200188603</v>
      </c>
      <c r="AO17" s="11">
        <f t="shared" si="30"/>
        <v>642.41635101980262</v>
      </c>
      <c r="AP17" s="11">
        <f t="shared" si="30"/>
        <v>676.52216857079407</v>
      </c>
      <c r="AQ17" s="11">
        <f t="shared" si="30"/>
        <v>712.33327699933352</v>
      </c>
      <c r="AR17" s="11">
        <f t="shared" si="30"/>
        <v>749.93494084930046</v>
      </c>
      <c r="AS17" s="11">
        <f t="shared" si="30"/>
        <v>789.4166878917647</v>
      </c>
      <c r="AT17" s="11">
        <f>AS17*(1+$AV$21)</f>
        <v>781.52252101284705</v>
      </c>
      <c r="AU17" s="11">
        <f t="shared" ref="AU17:DF17" si="31">AT17*(1+$AV$21)</f>
        <v>773.70729580271859</v>
      </c>
      <c r="AV17" s="11">
        <f t="shared" si="31"/>
        <v>765.97022284469142</v>
      </c>
      <c r="AW17" s="11">
        <f t="shared" si="31"/>
        <v>758.3105206162445</v>
      </c>
      <c r="AX17" s="11">
        <f t="shared" si="31"/>
        <v>750.72741541008202</v>
      </c>
      <c r="AY17" s="11">
        <f t="shared" si="31"/>
        <v>743.22014125598116</v>
      </c>
      <c r="AZ17" s="11">
        <f t="shared" si="31"/>
        <v>735.78793984342133</v>
      </c>
      <c r="BA17" s="11">
        <f t="shared" si="31"/>
        <v>728.43006044498713</v>
      </c>
      <c r="BB17" s="11">
        <f t="shared" si="31"/>
        <v>721.14575984053727</v>
      </c>
      <c r="BC17" s="11">
        <f t="shared" si="31"/>
        <v>713.93430224213193</v>
      </c>
      <c r="BD17" s="11">
        <f t="shared" si="31"/>
        <v>706.79495921971056</v>
      </c>
      <c r="BE17" s="11">
        <f t="shared" si="31"/>
        <v>699.72700962751344</v>
      </c>
      <c r="BF17" s="11">
        <f t="shared" si="31"/>
        <v>692.72973953123835</v>
      </c>
      <c r="BG17" s="11">
        <f t="shared" si="31"/>
        <v>685.80244213592596</v>
      </c>
      <c r="BH17" s="11">
        <f t="shared" si="31"/>
        <v>678.94441771456673</v>
      </c>
      <c r="BI17" s="11">
        <f t="shared" si="31"/>
        <v>672.15497353742103</v>
      </c>
      <c r="BJ17" s="11">
        <f t="shared" si="31"/>
        <v>665.43342380204683</v>
      </c>
      <c r="BK17" s="11">
        <f t="shared" si="31"/>
        <v>658.77908956402632</v>
      </c>
      <c r="BL17" s="11">
        <f t="shared" si="31"/>
        <v>652.19129866838603</v>
      </c>
      <c r="BM17" s="11">
        <f t="shared" si="31"/>
        <v>645.66938568170212</v>
      </c>
      <c r="BN17" s="11">
        <f t="shared" si="31"/>
        <v>639.21269182488504</v>
      </c>
      <c r="BO17" s="11">
        <f t="shared" si="31"/>
        <v>632.82056490663615</v>
      </c>
      <c r="BP17" s="11">
        <f t="shared" si="31"/>
        <v>626.49235925756977</v>
      </c>
      <c r="BQ17" s="11">
        <f t="shared" si="31"/>
        <v>620.22743566499412</v>
      </c>
      <c r="BR17" s="11">
        <f t="shared" si="31"/>
        <v>614.0251613083442</v>
      </c>
      <c r="BS17" s="11">
        <f t="shared" si="31"/>
        <v>607.88490969526072</v>
      </c>
      <c r="BT17" s="11">
        <f t="shared" si="31"/>
        <v>601.80606059830814</v>
      </c>
      <c r="BU17" s="11">
        <f t="shared" si="31"/>
        <v>595.78799999232501</v>
      </c>
      <c r="BV17" s="11">
        <f t="shared" si="31"/>
        <v>589.83011999240171</v>
      </c>
      <c r="BW17" s="11">
        <f t="shared" si="31"/>
        <v>583.93181879247766</v>
      </c>
      <c r="BX17" s="11">
        <f t="shared" si="31"/>
        <v>578.09250060455292</v>
      </c>
      <c r="BY17" s="11">
        <f t="shared" si="31"/>
        <v>572.31157559850737</v>
      </c>
      <c r="BZ17" s="11">
        <f t="shared" si="31"/>
        <v>566.5884598425223</v>
      </c>
      <c r="CA17" s="11">
        <f t="shared" si="31"/>
        <v>560.92257524409706</v>
      </c>
      <c r="CB17" s="11">
        <f t="shared" si="31"/>
        <v>555.31334949165614</v>
      </c>
      <c r="CC17" s="11">
        <f t="shared" si="31"/>
        <v>549.76021599673959</v>
      </c>
      <c r="CD17" s="11">
        <f t="shared" si="31"/>
        <v>544.26261383677218</v>
      </c>
      <c r="CE17" s="11">
        <f t="shared" si="31"/>
        <v>538.81998769840447</v>
      </c>
      <c r="CF17" s="11">
        <f t="shared" si="31"/>
        <v>533.43178782142047</v>
      </c>
      <c r="CG17" s="11">
        <f t="shared" si="31"/>
        <v>528.09746994320631</v>
      </c>
      <c r="CH17" s="11">
        <f t="shared" si="31"/>
        <v>522.81649524377428</v>
      </c>
      <c r="CI17" s="11">
        <f t="shared" si="31"/>
        <v>517.58833029133655</v>
      </c>
      <c r="CJ17" s="11">
        <f t="shared" si="31"/>
        <v>512.4124469884232</v>
      </c>
      <c r="CK17" s="11">
        <f t="shared" si="31"/>
        <v>507.28832251853896</v>
      </c>
      <c r="CL17" s="11">
        <f t="shared" si="31"/>
        <v>502.21543929335354</v>
      </c>
      <c r="CM17" s="11">
        <f t="shared" si="31"/>
        <v>497.19328490042</v>
      </c>
      <c r="CN17" s="11">
        <f t="shared" si="31"/>
        <v>492.22135205141581</v>
      </c>
      <c r="CO17" s="11">
        <f t="shared" si="31"/>
        <v>487.29913853090164</v>
      </c>
      <c r="CP17" s="11">
        <f t="shared" si="31"/>
        <v>482.42614714559261</v>
      </c>
      <c r="CQ17" s="11">
        <f t="shared" si="31"/>
        <v>477.60188567413667</v>
      </c>
      <c r="CR17" s="11">
        <f t="shared" si="31"/>
        <v>472.82586681739531</v>
      </c>
      <c r="CS17" s="11">
        <f t="shared" si="31"/>
        <v>468.09760814922134</v>
      </c>
      <c r="CT17" s="11">
        <f t="shared" si="31"/>
        <v>463.41663206772915</v>
      </c>
      <c r="CU17" s="11">
        <f t="shared" si="31"/>
        <v>458.78246574705184</v>
      </c>
      <c r="CV17" s="11">
        <f t="shared" si="31"/>
        <v>454.1946410895813</v>
      </c>
      <c r="CW17" s="11">
        <f t="shared" si="31"/>
        <v>449.65269467868546</v>
      </c>
      <c r="CX17" s="11">
        <f t="shared" si="31"/>
        <v>445.15616773189862</v>
      </c>
      <c r="CY17" s="11">
        <f t="shared" si="31"/>
        <v>440.70460605457964</v>
      </c>
      <c r="CZ17" s="11">
        <f t="shared" si="31"/>
        <v>436.29755999403386</v>
      </c>
      <c r="DA17" s="11">
        <f t="shared" si="31"/>
        <v>431.93458439409352</v>
      </c>
      <c r="DB17" s="11">
        <f t="shared" si="31"/>
        <v>427.61523855015258</v>
      </c>
      <c r="DC17" s="11">
        <f t="shared" si="31"/>
        <v>423.33908616465106</v>
      </c>
      <c r="DD17" s="11">
        <f t="shared" si="31"/>
        <v>419.10569530300455</v>
      </c>
      <c r="DE17" s="11">
        <f t="shared" si="31"/>
        <v>414.9146383499745</v>
      </c>
      <c r="DF17" s="11">
        <f t="shared" si="31"/>
        <v>410.76549196647477</v>
      </c>
      <c r="DG17" s="11">
        <f t="shared" ref="DG17:EA17" si="32">DF17*(1+$AV$21)</f>
        <v>406.65783704681002</v>
      </c>
      <c r="DH17" s="11">
        <f t="shared" si="32"/>
        <v>402.59125867634191</v>
      </c>
      <c r="DI17" s="11">
        <f t="shared" si="32"/>
        <v>398.5653460895785</v>
      </c>
      <c r="DJ17" s="11">
        <f t="shared" si="32"/>
        <v>394.57969262868272</v>
      </c>
      <c r="DK17" s="11">
        <f t="shared" si="32"/>
        <v>390.63389570239588</v>
      </c>
      <c r="DL17" s="11">
        <f t="shared" si="32"/>
        <v>386.72755674537188</v>
      </c>
      <c r="DM17" s="11">
        <f t="shared" si="32"/>
        <v>382.86028117791818</v>
      </c>
      <c r="DN17" s="11">
        <f t="shared" si="32"/>
        <v>379.03167836613898</v>
      </c>
      <c r="DO17" s="11">
        <f t="shared" si="32"/>
        <v>375.24136158247757</v>
      </c>
      <c r="DP17" s="11">
        <f t="shared" si="32"/>
        <v>371.4889479666528</v>
      </c>
      <c r="DQ17" s="11">
        <f t="shared" si="32"/>
        <v>367.77405848698629</v>
      </c>
      <c r="DR17" s="11">
        <f t="shared" si="32"/>
        <v>364.09631790211643</v>
      </c>
      <c r="DS17" s="11">
        <f t="shared" si="32"/>
        <v>360.45535472309524</v>
      </c>
      <c r="DT17" s="11">
        <f t="shared" si="32"/>
        <v>356.85080117586426</v>
      </c>
      <c r="DU17" s="11">
        <f t="shared" si="32"/>
        <v>353.28229316410562</v>
      </c>
      <c r="DV17" s="11">
        <f t="shared" si="32"/>
        <v>349.74947023246455</v>
      </c>
      <c r="DW17" s="11">
        <f t="shared" si="32"/>
        <v>346.25197553013987</v>
      </c>
      <c r="DX17" s="11">
        <f t="shared" si="32"/>
        <v>342.78945577483847</v>
      </c>
      <c r="DY17" s="11">
        <f t="shared" si="32"/>
        <v>339.36156121709007</v>
      </c>
      <c r="DZ17" s="11">
        <f t="shared" si="32"/>
        <v>335.96794560491918</v>
      </c>
      <c r="EA17" s="11">
        <f t="shared" si="32"/>
        <v>332.60826614886997</v>
      </c>
    </row>
    <row r="18" spans="2:131" x14ac:dyDescent="0.25">
      <c r="C18" s="2" t="s">
        <v>61</v>
      </c>
      <c r="D18" s="9">
        <v>25.004000000000001</v>
      </c>
      <c r="E18" s="9">
        <v>25.004000000000001</v>
      </c>
      <c r="F18" s="9">
        <v>25.004000000000001</v>
      </c>
      <c r="G18" s="9">
        <v>25.004000000000001</v>
      </c>
      <c r="H18" s="9">
        <v>25.004000000000001</v>
      </c>
      <c r="I18" s="9">
        <v>25.004000000000001</v>
      </c>
      <c r="J18" s="9">
        <v>25.004000000000001</v>
      </c>
      <c r="K18" s="9">
        <v>25.004000000000001</v>
      </c>
      <c r="L18" s="9">
        <v>25.004000000000001</v>
      </c>
      <c r="M18" s="9">
        <v>25.004000000000001</v>
      </c>
      <c r="N18" s="9">
        <v>25.004000000000001</v>
      </c>
      <c r="O18" s="9">
        <v>25.004000000000001</v>
      </c>
      <c r="P18" s="9">
        <v>25.004000000000001</v>
      </c>
      <c r="Q18" s="9">
        <v>25.004000000000001</v>
      </c>
      <c r="R18" s="9">
        <v>25.004000000000001</v>
      </c>
      <c r="S18" s="9">
        <v>25.004000000000001</v>
      </c>
      <c r="T18" s="9">
        <v>25.004000000000001</v>
      </c>
      <c r="U18" s="9">
        <v>25.004000000000001</v>
      </c>
      <c r="Y18" s="9">
        <v>12.502000000000001</v>
      </c>
      <c r="Z18" s="9">
        <v>12.502000000000001</v>
      </c>
      <c r="AA18" s="9">
        <v>25.004000000000001</v>
      </c>
      <c r="AB18" s="9">
        <v>25.004000000000001</v>
      </c>
      <c r="AC18" s="9">
        <v>25.004000000000001</v>
      </c>
      <c r="AD18" s="9">
        <v>25.004000000000001</v>
      </c>
      <c r="AE18" s="9">
        <v>25.004000000000001</v>
      </c>
      <c r="AF18" s="9">
        <v>25.004000000000001</v>
      </c>
      <c r="AG18" s="9">
        <v>25.004000000000001</v>
      </c>
      <c r="AH18" s="9">
        <v>25.004000000000001</v>
      </c>
      <c r="AI18" s="9">
        <v>25.004000000000001</v>
      </c>
      <c r="AJ18" s="9">
        <v>25.004000000000001</v>
      </c>
      <c r="AK18" s="9">
        <v>25.004000000000001</v>
      </c>
      <c r="AL18" s="9">
        <v>25.004000000000001</v>
      </c>
      <c r="AM18" s="9">
        <v>25.004000000000001</v>
      </c>
      <c r="AN18" s="9">
        <v>25.004000000000001</v>
      </c>
      <c r="AO18" s="9">
        <v>25.004000000000001</v>
      </c>
      <c r="AP18" s="9">
        <v>25.004000000000001</v>
      </c>
      <c r="AQ18" s="9">
        <v>25.004000000000001</v>
      </c>
      <c r="AR18" s="9">
        <v>25.004000000000001</v>
      </c>
      <c r="AS18" s="9">
        <v>25.004000000000001</v>
      </c>
    </row>
    <row r="19" spans="2:131" x14ac:dyDescent="0.25">
      <c r="C19" s="2" t="s">
        <v>62</v>
      </c>
      <c r="D19" s="9">
        <f t="shared" ref="D19" si="33">D17/D18</f>
        <v>4.5752679571268589</v>
      </c>
      <c r="E19" s="9">
        <f t="shared" ref="E19" si="34">E17/E18</f>
        <v>4.0233562629979174</v>
      </c>
      <c r="F19" s="9">
        <f t="shared" ref="F19" si="35">F17/F18</f>
        <v>2.5035994240921404</v>
      </c>
      <c r="G19" s="9">
        <f t="shared" ref="G19" si="36">G17/G18</f>
        <v>3.6234202527595616</v>
      </c>
      <c r="H19" s="9">
        <f t="shared" ref="H19" si="37">H17/H18</f>
        <v>5.6710926251799849</v>
      </c>
      <c r="I19" s="9">
        <f t="shared" ref="I19" si="38">I17/I18</f>
        <v>5.5271156614941566</v>
      </c>
      <c r="J19" s="9">
        <f t="shared" ref="J19" si="39">J17/J18</f>
        <v>6.3549832026875661</v>
      </c>
      <c r="K19" s="9">
        <f t="shared" ref="K19" si="40">K17/K18</f>
        <v>5.1831706926891785</v>
      </c>
      <c r="L19" s="9">
        <f t="shared" ref="L19" si="41">L17/L18</f>
        <v>7.8307470804671295</v>
      </c>
      <c r="M19" s="9">
        <f t="shared" ref="M19" si="42">M17/M18</f>
        <v>6.7109262517997168</v>
      </c>
      <c r="N19" s="9">
        <f t="shared" ref="N19" si="43">N17/N18</f>
        <v>4.4912813949767996</v>
      </c>
      <c r="O19" s="9">
        <f t="shared" ref="O19" si="44">O17/O18</f>
        <v>4.4912813949767969</v>
      </c>
      <c r="P19" s="9">
        <f t="shared" ref="P19" si="45">P17/P18</f>
        <v>4.5752679571268606</v>
      </c>
      <c r="Q19" s="9">
        <f t="shared" ref="Q19" si="46">Q17/Q18</f>
        <v>3.999360102383624</v>
      </c>
      <c r="R19" s="9">
        <f t="shared" ref="R19" si="47">R17/R18</f>
        <v>3.8673812190049568</v>
      </c>
      <c r="S19" s="9">
        <f t="shared" ref="S19:T19" si="48">S17/S18</f>
        <v>4.4312909934410598</v>
      </c>
      <c r="T19" s="9">
        <f t="shared" si="48"/>
        <v>4.5272756358982633</v>
      </c>
      <c r="U19" s="9">
        <f t="shared" ref="U19" si="49">U17/U18</f>
        <v>3.5834266517357314</v>
      </c>
      <c r="V19" s="9"/>
      <c r="W19" s="9"/>
      <c r="Y19" s="9">
        <f t="shared" ref="Y19:AF19" si="50">Y17/Y18</f>
        <v>7.638777795552711</v>
      </c>
      <c r="Z19" s="9">
        <f t="shared" si="50"/>
        <v>9.6624540073588214</v>
      </c>
      <c r="AA19" s="9">
        <f t="shared" si="50"/>
        <v>8.8182690769476881</v>
      </c>
      <c r="AB19" s="9">
        <f t="shared" si="50"/>
        <v>10.913053911374197</v>
      </c>
      <c r="AC19" s="9">
        <f t="shared" si="50"/>
        <v>11.979683250679871</v>
      </c>
      <c r="AD19" s="9">
        <f t="shared" si="50"/>
        <v>9.067069268916967</v>
      </c>
      <c r="AE19" s="9">
        <f t="shared" si="50"/>
        <v>13.480683090705492</v>
      </c>
      <c r="AF19" s="9">
        <f t="shared" si="50"/>
        <v>14.728563429851233</v>
      </c>
      <c r="AG19" s="9">
        <f>AG17/AG18</f>
        <v>22.879339305711092</v>
      </c>
      <c r="AH19" s="9">
        <f>AH17/AH18</f>
        <v>23.520756678931384</v>
      </c>
      <c r="AI19" s="9">
        <f t="shared" ref="AI19:AS19" si="51">AI17/AI18</f>
        <v>16.837306031035034</v>
      </c>
      <c r="AJ19" s="9">
        <f t="shared" si="51"/>
        <v>19.787074452087673</v>
      </c>
      <c r="AK19" s="9">
        <f t="shared" si="51"/>
        <v>20.855815472724405</v>
      </c>
      <c r="AL19" s="9">
        <f t="shared" si="51"/>
        <v>21.977993544392916</v>
      </c>
      <c r="AM19" s="9">
        <f t="shared" si="51"/>
        <v>23.156280519644895</v>
      </c>
      <c r="AN19" s="9">
        <f t="shared" si="51"/>
        <v>24.393481843659426</v>
      </c>
      <c r="AO19" s="9">
        <f t="shared" si="51"/>
        <v>25.692543233874684</v>
      </c>
      <c r="AP19" s="9">
        <f t="shared" si="51"/>
        <v>27.056557693600784</v>
      </c>
      <c r="AQ19" s="9">
        <f t="shared" si="51"/>
        <v>28.488772876313128</v>
      </c>
      <c r="AR19" s="9">
        <f t="shared" si="51"/>
        <v>29.99259881816111</v>
      </c>
      <c r="AS19" s="9">
        <f t="shared" si="51"/>
        <v>31.571616057101451</v>
      </c>
    </row>
    <row r="20" spans="2:131" x14ac:dyDescent="0.25">
      <c r="C20" s="1"/>
      <c r="D20" s="18"/>
      <c r="E20" s="18"/>
      <c r="F20" s="18"/>
      <c r="G20" s="18"/>
      <c r="H20" s="17"/>
      <c r="I20" s="17"/>
      <c r="J20" s="17"/>
      <c r="K20" s="17"/>
      <c r="L20" s="17"/>
      <c r="M20" s="17"/>
      <c r="N20" s="17"/>
      <c r="O20" s="17"/>
      <c r="P20" s="17"/>
      <c r="AC20" s="17"/>
      <c r="AD20" s="17"/>
      <c r="AE20" s="17"/>
      <c r="AF20" s="17"/>
      <c r="AG20" s="17"/>
      <c r="AH20" s="17"/>
      <c r="AU20" s="2" t="s">
        <v>128</v>
      </c>
      <c r="AV20" s="26">
        <v>7.4999999999999997E-2</v>
      </c>
    </row>
    <row r="21" spans="2:131" s="64" customFormat="1" x14ac:dyDescent="0.25">
      <c r="B21" s="62"/>
      <c r="C21" s="63" t="s">
        <v>43</v>
      </c>
      <c r="D21" s="63"/>
      <c r="E21" s="63"/>
      <c r="F21" s="63"/>
      <c r="G21" s="63"/>
      <c r="H21" s="63">
        <f t="shared" ref="H21:R21" si="52">(H4-D4)/D4</f>
        <v>0.21151016875811346</v>
      </c>
      <c r="I21" s="63">
        <f t="shared" si="52"/>
        <v>0.27065626916673979</v>
      </c>
      <c r="J21" s="63">
        <f t="shared" si="52"/>
        <v>0.31907292048369384</v>
      </c>
      <c r="K21" s="63">
        <f t="shared" si="52"/>
        <v>0.21686949223667654</v>
      </c>
      <c r="L21" s="63">
        <f t="shared" si="52"/>
        <v>9.6506893349524892E-2</v>
      </c>
      <c r="M21" s="63">
        <f t="shared" si="52"/>
        <v>3.0409598676044619E-2</v>
      </c>
      <c r="N21" s="63">
        <f t="shared" si="52"/>
        <v>-0.11598027640808389</v>
      </c>
      <c r="O21" s="63">
        <f t="shared" si="52"/>
        <v>-0.11952548451617365</v>
      </c>
      <c r="P21" s="63">
        <f t="shared" si="52"/>
        <v>-0.11967426710097723</v>
      </c>
      <c r="Q21" s="63">
        <f t="shared" si="52"/>
        <v>-8.8268754600816346E-2</v>
      </c>
      <c r="R21" s="63">
        <f t="shared" si="52"/>
        <v>7.4632728415429325E-2</v>
      </c>
      <c r="S21" s="63">
        <f>(S4-O4)/O4</f>
        <v>2.8121572928090314E-2</v>
      </c>
      <c r="T21" s="63">
        <f>(T4-P4)/P4</f>
        <v>1.8574705838821978E-2</v>
      </c>
      <c r="U21" s="63">
        <f>(U4-Q4)/Q4</f>
        <v>8.6611861421021716E-2</v>
      </c>
      <c r="V21" s="63"/>
      <c r="W21" s="63"/>
      <c r="X21" s="63"/>
      <c r="Y21" s="63"/>
      <c r="Z21" s="63">
        <f t="shared" ref="Z21:AC21" si="53">(Z4-Y4)/Y4</f>
        <v>0.17380065384322979</v>
      </c>
      <c r="AA21" s="63">
        <f t="shared" si="53"/>
        <v>0.94445559945592328</v>
      </c>
      <c r="AB21" s="63">
        <f t="shared" si="53"/>
        <v>0.1633566452201749</v>
      </c>
      <c r="AC21" s="63">
        <f t="shared" si="53"/>
        <v>6.6713357875805748E-2</v>
      </c>
      <c r="AD21" s="63">
        <f t="shared" ref="AD21:AG21" si="54">(AD4-AC4)/AC4</f>
        <v>-0.15522587655370823</v>
      </c>
      <c r="AE21" s="63">
        <f t="shared" si="54"/>
        <v>0.14745594198192208</v>
      </c>
      <c r="AF21" s="63">
        <f t="shared" si="54"/>
        <v>0.2682619521802026</v>
      </c>
      <c r="AG21" s="63">
        <f t="shared" si="54"/>
        <v>0.25322785393292285</v>
      </c>
      <c r="AH21" s="63">
        <f>(AH4-AG4)/AG4</f>
        <v>-2.803202784229851E-2</v>
      </c>
      <c r="AI21" s="63">
        <f t="shared" ref="AI21:AS21" si="55">(AI4-AH4)/AH4</f>
        <v>-3.3135628629438453E-2</v>
      </c>
      <c r="AJ21" s="63">
        <f t="shared" si="55"/>
        <v>6.000000000000006E-2</v>
      </c>
      <c r="AK21" s="63">
        <f t="shared" si="55"/>
        <v>5.0000000000000086E-2</v>
      </c>
      <c r="AL21" s="63">
        <f t="shared" si="55"/>
        <v>5.0000000000000093E-2</v>
      </c>
      <c r="AM21" s="63">
        <f t="shared" si="55"/>
        <v>0.05</v>
      </c>
      <c r="AN21" s="63">
        <f t="shared" si="55"/>
        <v>5.0000000000000044E-2</v>
      </c>
      <c r="AO21" s="63">
        <f t="shared" si="55"/>
        <v>5.0000000000000017E-2</v>
      </c>
      <c r="AP21" s="63">
        <f t="shared" si="55"/>
        <v>5.0000000000000024E-2</v>
      </c>
      <c r="AQ21" s="63">
        <f t="shared" si="55"/>
        <v>5.0000000000000044E-2</v>
      </c>
      <c r="AR21" s="63">
        <f t="shared" si="55"/>
        <v>5.0000000000000031E-2</v>
      </c>
      <c r="AS21" s="63">
        <f t="shared" si="55"/>
        <v>5.00000000000001E-2</v>
      </c>
      <c r="AU21" s="64" t="s">
        <v>129</v>
      </c>
      <c r="AV21" s="26">
        <v>-0.01</v>
      </c>
    </row>
    <row r="22" spans="2:131" s="64" customFormat="1" x14ac:dyDescent="0.25">
      <c r="B22" s="62"/>
      <c r="C22" s="63" t="s">
        <v>158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>
        <v>6.3E-2</v>
      </c>
      <c r="S22" s="63">
        <v>4.5999999999999999E-2</v>
      </c>
      <c r="T22" s="63">
        <v>5.2999999999999999E-2</v>
      </c>
      <c r="U22" s="63">
        <v>8.6999999999999994E-2</v>
      </c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U22" s="65" t="s">
        <v>130</v>
      </c>
      <c r="AV22" s="66">
        <f>NPV(AV20,AJ17:EA17)</f>
        <v>8667.1943427653532</v>
      </c>
    </row>
    <row r="23" spans="2:131" s="64" customFormat="1" x14ac:dyDescent="0.25">
      <c r="B23" s="62"/>
      <c r="C23" s="63" t="s">
        <v>126</v>
      </c>
      <c r="D23" s="63"/>
      <c r="E23" s="63"/>
      <c r="F23" s="63"/>
      <c r="G23" s="63"/>
      <c r="H23" s="63">
        <f t="shared" ref="H23:U23" si="56">(H12-D12)/D12</f>
        <v>0.20638574717245492</v>
      </c>
      <c r="I23" s="63">
        <f t="shared" si="56"/>
        <v>0.24361277445109794</v>
      </c>
      <c r="J23" s="63">
        <f t="shared" si="56"/>
        <v>0.23878026542396935</v>
      </c>
      <c r="K23" s="63">
        <f t="shared" si="56"/>
        <v>0.16560210407664847</v>
      </c>
      <c r="L23" s="63">
        <f t="shared" si="56"/>
        <v>6.4797145938770562E-2</v>
      </c>
      <c r="M23" s="63">
        <f t="shared" si="56"/>
        <v>3.1377899045020204E-2</v>
      </c>
      <c r="N23" s="63">
        <f t="shared" si="56"/>
        <v>-9.3228655544651609E-2</v>
      </c>
      <c r="O23" s="63">
        <f t="shared" si="56"/>
        <v>-0.10919493915706326</v>
      </c>
      <c r="P23" s="63">
        <f t="shared" si="56"/>
        <v>-7.6203833567087403E-2</v>
      </c>
      <c r="Q23" s="63">
        <f t="shared" si="56"/>
        <v>-6.9950202303143388E-2</v>
      </c>
      <c r="R23" s="63">
        <f t="shared" si="56"/>
        <v>9.0909090909090856E-2</v>
      </c>
      <c r="S23" s="63">
        <f t="shared" si="56"/>
        <v>4.3332730233399341E-2</v>
      </c>
      <c r="T23" s="63">
        <f t="shared" si="56"/>
        <v>2.4460188933873146E-2</v>
      </c>
      <c r="U23" s="63">
        <f t="shared" si="56"/>
        <v>0.12515686438550985</v>
      </c>
      <c r="V23" s="63"/>
      <c r="W23" s="63"/>
      <c r="X23" s="63"/>
      <c r="Y23" s="63"/>
      <c r="Z23" s="63">
        <f t="shared" ref="Z23:AS23" si="57">(Z12-Y12)/Y12</f>
        <v>0.14153820091478922</v>
      </c>
      <c r="AA23" s="63">
        <f t="shared" si="57"/>
        <v>0.96701714031312602</v>
      </c>
      <c r="AB23" s="63">
        <f t="shared" si="57"/>
        <v>0.15992499289876927</v>
      </c>
      <c r="AC23" s="63">
        <f t="shared" si="57"/>
        <v>7.0083534369550948E-2</v>
      </c>
      <c r="AD23" s="63">
        <f t="shared" si="57"/>
        <v>-0.15092897463592597</v>
      </c>
      <c r="AE23" s="63">
        <f t="shared" si="57"/>
        <v>0.12938826717159685</v>
      </c>
      <c r="AF23" s="63">
        <f t="shared" si="57"/>
        <v>0.28444239918764419</v>
      </c>
      <c r="AG23" s="63">
        <f t="shared" si="57"/>
        <v>0.21206215023835617</v>
      </c>
      <c r="AH23" s="63">
        <f t="shared" si="57"/>
        <v>-2.6296787364187588E-2</v>
      </c>
      <c r="AI23" s="63">
        <f t="shared" si="57"/>
        <v>-8.1584404169581359E-3</v>
      </c>
      <c r="AJ23" s="63">
        <f t="shared" si="57"/>
        <v>6.3347723440134909E-2</v>
      </c>
      <c r="AK23" s="63">
        <f t="shared" si="57"/>
        <v>4.9999999999999892E-2</v>
      </c>
      <c r="AL23" s="63">
        <f t="shared" si="57"/>
        <v>5.0000000000000246E-2</v>
      </c>
      <c r="AM23" s="63">
        <f t="shared" si="57"/>
        <v>4.999999999999992E-2</v>
      </c>
      <c r="AN23" s="63">
        <f t="shared" si="57"/>
        <v>5.000000000000019E-2</v>
      </c>
      <c r="AO23" s="63">
        <f t="shared" si="57"/>
        <v>5.0000000000000169E-2</v>
      </c>
      <c r="AP23" s="63">
        <f t="shared" si="57"/>
        <v>4.9999999999999767E-2</v>
      </c>
      <c r="AQ23" s="63">
        <f t="shared" si="57"/>
        <v>5.00000000000001E-2</v>
      </c>
      <c r="AR23" s="63">
        <f t="shared" si="57"/>
        <v>4.9999999999999996E-2</v>
      </c>
      <c r="AS23" s="63">
        <f t="shared" si="57"/>
        <v>5.0000000000000239E-2</v>
      </c>
      <c r="AU23" s="64" t="s">
        <v>2</v>
      </c>
      <c r="AV23" s="9">
        <v>25.003</v>
      </c>
    </row>
    <row r="24" spans="2:131" s="64" customFormat="1" x14ac:dyDescent="0.25">
      <c r="B24" s="62"/>
      <c r="C24" s="64" t="s">
        <v>127</v>
      </c>
      <c r="D24" s="64">
        <f t="shared" ref="D24:S24" si="58">D6/D4</f>
        <v>0.31285157940285591</v>
      </c>
      <c r="E24" s="64">
        <f t="shared" si="58"/>
        <v>0.29299921142556734</v>
      </c>
      <c r="F24" s="64">
        <f t="shared" si="58"/>
        <v>0.27894833272260894</v>
      </c>
      <c r="G24" s="64">
        <f t="shared" si="58"/>
        <v>0.29106168694922363</v>
      </c>
      <c r="H24" s="64">
        <f t="shared" si="58"/>
        <v>0.30495035359668554</v>
      </c>
      <c r="I24" s="64">
        <f t="shared" si="58"/>
        <v>0.31505999172527932</v>
      </c>
      <c r="J24" s="64">
        <f t="shared" si="58"/>
        <v>0.30397944301687618</v>
      </c>
      <c r="K24" s="64">
        <f t="shared" si="58"/>
        <v>0.32084971377336369</v>
      </c>
      <c r="L24" s="64">
        <f t="shared" si="58"/>
        <v>0.3260586319218241</v>
      </c>
      <c r="M24" s="64">
        <f t="shared" si="58"/>
        <v>0.32978652211737935</v>
      </c>
      <c r="N24" s="64">
        <f t="shared" si="58"/>
        <v>0.31518579621337106</v>
      </c>
      <c r="O24" s="64">
        <f t="shared" si="58"/>
        <v>0.3270405765314115</v>
      </c>
      <c r="P24" s="64">
        <f t="shared" si="58"/>
        <v>0.32213424110116184</v>
      </c>
      <c r="Q24" s="64">
        <f t="shared" si="58"/>
        <v>0.321858485026424</v>
      </c>
      <c r="R24" s="64">
        <f t="shared" si="58"/>
        <v>0.31281526427370426</v>
      </c>
      <c r="S24" s="64">
        <f t="shared" si="58"/>
        <v>0.30110476190476193</v>
      </c>
      <c r="T24" s="64">
        <f t="shared" ref="T24:U24" si="59">T6/T4</f>
        <v>0.32374309793664641</v>
      </c>
      <c r="U24" s="64">
        <f t="shared" si="59"/>
        <v>0.2899891921102406</v>
      </c>
      <c r="V24" s="63"/>
      <c r="W24" s="63"/>
      <c r="X24" s="63"/>
      <c r="AA24" s="64">
        <f t="shared" ref="AA24:AS24" si="60">AA6/AA4</f>
        <v>0.35572484756224509</v>
      </c>
      <c r="AB24" s="64">
        <f t="shared" si="60"/>
        <v>0.34098622485253183</v>
      </c>
      <c r="AC24" s="64">
        <f t="shared" si="60"/>
        <v>0.33657536474866601</v>
      </c>
      <c r="AD24" s="64">
        <f t="shared" si="60"/>
        <v>0.33793992482739188</v>
      </c>
      <c r="AE24" s="64">
        <f t="shared" si="60"/>
        <v>0.32255545488177972</v>
      </c>
      <c r="AF24" s="64">
        <f t="shared" si="60"/>
        <v>0.29416888028719795</v>
      </c>
      <c r="AG24" s="64">
        <f t="shared" si="60"/>
        <v>0.30645762642175034</v>
      </c>
      <c r="AH24" s="64">
        <f t="shared" si="60"/>
        <v>0.32366421162463516</v>
      </c>
      <c r="AI24" s="64">
        <f t="shared" si="60"/>
        <v>0.3146088246199481</v>
      </c>
      <c r="AJ24" s="64">
        <f t="shared" si="60"/>
        <v>0.31</v>
      </c>
      <c r="AK24" s="64">
        <f t="shared" si="60"/>
        <v>0.31000000000000005</v>
      </c>
      <c r="AL24" s="64">
        <f t="shared" si="60"/>
        <v>0.31000000000000005</v>
      </c>
      <c r="AM24" s="64">
        <f t="shared" si="60"/>
        <v>0.31000000000000005</v>
      </c>
      <c r="AN24" s="64">
        <f t="shared" si="60"/>
        <v>0.31</v>
      </c>
      <c r="AO24" s="64">
        <f t="shared" si="60"/>
        <v>0.31</v>
      </c>
      <c r="AP24" s="64">
        <f t="shared" si="60"/>
        <v>0.31</v>
      </c>
      <c r="AQ24" s="64">
        <f t="shared" si="60"/>
        <v>0.31000000000000005</v>
      </c>
      <c r="AR24" s="64">
        <f t="shared" si="60"/>
        <v>0.31000000000000011</v>
      </c>
      <c r="AS24" s="64">
        <f t="shared" si="60"/>
        <v>0.31</v>
      </c>
      <c r="AU24" s="64" t="s">
        <v>131</v>
      </c>
      <c r="AV24" s="9">
        <f>AV22/AV23</f>
        <v>346.64617616947379</v>
      </c>
    </row>
    <row r="25" spans="2:131" s="64" customFormat="1" x14ac:dyDescent="0.25">
      <c r="B25" s="62"/>
      <c r="C25" s="64" t="s">
        <v>44</v>
      </c>
      <c r="D25" s="64">
        <f t="shared" ref="D25:S25" si="61">D13/D4</f>
        <v>0.13535266118563391</v>
      </c>
      <c r="E25" s="64">
        <f t="shared" si="61"/>
        <v>0.12205379830018397</v>
      </c>
      <c r="F25" s="64">
        <f t="shared" si="61"/>
        <v>9.5731037009893633E-2</v>
      </c>
      <c r="G25" s="64">
        <f t="shared" si="61"/>
        <v>0.1065044062106589</v>
      </c>
      <c r="H25" s="64">
        <f t="shared" si="61"/>
        <v>0.13900992928066316</v>
      </c>
      <c r="I25" s="64">
        <f t="shared" si="61"/>
        <v>0.14073920838505027</v>
      </c>
      <c r="J25" s="64">
        <f t="shared" si="61"/>
        <v>0.15077435933050898</v>
      </c>
      <c r="K25" s="64">
        <f t="shared" si="61"/>
        <v>0.14414787226705306</v>
      </c>
      <c r="L25" s="64">
        <f t="shared" si="61"/>
        <v>0.16390879478827369</v>
      </c>
      <c r="M25" s="64">
        <f t="shared" si="61"/>
        <v>0.13993174061433455</v>
      </c>
      <c r="N25" s="64">
        <f t="shared" si="61"/>
        <v>0.12891821824180996</v>
      </c>
      <c r="O25" s="64">
        <f t="shared" si="61"/>
        <v>0.13410621964593439</v>
      </c>
      <c r="P25" s="64">
        <f t="shared" si="61"/>
        <v>0.12262265966106715</v>
      </c>
      <c r="Q25" s="64">
        <f t="shared" si="61"/>
        <v>0.12265120375807408</v>
      </c>
      <c r="R25" s="64">
        <f t="shared" si="61"/>
        <v>0.11572483368667297</v>
      </c>
      <c r="S25" s="64">
        <f t="shared" si="61"/>
        <v>0.1212952380952383</v>
      </c>
      <c r="T25" s="64">
        <f t="shared" ref="T25:U25" si="62">T13/T4</f>
        <v>0.11755303690787575</v>
      </c>
      <c r="U25" s="64">
        <f t="shared" si="62"/>
        <v>9.1529316400972852E-2</v>
      </c>
      <c r="Y25" s="64">
        <f t="shared" ref="Y25:AS25" si="63">Y13/Y4</f>
        <v>0.1024100965559188</v>
      </c>
      <c r="Z25" s="64">
        <f t="shared" si="63"/>
        <v>0.12708076947988858</v>
      </c>
      <c r="AA25" s="64">
        <f t="shared" si="63"/>
        <v>0.1169522775308165</v>
      </c>
      <c r="AB25" s="64">
        <f t="shared" si="63"/>
        <v>0.11955707871467858</v>
      </c>
      <c r="AC25" s="64">
        <f t="shared" si="63"/>
        <v>0.11677540544182395</v>
      </c>
      <c r="AD25" s="64">
        <f t="shared" si="63"/>
        <v>0.11228292709896577</v>
      </c>
      <c r="AE25" s="64">
        <f t="shared" si="63"/>
        <v>0.12626079135495336</v>
      </c>
      <c r="AF25" s="64">
        <f t="shared" si="63"/>
        <v>0.1151136533843613</v>
      </c>
      <c r="AG25" s="64">
        <f t="shared" si="63"/>
        <v>0.14418017072502737</v>
      </c>
      <c r="AH25" s="64">
        <f t="shared" si="63"/>
        <v>0.14265228786029552</v>
      </c>
      <c r="AI25" s="64">
        <f t="shared" si="63"/>
        <v>0.12050426399703375</v>
      </c>
      <c r="AJ25" s="64">
        <f t="shared" si="63"/>
        <v>0.11772661447730187</v>
      </c>
      <c r="AK25" s="64">
        <f t="shared" si="63"/>
        <v>0.11772661447730204</v>
      </c>
      <c r="AL25" s="64">
        <f t="shared" si="63"/>
        <v>0.1177266144773019</v>
      </c>
      <c r="AM25" s="64">
        <f t="shared" si="63"/>
        <v>0.11772661447730197</v>
      </c>
      <c r="AN25" s="64">
        <f t="shared" si="63"/>
        <v>0.11772661447730184</v>
      </c>
      <c r="AO25" s="64">
        <f t="shared" si="63"/>
        <v>0.11772661447730172</v>
      </c>
      <c r="AP25" s="64">
        <f t="shared" si="63"/>
        <v>0.11772661447730194</v>
      </c>
      <c r="AQ25" s="64">
        <f t="shared" si="63"/>
        <v>0.11772661447730189</v>
      </c>
      <c r="AR25" s="64">
        <f t="shared" si="63"/>
        <v>0.11772661447730193</v>
      </c>
      <c r="AS25" s="64">
        <f t="shared" si="63"/>
        <v>0.1177266144773018</v>
      </c>
      <c r="AU25" s="63" t="s">
        <v>132</v>
      </c>
      <c r="AV25" s="63">
        <f>(AV24-B4)/B4</f>
        <v>0.13283064107671172</v>
      </c>
    </row>
    <row r="26" spans="2:131" x14ac:dyDescent="0.25">
      <c r="C26" s="2" t="s">
        <v>45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>
        <v>0.113</v>
      </c>
      <c r="Z26" s="18">
        <v>0.127</v>
      </c>
      <c r="AA26" s="18">
        <v>0.123</v>
      </c>
      <c r="AB26" s="18">
        <v>0.128</v>
      </c>
      <c r="AC26" s="20">
        <v>0.125</v>
      </c>
      <c r="AD26" s="20">
        <v>0.09</v>
      </c>
      <c r="AE26" s="20" t="s">
        <v>46</v>
      </c>
      <c r="AF26" s="20">
        <v>0.114</v>
      </c>
      <c r="AG26" s="20">
        <v>0.16200000000000001</v>
      </c>
      <c r="AH26" s="20">
        <v>0.14499999999999999</v>
      </c>
    </row>
    <row r="27" spans="2:131" x14ac:dyDescent="0.25"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2:131" x14ac:dyDescent="0.25">
      <c r="C28" s="1" t="s">
        <v>85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131" x14ac:dyDescent="0.25">
      <c r="C29" s="2" t="s">
        <v>86</v>
      </c>
      <c r="D29" s="13">
        <v>840.5</v>
      </c>
      <c r="E29" s="13">
        <v>853.5</v>
      </c>
      <c r="F29" s="13">
        <v>821</v>
      </c>
      <c r="G29" s="13">
        <v>821.1</v>
      </c>
      <c r="H29" s="13">
        <v>814.5</v>
      </c>
      <c r="I29" s="13">
        <v>810.4</v>
      </c>
      <c r="J29" s="13">
        <v>802</v>
      </c>
      <c r="K29" s="13">
        <v>939.4</v>
      </c>
      <c r="L29" s="13">
        <v>932.1</v>
      </c>
      <c r="M29" s="13">
        <v>947.3</v>
      </c>
      <c r="N29" s="13">
        <v>927.1</v>
      </c>
      <c r="O29" s="13">
        <v>910.7</v>
      </c>
      <c r="P29" s="13">
        <v>877.3</v>
      </c>
      <c r="Q29" s="13">
        <v>856.9</v>
      </c>
      <c r="R29" s="13">
        <v>955.9</v>
      </c>
      <c r="S29" s="13">
        <v>935.9</v>
      </c>
      <c r="T29" s="13">
        <v>937</v>
      </c>
      <c r="U29" s="13">
        <v>934.9</v>
      </c>
      <c r="V29" s="13"/>
      <c r="W29" s="13"/>
      <c r="X29" s="13"/>
      <c r="AF29" s="13">
        <v>821.1</v>
      </c>
      <c r="AG29" s="13">
        <v>939.4</v>
      </c>
      <c r="AH29" s="13">
        <v>910.7</v>
      </c>
      <c r="AI29" s="13">
        <v>935.9</v>
      </c>
    </row>
    <row r="30" spans="2:131" x14ac:dyDescent="0.25">
      <c r="C30" s="2" t="s">
        <v>87</v>
      </c>
      <c r="D30" s="13">
        <v>1188</v>
      </c>
      <c r="E30" s="13">
        <v>1206.8</v>
      </c>
      <c r="F30" s="13">
        <v>1229.8</v>
      </c>
      <c r="G30" s="13">
        <v>1226.8</v>
      </c>
      <c r="H30" s="13">
        <v>1234.8</v>
      </c>
      <c r="I30" s="13">
        <v>1257.8</v>
      </c>
      <c r="J30" s="13">
        <v>1244.5999999999999</v>
      </c>
      <c r="K30" s="13">
        <v>1291.3</v>
      </c>
      <c r="L30" s="13">
        <v>1312</v>
      </c>
      <c r="M30" s="13">
        <v>1303.3</v>
      </c>
      <c r="N30" s="13">
        <v>1311.7</v>
      </c>
      <c r="O30" s="13">
        <v>1322.9</v>
      </c>
      <c r="P30" s="13">
        <v>1513.2</v>
      </c>
      <c r="Q30" s="13">
        <v>1565.1</v>
      </c>
      <c r="R30" s="13">
        <v>1662.3</v>
      </c>
      <c r="S30" s="13">
        <v>1640.3</v>
      </c>
      <c r="T30" s="13">
        <v>1660.8</v>
      </c>
      <c r="U30" s="13">
        <v>1678</v>
      </c>
      <c r="V30" s="13"/>
      <c r="W30" s="13"/>
      <c r="X30" s="13"/>
      <c r="AF30" s="13">
        <v>1226.8</v>
      </c>
      <c r="AG30" s="13">
        <v>1291.3</v>
      </c>
      <c r="AH30" s="13">
        <v>1322.9</v>
      </c>
      <c r="AI30" s="13">
        <v>1640.3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2:131" x14ac:dyDescent="0.25">
      <c r="C31" s="2" t="s">
        <v>88</v>
      </c>
      <c r="D31" s="13">
        <v>193.5</v>
      </c>
      <c r="E31" s="13">
        <v>187.7</v>
      </c>
      <c r="F31" s="13">
        <v>181.8</v>
      </c>
      <c r="G31" s="13">
        <v>198.3</v>
      </c>
      <c r="H31" s="13">
        <v>222.9</v>
      </c>
      <c r="I31" s="13">
        <v>232.4</v>
      </c>
      <c r="J31" s="13">
        <v>223.9</v>
      </c>
      <c r="K31" s="13">
        <v>251.7</v>
      </c>
      <c r="L31" s="13">
        <v>256.7</v>
      </c>
      <c r="M31" s="13">
        <v>258.8</v>
      </c>
      <c r="N31" s="13">
        <v>274.8</v>
      </c>
      <c r="O31" s="13">
        <v>697.5</v>
      </c>
      <c r="P31" s="13">
        <v>646.1</v>
      </c>
      <c r="Q31" s="13">
        <v>643.6</v>
      </c>
      <c r="R31" s="13">
        <v>653.5</v>
      </c>
      <c r="S31" s="13">
        <v>771.7</v>
      </c>
      <c r="T31" s="13">
        <v>821.5</v>
      </c>
      <c r="U31" s="13">
        <v>890.6</v>
      </c>
      <c r="V31" s="13"/>
      <c r="W31" s="13"/>
      <c r="X31" s="13"/>
      <c r="AF31" s="13">
        <v>198.3</v>
      </c>
      <c r="AG31" s="13">
        <v>251.7</v>
      </c>
      <c r="AH31" s="13">
        <v>697.5</v>
      </c>
      <c r="AI31" s="13">
        <v>771.7</v>
      </c>
    </row>
    <row r="32" spans="2:131" x14ac:dyDescent="0.25">
      <c r="C32" s="2" t="s">
        <v>89</v>
      </c>
      <c r="D32" s="13">
        <v>137.30000000000001</v>
      </c>
      <c r="E32" s="13">
        <v>133.30000000000001</v>
      </c>
      <c r="F32" s="13">
        <v>131.19999999999999</v>
      </c>
      <c r="G32" s="13">
        <v>134.5</v>
      </c>
      <c r="H32" s="13">
        <v>137.69999999999999</v>
      </c>
      <c r="I32" s="13">
        <v>162.5</v>
      </c>
      <c r="J32" s="13">
        <v>157.5</v>
      </c>
      <c r="K32" s="13">
        <v>178.2</v>
      </c>
      <c r="L32" s="13">
        <v>178</v>
      </c>
      <c r="M32" s="13">
        <v>178.9</v>
      </c>
      <c r="N32" s="13">
        <v>190.9</v>
      </c>
      <c r="O32" s="13">
        <v>220.4</v>
      </c>
      <c r="P32" s="13">
        <v>210.4</v>
      </c>
      <c r="Q32" s="13">
        <v>234.4</v>
      </c>
      <c r="R32" s="13">
        <v>249.3</v>
      </c>
      <c r="S32" s="13">
        <v>291.39999999999998</v>
      </c>
      <c r="T32" s="13">
        <v>298.8</v>
      </c>
      <c r="U32" s="13">
        <v>295.5</v>
      </c>
      <c r="V32" s="13"/>
      <c r="W32" s="13"/>
      <c r="X32" s="13"/>
      <c r="AF32" s="13">
        <v>134.5</v>
      </c>
      <c r="AG32" s="13">
        <v>178.2</v>
      </c>
      <c r="AH32" s="13">
        <v>220.4</v>
      </c>
      <c r="AI32" s="13">
        <v>291.39999999999998</v>
      </c>
    </row>
    <row r="33" spans="3:35" x14ac:dyDescent="0.25">
      <c r="C33" s="2" t="s">
        <v>90</v>
      </c>
      <c r="D33" s="13">
        <v>52.1</v>
      </c>
      <c r="E33" s="13">
        <v>54</v>
      </c>
      <c r="F33" s="13">
        <v>71.8</v>
      </c>
      <c r="G33" s="13">
        <v>96.3</v>
      </c>
      <c r="H33" s="13">
        <v>74.099999999999994</v>
      </c>
      <c r="I33" s="13">
        <v>76.900000000000006</v>
      </c>
      <c r="J33" s="13">
        <v>76.5</v>
      </c>
      <c r="K33" s="13">
        <v>72</v>
      </c>
      <c r="L33" s="13">
        <v>74.099999999999994</v>
      </c>
      <c r="M33" s="13">
        <v>75.7</v>
      </c>
      <c r="N33" s="13">
        <v>73.5</v>
      </c>
      <c r="O33" s="13">
        <v>84.2</v>
      </c>
      <c r="P33" s="13">
        <v>77.599999999999994</v>
      </c>
      <c r="Q33" s="13">
        <v>76.900000000000006</v>
      </c>
      <c r="R33" s="13">
        <v>85.3</v>
      </c>
      <c r="S33" s="13">
        <v>92</v>
      </c>
      <c r="T33" s="13">
        <v>93.8</v>
      </c>
      <c r="U33" s="13">
        <v>97</v>
      </c>
      <c r="V33" s="13"/>
      <c r="W33" s="13"/>
      <c r="X33" s="13"/>
      <c r="AF33" s="13">
        <v>96.3</v>
      </c>
      <c r="AG33" s="13">
        <v>72</v>
      </c>
      <c r="AH33" s="13">
        <v>84.2</v>
      </c>
      <c r="AI33" s="13">
        <v>92</v>
      </c>
    </row>
    <row r="34" spans="3:35" x14ac:dyDescent="0.25">
      <c r="C34" s="2" t="s">
        <v>91</v>
      </c>
      <c r="D34" s="13">
        <v>28.7</v>
      </c>
      <c r="E34" s="13">
        <v>59.2</v>
      </c>
      <c r="F34" s="13">
        <v>50.4</v>
      </c>
      <c r="G34" s="13">
        <v>29.6</v>
      </c>
      <c r="H34" s="13">
        <v>37.1</v>
      </c>
      <c r="I34" s="13">
        <v>33.4</v>
      </c>
      <c r="J34" s="13">
        <v>49.6</v>
      </c>
      <c r="K34" s="13">
        <v>14.9</v>
      </c>
      <c r="L34" s="13">
        <v>25.3</v>
      </c>
      <c r="M34" s="13">
        <v>41.6</v>
      </c>
      <c r="N34" s="13">
        <v>73.2</v>
      </c>
      <c r="O34" s="13">
        <v>45</v>
      </c>
      <c r="P34" s="13">
        <v>55.7</v>
      </c>
      <c r="Q34" s="13">
        <v>53</v>
      </c>
      <c r="R34" s="13">
        <v>48.5</v>
      </c>
      <c r="S34" s="13">
        <v>37.799999999999997</v>
      </c>
      <c r="T34" s="13">
        <v>53.2</v>
      </c>
      <c r="U34" s="13">
        <v>87.6</v>
      </c>
      <c r="V34" s="13"/>
      <c r="W34" s="13"/>
      <c r="X34" s="13"/>
      <c r="AF34" s="13">
        <v>29.6</v>
      </c>
      <c r="AG34" s="13">
        <v>14.9</v>
      </c>
      <c r="AH34" s="13">
        <v>45</v>
      </c>
      <c r="AI34" s="13">
        <v>37.799999999999997</v>
      </c>
    </row>
    <row r="35" spans="3:35" x14ac:dyDescent="0.25">
      <c r="C35" s="2" t="s">
        <v>92</v>
      </c>
      <c r="D35" s="13">
        <v>105.9</v>
      </c>
      <c r="E35" s="13">
        <v>101.9</v>
      </c>
      <c r="F35" s="13">
        <v>370.4</v>
      </c>
      <c r="G35" s="13">
        <v>430.2</v>
      </c>
      <c r="H35" s="13">
        <v>326.8</v>
      </c>
      <c r="I35" s="13">
        <v>400.6</v>
      </c>
      <c r="J35" s="13">
        <v>386.3</v>
      </c>
      <c r="K35" s="13">
        <v>255.7</v>
      </c>
      <c r="L35" s="13">
        <v>251.2</v>
      </c>
      <c r="M35" s="13">
        <v>257.89999999999998</v>
      </c>
      <c r="N35" s="13">
        <v>239.7</v>
      </c>
      <c r="O35" s="13">
        <v>251.7</v>
      </c>
      <c r="P35" s="13">
        <v>220</v>
      </c>
      <c r="Q35" s="13">
        <v>200.5</v>
      </c>
      <c r="R35" s="13">
        <v>224.6</v>
      </c>
      <c r="S35" s="13">
        <v>212.3</v>
      </c>
      <c r="T35" s="13">
        <v>209</v>
      </c>
      <c r="U35" s="13">
        <v>210.4</v>
      </c>
      <c r="V35" s="13"/>
      <c r="W35" s="13"/>
      <c r="X35" s="13"/>
      <c r="AF35" s="13">
        <v>430.2</v>
      </c>
      <c r="AG35" s="13">
        <v>255.7</v>
      </c>
      <c r="AH35" s="13">
        <v>251.7</v>
      </c>
      <c r="AI35" s="13">
        <v>212.3</v>
      </c>
    </row>
    <row r="36" spans="3:35" x14ac:dyDescent="0.25">
      <c r="C36" s="2" t="s">
        <v>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2">
        <v>0</v>
      </c>
      <c r="K36" s="13">
        <v>0.9</v>
      </c>
      <c r="L36" s="13">
        <v>0</v>
      </c>
      <c r="M36" s="13">
        <v>0</v>
      </c>
      <c r="N36" s="13">
        <v>0</v>
      </c>
      <c r="O36" s="13">
        <v>2.5</v>
      </c>
      <c r="P36" s="13">
        <v>0</v>
      </c>
      <c r="Q36" s="13">
        <v>0</v>
      </c>
      <c r="R36" s="13">
        <v>0</v>
      </c>
      <c r="S36" s="13">
        <v>3</v>
      </c>
      <c r="T36" s="13">
        <v>3.3</v>
      </c>
      <c r="U36" s="13">
        <v>2.9</v>
      </c>
      <c r="V36" s="13"/>
      <c r="W36" s="13"/>
      <c r="X36" s="13"/>
      <c r="AF36" s="13">
        <v>0</v>
      </c>
      <c r="AG36" s="13">
        <v>0.9</v>
      </c>
      <c r="AH36" s="13">
        <v>2.5</v>
      </c>
      <c r="AI36" s="13">
        <v>3</v>
      </c>
    </row>
    <row r="37" spans="3:35" x14ac:dyDescent="0.25">
      <c r="C37" s="2" t="s">
        <v>94</v>
      </c>
      <c r="D37" s="13">
        <v>55.7</v>
      </c>
      <c r="E37" s="13">
        <v>55.5</v>
      </c>
      <c r="F37" s="13">
        <v>55</v>
      </c>
      <c r="G37" s="13">
        <v>24.3</v>
      </c>
      <c r="H37" s="13">
        <v>27.4</v>
      </c>
      <c r="I37" s="13">
        <v>28.9</v>
      </c>
      <c r="J37" s="13">
        <v>22.7</v>
      </c>
      <c r="K37" s="13">
        <v>27.5</v>
      </c>
      <c r="L37" s="13">
        <v>23.9</v>
      </c>
      <c r="M37" s="13">
        <v>33.4</v>
      </c>
      <c r="N37" s="13">
        <v>35.5</v>
      </c>
      <c r="O37" s="13">
        <v>73.900000000000006</v>
      </c>
      <c r="P37" s="13">
        <v>68.5</v>
      </c>
      <c r="Q37" s="13">
        <v>66.599999999999994</v>
      </c>
      <c r="R37" s="13">
        <v>57.3</v>
      </c>
      <c r="S37" s="13">
        <v>48.9</v>
      </c>
      <c r="T37" s="13">
        <v>49.9</v>
      </c>
      <c r="U37" s="13">
        <v>50.9</v>
      </c>
      <c r="V37" s="13"/>
      <c r="W37" s="13"/>
      <c r="X37" s="13"/>
      <c r="AF37" s="13">
        <v>24.3</v>
      </c>
      <c r="AG37" s="13">
        <v>27.5</v>
      </c>
      <c r="AH37" s="13">
        <v>73.900000000000006</v>
      </c>
      <c r="AI37" s="13">
        <v>48.9</v>
      </c>
    </row>
    <row r="38" spans="3:35" x14ac:dyDescent="0.25">
      <c r="C38" s="2" t="s">
        <v>95</v>
      </c>
      <c r="D38" s="13">
        <v>523.4</v>
      </c>
      <c r="E38" s="13">
        <v>609.20000000000005</v>
      </c>
      <c r="F38" s="13">
        <v>674.5</v>
      </c>
      <c r="G38" s="13">
        <v>628.1</v>
      </c>
      <c r="H38" s="13">
        <v>557.9</v>
      </c>
      <c r="I38" s="13">
        <v>606.70000000000005</v>
      </c>
      <c r="J38" s="13">
        <v>622.4</v>
      </c>
      <c r="K38" s="13">
        <v>531.9</v>
      </c>
      <c r="L38" s="13">
        <v>512</v>
      </c>
      <c r="M38" s="13">
        <v>511.3</v>
      </c>
      <c r="N38" s="13">
        <v>533.1</v>
      </c>
      <c r="O38" s="13">
        <v>467.7</v>
      </c>
      <c r="P38" s="13">
        <v>476.5</v>
      </c>
      <c r="Q38" s="13">
        <v>450</v>
      </c>
      <c r="R38" s="13">
        <v>494.5</v>
      </c>
      <c r="S38" s="13">
        <v>405.1</v>
      </c>
      <c r="T38" s="13">
        <v>474.4</v>
      </c>
      <c r="U38" s="13">
        <v>520.4</v>
      </c>
      <c r="V38" s="13"/>
      <c r="W38" s="13"/>
      <c r="X38" s="13"/>
      <c r="AF38" s="13">
        <v>628.1</v>
      </c>
      <c r="AG38" s="13">
        <v>531.9</v>
      </c>
      <c r="AH38" s="13">
        <v>467.7</v>
      </c>
      <c r="AI38" s="13">
        <v>405.1</v>
      </c>
    </row>
    <row r="39" spans="3:35" x14ac:dyDescent="0.25">
      <c r="C39" s="2" t="s">
        <v>96</v>
      </c>
      <c r="D39" s="13">
        <v>118.9</v>
      </c>
      <c r="E39" s="13">
        <v>128.6</v>
      </c>
      <c r="F39" s="13">
        <v>141.5</v>
      </c>
      <c r="G39" s="13">
        <v>123.9</v>
      </c>
      <c r="H39" s="13">
        <v>140</v>
      </c>
      <c r="I39" s="13">
        <v>149.30000000000001</v>
      </c>
      <c r="J39" s="13">
        <v>155.1</v>
      </c>
      <c r="K39" s="13">
        <v>142.9</v>
      </c>
      <c r="L39" s="13">
        <v>157.19999999999999</v>
      </c>
      <c r="M39" s="13">
        <v>155.5</v>
      </c>
      <c r="N39" s="13">
        <v>148.9</v>
      </c>
      <c r="O39" s="13">
        <v>135.80000000000001</v>
      </c>
      <c r="P39" s="13">
        <v>143.6</v>
      </c>
      <c r="Q39" s="13">
        <v>144.6</v>
      </c>
      <c r="R39" s="13">
        <v>158</v>
      </c>
      <c r="S39" s="13">
        <v>151.69999999999999</v>
      </c>
      <c r="T39" s="13">
        <v>173.6</v>
      </c>
      <c r="U39" s="13">
        <v>185.5</v>
      </c>
      <c r="V39" s="13"/>
      <c r="W39" s="13"/>
      <c r="X39" s="13"/>
      <c r="AF39" s="13">
        <v>123.9</v>
      </c>
      <c r="AG39" s="13">
        <v>142.9</v>
      </c>
      <c r="AH39" s="13">
        <v>135.80000000000001</v>
      </c>
      <c r="AI39" s="13">
        <v>151.69999999999999</v>
      </c>
    </row>
    <row r="40" spans="3:35" x14ac:dyDescent="0.25">
      <c r="C40" s="2" t="s">
        <v>97</v>
      </c>
      <c r="D40" s="13">
        <v>271.60000000000002</v>
      </c>
      <c r="E40" s="13">
        <v>325.8</v>
      </c>
      <c r="F40" s="13">
        <v>346.3</v>
      </c>
      <c r="G40" s="13">
        <v>358.5</v>
      </c>
      <c r="H40" s="13">
        <v>375.7</v>
      </c>
      <c r="I40" s="13">
        <v>401.3</v>
      </c>
      <c r="J40" s="13">
        <v>363.5</v>
      </c>
      <c r="K40" s="13">
        <v>364.4</v>
      </c>
      <c r="L40" s="13">
        <v>373.3</v>
      </c>
      <c r="M40" s="13">
        <v>409.5</v>
      </c>
      <c r="N40" s="13">
        <v>369.1</v>
      </c>
      <c r="O40" s="13">
        <v>354.3</v>
      </c>
      <c r="P40" s="13">
        <v>349.6</v>
      </c>
      <c r="Q40" s="13">
        <v>389.6</v>
      </c>
      <c r="R40" s="13">
        <v>396.4</v>
      </c>
      <c r="S40" s="13">
        <v>339.2</v>
      </c>
      <c r="T40" s="13">
        <v>349.9</v>
      </c>
      <c r="U40" s="13">
        <v>367.4</v>
      </c>
      <c r="V40" s="13"/>
      <c r="W40" s="13"/>
      <c r="X40" s="13"/>
      <c r="AF40" s="13">
        <v>358.5</v>
      </c>
      <c r="AG40" s="13">
        <v>364.4</v>
      </c>
      <c r="AH40" s="13">
        <v>354.3</v>
      </c>
      <c r="AI40" s="13">
        <v>339.2</v>
      </c>
    </row>
    <row r="41" spans="3:35" x14ac:dyDescent="0.25">
      <c r="C41" s="2" t="s">
        <v>98</v>
      </c>
      <c r="D41" s="13">
        <v>689.6</v>
      </c>
      <c r="E41" s="13">
        <v>726.4</v>
      </c>
      <c r="F41" s="13">
        <v>776.9</v>
      </c>
      <c r="G41" s="13">
        <v>673.1</v>
      </c>
      <c r="H41" s="13">
        <v>855.9</v>
      </c>
      <c r="I41" s="13">
        <v>986.9</v>
      </c>
      <c r="J41" s="13">
        <v>932</v>
      </c>
      <c r="K41" s="13">
        <v>826.4</v>
      </c>
      <c r="L41" s="13">
        <v>987.2</v>
      </c>
      <c r="M41" s="13">
        <v>943.1</v>
      </c>
      <c r="N41" s="13">
        <v>769.9</v>
      </c>
      <c r="O41" s="13">
        <v>738.3</v>
      </c>
      <c r="P41" s="13">
        <v>878.5</v>
      </c>
      <c r="Q41" s="13">
        <v>926</v>
      </c>
      <c r="R41" s="13">
        <v>918.8</v>
      </c>
      <c r="S41" s="13">
        <v>783.2</v>
      </c>
      <c r="T41" s="13">
        <v>959.3</v>
      </c>
      <c r="U41" s="13">
        <v>1081.0999999999999</v>
      </c>
      <c r="V41" s="13"/>
      <c r="W41" s="13"/>
      <c r="X41" s="13"/>
      <c r="AF41" s="13">
        <v>673.1</v>
      </c>
      <c r="AG41" s="13">
        <v>826.4</v>
      </c>
      <c r="AH41" s="13">
        <v>738.3</v>
      </c>
      <c r="AI41" s="13">
        <v>783.2</v>
      </c>
    </row>
    <row r="42" spans="3:35" x14ac:dyDescent="0.25">
      <c r="C42" s="2" t="s">
        <v>99</v>
      </c>
      <c r="D42" s="15">
        <v>41</v>
      </c>
      <c r="E42" s="13">
        <v>44.5</v>
      </c>
      <c r="F42" s="13">
        <v>48.3</v>
      </c>
      <c r="G42" s="13">
        <v>27.8</v>
      </c>
      <c r="H42" s="13">
        <v>31.4</v>
      </c>
      <c r="I42" s="13">
        <v>38.299999999999997</v>
      </c>
      <c r="J42" s="13">
        <v>41.8</v>
      </c>
      <c r="K42" s="13">
        <v>35.9</v>
      </c>
      <c r="L42" s="13">
        <v>43.4</v>
      </c>
      <c r="M42" s="13">
        <v>52</v>
      </c>
      <c r="N42" s="13">
        <v>54.9</v>
      </c>
      <c r="O42" s="13">
        <v>60.3</v>
      </c>
      <c r="P42" s="13">
        <v>62</v>
      </c>
      <c r="Q42" s="13">
        <v>89.6</v>
      </c>
      <c r="R42" s="13">
        <v>103.8</v>
      </c>
      <c r="S42" s="13">
        <v>113.7</v>
      </c>
      <c r="T42" s="13">
        <v>104.4</v>
      </c>
      <c r="U42" s="13">
        <v>110.9</v>
      </c>
      <c r="V42" s="13"/>
      <c r="W42" s="13"/>
      <c r="X42" s="13"/>
      <c r="AF42" s="13">
        <v>27.8</v>
      </c>
      <c r="AG42" s="13">
        <v>35.9</v>
      </c>
      <c r="AH42" s="13">
        <v>60.3</v>
      </c>
      <c r="AI42" s="13">
        <v>113.7</v>
      </c>
    </row>
    <row r="43" spans="3:35" x14ac:dyDescent="0.25">
      <c r="C43" s="2" t="s">
        <v>100</v>
      </c>
      <c r="D43" s="13">
        <v>31.1</v>
      </c>
      <c r="E43" s="13">
        <v>55.3</v>
      </c>
      <c r="F43" s="13">
        <v>73.900000000000006</v>
      </c>
      <c r="G43" s="13">
        <v>98.6</v>
      </c>
      <c r="H43" s="13">
        <v>69.099999999999994</v>
      </c>
      <c r="I43" s="13">
        <v>84.2</v>
      </c>
      <c r="J43" s="13">
        <v>87.2</v>
      </c>
      <c r="K43" s="13">
        <v>100</v>
      </c>
      <c r="L43" s="13">
        <v>95.8</v>
      </c>
      <c r="M43" s="13">
        <v>103.4</v>
      </c>
      <c r="N43" s="13">
        <v>118.1</v>
      </c>
      <c r="O43" s="13">
        <v>142.5</v>
      </c>
      <c r="P43" s="13">
        <v>133</v>
      </c>
      <c r="Q43" s="13">
        <v>150.6</v>
      </c>
      <c r="R43" s="13">
        <v>151.4</v>
      </c>
      <c r="S43" s="13">
        <v>90.3</v>
      </c>
      <c r="T43" s="13">
        <v>83.7</v>
      </c>
      <c r="U43" s="13">
        <v>95.7</v>
      </c>
      <c r="V43" s="13"/>
      <c r="W43" s="13"/>
      <c r="X43" s="13"/>
      <c r="AF43" s="13">
        <v>98.6</v>
      </c>
      <c r="AG43" s="13">
        <v>100</v>
      </c>
      <c r="AH43" s="13">
        <v>142.5</v>
      </c>
      <c r="AI43" s="13">
        <v>90.3</v>
      </c>
    </row>
    <row r="44" spans="3:35" x14ac:dyDescent="0.25">
      <c r="C44" s="2" t="s">
        <v>101</v>
      </c>
      <c r="D44" s="13">
        <v>36.1</v>
      </c>
      <c r="E44" s="13">
        <v>42.1</v>
      </c>
      <c r="F44" s="13">
        <v>4.3</v>
      </c>
      <c r="G44" s="13">
        <v>42.1</v>
      </c>
      <c r="H44" s="13">
        <v>32.700000000000003</v>
      </c>
      <c r="I44" s="13">
        <v>43.4</v>
      </c>
      <c r="J44" s="13">
        <v>39.4</v>
      </c>
      <c r="K44" s="13">
        <v>39.299999999999997</v>
      </c>
      <c r="L44" s="13">
        <v>50.6</v>
      </c>
      <c r="M44" s="13">
        <v>55.8</v>
      </c>
      <c r="N44" s="13">
        <v>61.4</v>
      </c>
      <c r="O44" s="13">
        <v>52.9</v>
      </c>
      <c r="P44" s="13">
        <v>60.2</v>
      </c>
      <c r="Q44" s="13">
        <v>66.2</v>
      </c>
      <c r="R44" s="13">
        <v>57.6</v>
      </c>
      <c r="S44" s="13">
        <v>51.7</v>
      </c>
      <c r="T44" s="13">
        <v>61.5</v>
      </c>
      <c r="U44" s="13">
        <v>66.900000000000006</v>
      </c>
      <c r="V44" s="13"/>
      <c r="W44" s="13"/>
      <c r="X44" s="13"/>
      <c r="AF44" s="13">
        <v>42.1</v>
      </c>
      <c r="AG44" s="13">
        <v>39.299999999999997</v>
      </c>
      <c r="AH44" s="13">
        <v>52.9</v>
      </c>
      <c r="AI44" s="13">
        <v>51.7</v>
      </c>
    </row>
    <row r="45" spans="3:35" x14ac:dyDescent="0.25">
      <c r="C45" s="2" t="s">
        <v>102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11.8</v>
      </c>
      <c r="L45" s="13">
        <v>15.4</v>
      </c>
      <c r="M45" s="13">
        <v>17.399999999999999</v>
      </c>
      <c r="N45" s="13">
        <v>15.9</v>
      </c>
      <c r="O45" s="13">
        <v>14.1</v>
      </c>
      <c r="P45" s="13">
        <v>8</v>
      </c>
      <c r="Q45" s="13">
        <v>13.3</v>
      </c>
      <c r="R45" s="13">
        <v>0.4</v>
      </c>
      <c r="S45" s="13">
        <v>0.4</v>
      </c>
      <c r="T45" s="13">
        <v>0.4</v>
      </c>
      <c r="U45" s="13">
        <v>0.4</v>
      </c>
      <c r="V45" s="13"/>
      <c r="W45" s="13"/>
      <c r="X45" s="13"/>
      <c r="AF45" s="13">
        <v>0</v>
      </c>
      <c r="AG45" s="13">
        <v>11.8</v>
      </c>
      <c r="AH45" s="13">
        <v>14.1</v>
      </c>
      <c r="AI45" s="13">
        <v>0.4</v>
      </c>
    </row>
    <row r="46" spans="3:35" x14ac:dyDescent="0.25">
      <c r="C46" s="2" t="s">
        <v>103</v>
      </c>
      <c r="D46" s="13">
        <v>709.5</v>
      </c>
      <c r="E46" s="13">
        <v>628.5</v>
      </c>
      <c r="F46" s="13">
        <v>609.79999999999995</v>
      </c>
      <c r="G46" s="13">
        <v>498.8</v>
      </c>
      <c r="H46" s="13">
        <v>464.7</v>
      </c>
      <c r="I46" s="13">
        <v>416.6</v>
      </c>
      <c r="J46" s="13">
        <v>1055.2</v>
      </c>
      <c r="K46" s="13">
        <v>885.9</v>
      </c>
      <c r="L46" s="13">
        <v>1030.5</v>
      </c>
      <c r="M46" s="13">
        <v>916.6</v>
      </c>
      <c r="N46" s="13">
        <v>927.3</v>
      </c>
      <c r="O46" s="13">
        <v>949.7</v>
      </c>
      <c r="P46" s="13">
        <v>925.2</v>
      </c>
      <c r="Q46" s="13">
        <v>906.1</v>
      </c>
      <c r="R46" s="13">
        <v>779.8</v>
      </c>
      <c r="S46" s="13">
        <v>1108.4000000000001</v>
      </c>
      <c r="T46" s="13">
        <v>1117.5999999999999</v>
      </c>
      <c r="U46" s="13">
        <v>984</v>
      </c>
      <c r="V46" s="13"/>
      <c r="W46" s="13"/>
      <c r="X46" s="13"/>
      <c r="AF46" s="13">
        <v>498.8</v>
      </c>
      <c r="AG46" s="13">
        <v>885.9</v>
      </c>
      <c r="AH46" s="13">
        <v>949.7</v>
      </c>
      <c r="AI46" s="13">
        <v>1108.4000000000001</v>
      </c>
    </row>
    <row r="47" spans="3:35" x14ac:dyDescent="0.25">
      <c r="C47" s="1" t="s">
        <v>104</v>
      </c>
      <c r="D47" s="11">
        <f t="shared" ref="D47:P47" si="64">SUM(D29:D46)</f>
        <v>5022.9000000000005</v>
      </c>
      <c r="E47" s="11">
        <f t="shared" si="64"/>
        <v>5212.3000000000011</v>
      </c>
      <c r="F47" s="11">
        <f t="shared" si="64"/>
        <v>5586.9000000000005</v>
      </c>
      <c r="G47" s="11">
        <f t="shared" si="64"/>
        <v>5412.0000000000018</v>
      </c>
      <c r="H47" s="11">
        <f t="shared" si="64"/>
        <v>5402.7</v>
      </c>
      <c r="I47" s="11">
        <f t="shared" si="64"/>
        <v>5729.6</v>
      </c>
      <c r="J47" s="11">
        <f t="shared" si="64"/>
        <v>6259.7</v>
      </c>
      <c r="K47" s="11">
        <f t="shared" si="64"/>
        <v>5970.0999999999995</v>
      </c>
      <c r="L47" s="11">
        <f t="shared" si="64"/>
        <v>6318.7</v>
      </c>
      <c r="M47" s="11">
        <f t="shared" si="64"/>
        <v>6261.5000000000009</v>
      </c>
      <c r="N47" s="11">
        <f t="shared" si="64"/>
        <v>6124.9999999999991</v>
      </c>
      <c r="O47" s="11">
        <f t="shared" si="64"/>
        <v>6524.4000000000005</v>
      </c>
      <c r="P47" s="11">
        <f t="shared" si="64"/>
        <v>6705.4</v>
      </c>
      <c r="Q47" s="11">
        <f>SUM(Q29:Q46)</f>
        <v>6833.0000000000018</v>
      </c>
      <c r="R47" s="11">
        <f t="shared" ref="R47:U47" si="65">SUM(R29:R46)</f>
        <v>6997.4000000000005</v>
      </c>
      <c r="S47" s="11">
        <f t="shared" si="65"/>
        <v>7077</v>
      </c>
      <c r="T47" s="11">
        <f t="shared" si="65"/>
        <v>7452.0999999999985</v>
      </c>
      <c r="U47" s="11">
        <f t="shared" si="65"/>
        <v>7660.0999999999976</v>
      </c>
      <c r="V47" s="11"/>
      <c r="W47" s="11"/>
      <c r="X47" s="11"/>
      <c r="Y47" s="1"/>
      <c r="Z47" s="1"/>
      <c r="AA47" s="1"/>
      <c r="AB47" s="1"/>
      <c r="AC47" s="1"/>
      <c r="AD47" s="1"/>
      <c r="AE47" s="1"/>
      <c r="AF47" s="11">
        <f t="shared" ref="AF47" si="66">SUM(AF29:AF46)</f>
        <v>5412.0000000000018</v>
      </c>
      <c r="AG47" s="11">
        <f t="shared" ref="AG47" si="67">SUM(AG29:AG46)</f>
        <v>5970.0999999999995</v>
      </c>
      <c r="AH47" s="11">
        <f t="shared" ref="AH47" si="68">SUM(AH29:AH46)</f>
        <v>6524.4000000000005</v>
      </c>
      <c r="AI47" s="11">
        <f t="shared" ref="AI47" si="69">SUM(AI29:AI46)</f>
        <v>7077</v>
      </c>
    </row>
    <row r="48" spans="3:35" x14ac:dyDescent="0.25">
      <c r="C48" s="2" t="s">
        <v>105</v>
      </c>
      <c r="D48" s="13">
        <v>65.5</v>
      </c>
      <c r="E48" s="13">
        <v>65.5</v>
      </c>
      <c r="F48" s="13">
        <v>65.5</v>
      </c>
      <c r="G48" s="13">
        <v>65.5</v>
      </c>
      <c r="H48" s="13">
        <v>65.5</v>
      </c>
      <c r="I48" s="13">
        <v>65.5</v>
      </c>
      <c r="J48" s="13">
        <v>65.5</v>
      </c>
      <c r="K48" s="13">
        <v>65.5</v>
      </c>
      <c r="L48" s="13">
        <v>65.5</v>
      </c>
      <c r="M48" s="13">
        <v>65.5</v>
      </c>
      <c r="N48" s="13">
        <v>65.5</v>
      </c>
      <c r="O48" s="13">
        <v>65.5</v>
      </c>
      <c r="P48" s="13">
        <v>65.5</v>
      </c>
      <c r="Q48" s="13">
        <v>65.5</v>
      </c>
      <c r="R48" s="13">
        <v>65.599999999999994</v>
      </c>
      <c r="S48" s="13">
        <v>66</v>
      </c>
      <c r="T48" s="13">
        <v>65.5</v>
      </c>
      <c r="U48" s="13">
        <v>65.5</v>
      </c>
      <c r="V48" s="13"/>
      <c r="W48" s="13"/>
      <c r="X48" s="13"/>
      <c r="AF48" s="13">
        <v>65.5</v>
      </c>
      <c r="AG48" s="13">
        <v>65.5</v>
      </c>
      <c r="AH48" s="13">
        <v>65.5</v>
      </c>
      <c r="AI48" s="13">
        <v>66</v>
      </c>
    </row>
    <row r="49" spans="3:35" x14ac:dyDescent="0.25">
      <c r="C49" s="2" t="s">
        <v>106</v>
      </c>
      <c r="D49" s="13">
        <v>781.3</v>
      </c>
      <c r="E49" s="13">
        <v>781.3</v>
      </c>
      <c r="F49" s="13">
        <v>781.3</v>
      </c>
      <c r="G49" s="13">
        <v>781.3</v>
      </c>
      <c r="H49" s="13">
        <v>781.3</v>
      </c>
      <c r="I49" s="13">
        <v>781.3</v>
      </c>
      <c r="J49" s="13">
        <v>781.3</v>
      </c>
      <c r="K49" s="13">
        <v>781.3</v>
      </c>
      <c r="L49" s="13">
        <v>781.3</v>
      </c>
      <c r="M49" s="13">
        <v>781.3</v>
      </c>
      <c r="N49" s="13">
        <v>781.3</v>
      </c>
      <c r="O49" s="13">
        <v>781.3</v>
      </c>
      <c r="P49" s="13">
        <v>781.3</v>
      </c>
      <c r="Q49" s="13">
        <v>781.3</v>
      </c>
      <c r="R49" s="13">
        <v>781.3</v>
      </c>
      <c r="S49" s="13">
        <v>781.3</v>
      </c>
      <c r="T49" s="13">
        <v>781.3</v>
      </c>
      <c r="U49" s="13">
        <v>781.3</v>
      </c>
      <c r="V49" s="13"/>
      <c r="W49" s="13"/>
      <c r="X49" s="13"/>
      <c r="AF49" s="13">
        <v>781.3</v>
      </c>
      <c r="AG49" s="13">
        <v>781.3</v>
      </c>
      <c r="AH49" s="13">
        <v>781.3</v>
      </c>
      <c r="AI49" s="13">
        <v>781.3</v>
      </c>
    </row>
    <row r="50" spans="3:35" x14ac:dyDescent="0.25">
      <c r="C50" s="2" t="s">
        <v>107</v>
      </c>
      <c r="D50" s="13">
        <v>156.19999999999999</v>
      </c>
      <c r="E50" s="13">
        <v>434.7</v>
      </c>
      <c r="F50" s="13">
        <v>285.10000000000002</v>
      </c>
      <c r="G50" s="13">
        <v>288</v>
      </c>
      <c r="H50" s="13">
        <v>325.10000000000002</v>
      </c>
      <c r="I50" s="13">
        <v>434.7</v>
      </c>
      <c r="J50" s="13">
        <v>362</v>
      </c>
      <c r="K50" s="13">
        <v>248.9</v>
      </c>
      <c r="L50" s="13">
        <v>330.2</v>
      </c>
      <c r="M50" s="13">
        <v>305.7</v>
      </c>
      <c r="N50" s="13">
        <v>248.1</v>
      </c>
      <c r="O50" s="13">
        <v>306.89999999999998</v>
      </c>
      <c r="P50" s="13">
        <v>87</v>
      </c>
      <c r="Q50" s="13">
        <v>71.900000000000006</v>
      </c>
      <c r="R50" s="13">
        <v>39.700000000000003</v>
      </c>
      <c r="S50" s="13">
        <v>-19.5</v>
      </c>
      <c r="T50" s="13">
        <v>51.8</v>
      </c>
      <c r="U50" s="13">
        <v>93.6</v>
      </c>
      <c r="V50" s="13"/>
      <c r="W50" s="13"/>
      <c r="X50" s="13"/>
      <c r="AF50" s="13">
        <v>288</v>
      </c>
      <c r="AG50" s="13">
        <v>248.9</v>
      </c>
      <c r="AH50" s="13">
        <v>306.89999999999998</v>
      </c>
      <c r="AI50" s="13">
        <v>-19.5</v>
      </c>
    </row>
    <row r="51" spans="3:35" x14ac:dyDescent="0.25">
      <c r="C51" s="2" t="s">
        <v>108</v>
      </c>
      <c r="D51" s="13">
        <v>1973.7</v>
      </c>
      <c r="E51" s="13">
        <v>2296.1999999999998</v>
      </c>
      <c r="F51" s="13">
        <v>2024.1</v>
      </c>
      <c r="G51" s="13">
        <v>2153.5</v>
      </c>
      <c r="H51" s="13">
        <v>2295.5</v>
      </c>
      <c r="I51" s="13">
        <v>2296.1999999999998</v>
      </c>
      <c r="J51" s="13">
        <v>2466.1</v>
      </c>
      <c r="K51" s="13">
        <v>2580.3000000000002</v>
      </c>
      <c r="L51" s="13">
        <v>2774.2</v>
      </c>
      <c r="M51" s="13">
        <v>2767</v>
      </c>
      <c r="N51" s="13">
        <v>2867.7</v>
      </c>
      <c r="O51" s="13">
        <v>2979.1</v>
      </c>
      <c r="P51" s="13">
        <v>3093.5</v>
      </c>
      <c r="Q51" s="13">
        <v>3012.2</v>
      </c>
      <c r="R51" s="13">
        <v>3108.9</v>
      </c>
      <c r="S51" s="13">
        <v>3137.8</v>
      </c>
      <c r="T51" s="13">
        <v>3251.1</v>
      </c>
      <c r="U51" s="13">
        <v>3159.4</v>
      </c>
      <c r="V51" s="13"/>
      <c r="W51" s="13"/>
      <c r="X51" s="13"/>
      <c r="AF51" s="13">
        <v>2153.5</v>
      </c>
      <c r="AG51" s="13">
        <v>2580.3000000000002</v>
      </c>
      <c r="AH51" s="13">
        <v>2979.1</v>
      </c>
      <c r="AI51" s="13">
        <v>3137.8</v>
      </c>
    </row>
    <row r="52" spans="3:35" x14ac:dyDescent="0.25">
      <c r="C52" s="10" t="s">
        <v>109</v>
      </c>
      <c r="D52" s="15">
        <f t="shared" ref="D52:P52" si="70">SUM(D48:D51)</f>
        <v>2976.7</v>
      </c>
      <c r="E52" s="15">
        <f t="shared" si="70"/>
        <v>3577.7</v>
      </c>
      <c r="F52" s="15">
        <f t="shared" si="70"/>
        <v>3156</v>
      </c>
      <c r="G52" s="15">
        <f t="shared" si="70"/>
        <v>3288.3</v>
      </c>
      <c r="H52" s="15">
        <f t="shared" si="70"/>
        <v>3467.4</v>
      </c>
      <c r="I52" s="15">
        <f t="shared" si="70"/>
        <v>3577.7</v>
      </c>
      <c r="J52" s="15">
        <f t="shared" si="70"/>
        <v>3674.8999999999996</v>
      </c>
      <c r="K52" s="15">
        <f t="shared" si="70"/>
        <v>3676</v>
      </c>
      <c r="L52" s="15">
        <f t="shared" si="70"/>
        <v>3951.2</v>
      </c>
      <c r="M52" s="15">
        <f t="shared" si="70"/>
        <v>3919.5</v>
      </c>
      <c r="N52" s="15">
        <f t="shared" si="70"/>
        <v>3962.5999999999995</v>
      </c>
      <c r="O52" s="15">
        <f t="shared" si="70"/>
        <v>4132.7999999999993</v>
      </c>
      <c r="P52" s="15">
        <f t="shared" si="70"/>
        <v>4027.3</v>
      </c>
      <c r="Q52" s="15">
        <f>SUM(Q48:Q51)</f>
        <v>3930.8999999999996</v>
      </c>
      <c r="R52" s="15">
        <f t="shared" ref="R52:U52" si="71">SUM(R48:R51)</f>
        <v>3995.5</v>
      </c>
      <c r="S52" s="15">
        <f t="shared" si="71"/>
        <v>3965.6000000000004</v>
      </c>
      <c r="T52" s="15">
        <f t="shared" si="71"/>
        <v>4149.7</v>
      </c>
      <c r="U52" s="15">
        <f t="shared" si="71"/>
        <v>4099.8</v>
      </c>
      <c r="V52" s="13"/>
      <c r="W52" s="13"/>
      <c r="X52" s="13"/>
      <c r="AF52" s="15">
        <f t="shared" ref="AF52" si="72">SUM(AF48:AF51)</f>
        <v>3288.3</v>
      </c>
      <c r="AG52" s="15">
        <f t="shared" ref="AG52" si="73">SUM(AG48:AG51)</f>
        <v>3676</v>
      </c>
      <c r="AH52" s="15">
        <f t="shared" ref="AH52" si="74">SUM(AH48:AH51)</f>
        <v>4132.7999999999993</v>
      </c>
      <c r="AI52" s="15">
        <f t="shared" ref="AI52" si="75">SUM(AI48:AI51)</f>
        <v>3965.6000000000004</v>
      </c>
    </row>
    <row r="53" spans="3:35" x14ac:dyDescent="0.25">
      <c r="C53" s="2" t="s">
        <v>110</v>
      </c>
      <c r="D53" s="13">
        <v>254.8</v>
      </c>
      <c r="E53" s="13">
        <v>204.3</v>
      </c>
      <c r="F53" s="13">
        <v>251</v>
      </c>
      <c r="G53" s="13">
        <v>196.9</v>
      </c>
      <c r="H53" s="13">
        <v>176.4</v>
      </c>
      <c r="I53" s="13">
        <v>204.3</v>
      </c>
      <c r="J53" s="13">
        <v>184.9</v>
      </c>
      <c r="K53" s="13">
        <v>202.1</v>
      </c>
      <c r="L53" s="13">
        <v>206.1</v>
      </c>
      <c r="M53" s="13">
        <v>206.8</v>
      </c>
      <c r="N53" s="13">
        <v>220</v>
      </c>
      <c r="O53" s="13">
        <v>223.6</v>
      </c>
      <c r="P53" s="13">
        <v>219.4</v>
      </c>
      <c r="Q53" s="13">
        <v>222.8</v>
      </c>
      <c r="R53" s="13">
        <v>227.2</v>
      </c>
      <c r="S53" s="13">
        <v>203.6</v>
      </c>
      <c r="T53" s="13">
        <v>205.8</v>
      </c>
      <c r="U53" s="13">
        <v>208.2</v>
      </c>
      <c r="V53" s="13"/>
      <c r="W53" s="13"/>
      <c r="X53" s="13"/>
      <c r="AF53" s="13">
        <v>196.9</v>
      </c>
      <c r="AG53" s="13">
        <v>202.1</v>
      </c>
      <c r="AH53" s="13">
        <v>223.6</v>
      </c>
      <c r="AI53" s="13">
        <v>203.6</v>
      </c>
    </row>
    <row r="54" spans="3:35" x14ac:dyDescent="0.25">
      <c r="C54" s="2" t="s">
        <v>111</v>
      </c>
      <c r="D54" s="13">
        <v>229.1</v>
      </c>
      <c r="E54" s="13">
        <v>194.2</v>
      </c>
      <c r="F54" s="13">
        <v>256.7</v>
      </c>
      <c r="G54" s="13">
        <v>213.4</v>
      </c>
      <c r="H54" s="13">
        <v>212.8</v>
      </c>
      <c r="I54" s="13">
        <v>194.2</v>
      </c>
      <c r="J54" s="13">
        <v>207.8</v>
      </c>
      <c r="K54" s="13">
        <v>231.4</v>
      </c>
      <c r="L54" s="13">
        <v>230.6</v>
      </c>
      <c r="M54" s="13">
        <v>227.5</v>
      </c>
      <c r="N54" s="13">
        <v>232</v>
      </c>
      <c r="O54" s="13">
        <v>302.7</v>
      </c>
      <c r="P54" s="13">
        <v>297.5</v>
      </c>
      <c r="Q54" s="13">
        <v>289.60000000000002</v>
      </c>
      <c r="R54" s="13">
        <v>302.60000000000002</v>
      </c>
      <c r="S54" s="13">
        <v>302.3</v>
      </c>
      <c r="T54" s="13">
        <v>305.89999999999998</v>
      </c>
      <c r="U54" s="13">
        <v>306.3</v>
      </c>
      <c r="V54" s="13"/>
      <c r="W54" s="13"/>
      <c r="X54" s="13"/>
      <c r="AF54" s="13">
        <v>213.4</v>
      </c>
      <c r="AG54" s="13">
        <v>231.4</v>
      </c>
      <c r="AH54" s="13">
        <v>302.7</v>
      </c>
      <c r="AI54" s="13">
        <v>302.3</v>
      </c>
    </row>
    <row r="55" spans="3:35" x14ac:dyDescent="0.25">
      <c r="C55" s="2" t="s">
        <v>112</v>
      </c>
      <c r="D55" s="13">
        <v>48.4</v>
      </c>
      <c r="E55" s="13">
        <v>94.2</v>
      </c>
      <c r="F55" s="13">
        <v>66.2</v>
      </c>
      <c r="G55" s="13">
        <v>61</v>
      </c>
      <c r="H55" s="13">
        <v>66.900000000000006</v>
      </c>
      <c r="I55" s="13">
        <v>94.2</v>
      </c>
      <c r="J55" s="13">
        <v>89.6</v>
      </c>
      <c r="K55" s="13">
        <v>95.8</v>
      </c>
      <c r="L55" s="13">
        <v>106.9</v>
      </c>
      <c r="M55" s="13">
        <v>109.4</v>
      </c>
      <c r="N55" s="13">
        <v>93.8</v>
      </c>
      <c r="O55" s="13">
        <v>93.9</v>
      </c>
      <c r="P55" s="13">
        <v>86.7</v>
      </c>
      <c r="Q55" s="13">
        <v>81</v>
      </c>
      <c r="R55" s="13">
        <v>73.400000000000006</v>
      </c>
      <c r="S55" s="13">
        <v>245.6</v>
      </c>
      <c r="T55" s="13">
        <v>65.900000000000006</v>
      </c>
      <c r="U55" s="13">
        <v>62.6</v>
      </c>
      <c r="V55" s="13"/>
      <c r="W55" s="13"/>
      <c r="X55" s="13"/>
      <c r="AF55" s="13">
        <v>61</v>
      </c>
      <c r="AG55" s="13">
        <v>95.8</v>
      </c>
      <c r="AH55" s="13">
        <v>93.9</v>
      </c>
      <c r="AI55" s="13">
        <v>245.6</v>
      </c>
    </row>
    <row r="56" spans="3:35" x14ac:dyDescent="0.25">
      <c r="C56" s="2" t="s">
        <v>113</v>
      </c>
      <c r="D56" s="13">
        <v>90.9</v>
      </c>
      <c r="E56" s="13">
        <v>375.9</v>
      </c>
      <c r="F56" s="13">
        <v>334.4</v>
      </c>
      <c r="G56" s="13">
        <v>399</v>
      </c>
      <c r="H56" s="13">
        <v>296.60000000000002</v>
      </c>
      <c r="I56" s="13">
        <v>375.9</v>
      </c>
      <c r="J56" s="13">
        <v>363.7</v>
      </c>
      <c r="K56" s="13">
        <v>238.4</v>
      </c>
      <c r="L56" s="13">
        <v>230.6</v>
      </c>
      <c r="M56" s="13">
        <v>240</v>
      </c>
      <c r="N56" s="13">
        <v>220.8</v>
      </c>
      <c r="O56" s="13">
        <v>232</v>
      </c>
      <c r="P56" s="13">
        <v>202.2</v>
      </c>
      <c r="Q56" s="13">
        <v>183.5</v>
      </c>
      <c r="R56" s="13">
        <v>201.4</v>
      </c>
      <c r="S56" s="13">
        <v>186.9</v>
      </c>
      <c r="T56" s="13">
        <v>184.6</v>
      </c>
      <c r="U56" s="13">
        <v>187.4</v>
      </c>
      <c r="V56" s="13"/>
      <c r="W56" s="13"/>
      <c r="X56" s="13"/>
      <c r="AF56" s="13">
        <v>399</v>
      </c>
      <c r="AG56" s="13">
        <v>238.4</v>
      </c>
      <c r="AH56" s="13">
        <v>232</v>
      </c>
      <c r="AI56" s="13">
        <v>186.9</v>
      </c>
    </row>
    <row r="57" spans="3:35" x14ac:dyDescent="0.25">
      <c r="C57" s="2" t="s">
        <v>114</v>
      </c>
      <c r="D57" s="13">
        <v>759.5</v>
      </c>
      <c r="E57" s="13">
        <v>449.1</v>
      </c>
      <c r="F57" s="13">
        <v>807</v>
      </c>
      <c r="G57" s="13">
        <v>576</v>
      </c>
      <c r="H57" s="13">
        <v>437.8</v>
      </c>
      <c r="I57" s="13">
        <v>449.1</v>
      </c>
      <c r="J57" s="13">
        <v>859.2</v>
      </c>
      <c r="K57" s="13">
        <v>730.5</v>
      </c>
      <c r="L57" s="13">
        <v>738.9</v>
      </c>
      <c r="M57" s="13">
        <v>648.20000000000005</v>
      </c>
      <c r="N57" s="13">
        <v>623</v>
      </c>
      <c r="O57" s="13">
        <v>862</v>
      </c>
      <c r="P57" s="13">
        <v>1060.9000000000001</v>
      </c>
      <c r="Q57" s="13">
        <v>1255.3</v>
      </c>
      <c r="R57" s="13">
        <v>1195.8</v>
      </c>
      <c r="S57" s="13">
        <v>1504.8</v>
      </c>
      <c r="T57" s="13">
        <v>1522.4</v>
      </c>
      <c r="U57" s="13">
        <v>1480.2</v>
      </c>
      <c r="V57" s="13"/>
      <c r="W57" s="13"/>
      <c r="X57" s="13"/>
      <c r="AF57" s="13">
        <v>576</v>
      </c>
      <c r="AG57" s="13">
        <v>730.5</v>
      </c>
      <c r="AH57" s="13">
        <v>862</v>
      </c>
      <c r="AI57" s="13">
        <v>1504.8</v>
      </c>
    </row>
    <row r="58" spans="3:35" x14ac:dyDescent="0.25">
      <c r="C58" s="2" t="s">
        <v>115</v>
      </c>
      <c r="D58" s="13">
        <v>20.7</v>
      </c>
      <c r="E58" s="13">
        <v>23.9</v>
      </c>
      <c r="F58" s="13">
        <v>24.4</v>
      </c>
      <c r="G58" s="13">
        <v>23.1</v>
      </c>
      <c r="H58" s="13">
        <v>22.9</v>
      </c>
      <c r="I58" s="13">
        <v>23.9</v>
      </c>
      <c r="J58" s="13">
        <v>23.9</v>
      </c>
      <c r="K58" s="13">
        <v>55.7</v>
      </c>
      <c r="L58" s="13">
        <v>24.1</v>
      </c>
      <c r="M58" s="13">
        <v>24</v>
      </c>
      <c r="N58" s="13">
        <v>23.3</v>
      </c>
      <c r="O58" s="13">
        <v>26.1</v>
      </c>
      <c r="P58" s="13">
        <v>51.6</v>
      </c>
      <c r="Q58" s="13">
        <v>106.7</v>
      </c>
      <c r="R58" s="13">
        <v>197.5</v>
      </c>
      <c r="S58" s="13">
        <v>0</v>
      </c>
      <c r="T58" s="13">
        <v>176.8</v>
      </c>
      <c r="U58" s="13">
        <v>176.4</v>
      </c>
      <c r="V58" s="13"/>
      <c r="W58" s="13"/>
      <c r="X58" s="13"/>
      <c r="AF58" s="13">
        <v>23.1</v>
      </c>
      <c r="AG58" s="13">
        <v>55.7</v>
      </c>
      <c r="AH58" s="13">
        <v>26.1</v>
      </c>
      <c r="AI58" s="13">
        <v>0</v>
      </c>
    </row>
    <row r="59" spans="3:35" x14ac:dyDescent="0.25">
      <c r="C59" s="2" t="s">
        <v>116</v>
      </c>
      <c r="D59" s="13">
        <v>345.3</v>
      </c>
      <c r="E59" s="13">
        <v>414.4</v>
      </c>
      <c r="F59" s="13">
        <v>371.8</v>
      </c>
      <c r="G59" s="13">
        <v>323.3</v>
      </c>
      <c r="H59" s="13">
        <v>348.1</v>
      </c>
      <c r="I59" s="13">
        <v>414.4</v>
      </c>
      <c r="J59" s="13">
        <v>411.5</v>
      </c>
      <c r="K59" s="13">
        <v>322.5</v>
      </c>
      <c r="L59" s="13">
        <v>381.3</v>
      </c>
      <c r="M59" s="13">
        <v>431.7</v>
      </c>
      <c r="N59" s="13">
        <v>347</v>
      </c>
      <c r="O59" s="13">
        <v>240.3</v>
      </c>
      <c r="P59" s="13">
        <v>332.4</v>
      </c>
      <c r="Q59" s="13">
        <v>352.7</v>
      </c>
      <c r="R59" s="13">
        <v>375.7</v>
      </c>
      <c r="S59" s="13">
        <v>239.2</v>
      </c>
      <c r="T59" s="13">
        <v>384.6</v>
      </c>
      <c r="U59" s="13">
        <v>217.7</v>
      </c>
      <c r="V59" s="13"/>
      <c r="W59" s="13"/>
      <c r="X59" s="13"/>
      <c r="AF59" s="13">
        <v>323.3</v>
      </c>
      <c r="AG59" s="13">
        <v>322.5</v>
      </c>
      <c r="AH59" s="13">
        <v>240.3</v>
      </c>
      <c r="AI59" s="13">
        <v>239.2</v>
      </c>
    </row>
    <row r="60" spans="3:35" x14ac:dyDescent="0.25">
      <c r="C60" s="2" t="s">
        <v>117</v>
      </c>
      <c r="D60" s="13">
        <v>32.299999999999997</v>
      </c>
      <c r="E60" s="13">
        <v>89.3</v>
      </c>
      <c r="F60" s="13">
        <v>56.4</v>
      </c>
      <c r="G60" s="13">
        <v>49.8</v>
      </c>
      <c r="H60" s="13">
        <v>71.5</v>
      </c>
      <c r="I60" s="13">
        <v>89.3</v>
      </c>
      <c r="J60" s="13">
        <v>120.1</v>
      </c>
      <c r="K60" s="13">
        <v>95.5</v>
      </c>
      <c r="L60" s="13">
        <v>95.7</v>
      </c>
      <c r="M60" s="13">
        <v>89.7</v>
      </c>
      <c r="N60" s="13">
        <v>83.9</v>
      </c>
      <c r="O60" s="13">
        <v>79.7</v>
      </c>
      <c r="P60" s="13">
        <v>50</v>
      </c>
      <c r="Q60" s="13">
        <v>60.1</v>
      </c>
      <c r="R60" s="13">
        <v>78.099999999999994</v>
      </c>
      <c r="S60" s="13">
        <v>59</v>
      </c>
      <c r="T60" s="13">
        <v>67.8</v>
      </c>
      <c r="U60" s="13">
        <v>64.599999999999994</v>
      </c>
      <c r="V60" s="13"/>
      <c r="W60" s="13"/>
      <c r="X60" s="13"/>
      <c r="AF60" s="13">
        <v>49.8</v>
      </c>
      <c r="AG60" s="13">
        <v>95.5</v>
      </c>
      <c r="AH60" s="13">
        <v>79.7</v>
      </c>
      <c r="AI60" s="13">
        <v>59</v>
      </c>
    </row>
    <row r="61" spans="3:35" x14ac:dyDescent="0.25">
      <c r="C61" s="2" t="s">
        <v>118</v>
      </c>
      <c r="D61" s="13">
        <v>40.9</v>
      </c>
      <c r="E61" s="13">
        <v>35.200000000000003</v>
      </c>
      <c r="F61" s="13">
        <v>40</v>
      </c>
      <c r="G61" s="13">
        <v>39.200000000000003</v>
      </c>
      <c r="H61" s="13">
        <v>42.1</v>
      </c>
      <c r="I61" s="13">
        <v>35.200000000000003</v>
      </c>
      <c r="J61" s="13">
        <v>38.799999999999997</v>
      </c>
      <c r="K61" s="13">
        <v>45.6</v>
      </c>
      <c r="L61" s="13">
        <v>68.599999999999994</v>
      </c>
      <c r="M61" s="13">
        <v>71.900000000000006</v>
      </c>
      <c r="N61" s="13">
        <v>29.4</v>
      </c>
      <c r="O61" s="13">
        <v>45.6</v>
      </c>
      <c r="P61" s="13">
        <v>73.7</v>
      </c>
      <c r="Q61" s="13">
        <v>38.1</v>
      </c>
      <c r="R61" s="13">
        <v>4.2</v>
      </c>
      <c r="S61" s="13">
        <v>47.2</v>
      </c>
      <c r="T61" s="13">
        <v>36.1</v>
      </c>
      <c r="U61" s="13">
        <v>44.4</v>
      </c>
      <c r="V61" s="13"/>
      <c r="W61" s="13"/>
      <c r="X61" s="13"/>
      <c r="AF61" s="13">
        <v>39.200000000000003</v>
      </c>
      <c r="AG61" s="13">
        <v>45.6</v>
      </c>
      <c r="AH61" s="13">
        <v>45.6</v>
      </c>
      <c r="AI61" s="13">
        <v>47.2</v>
      </c>
    </row>
    <row r="62" spans="3:35" x14ac:dyDescent="0.25">
      <c r="C62" s="2" t="s">
        <v>113</v>
      </c>
      <c r="D62" s="13">
        <v>22.4</v>
      </c>
      <c r="E62" s="13">
        <v>47.5</v>
      </c>
      <c r="F62" s="13">
        <v>43.7</v>
      </c>
      <c r="G62" s="13">
        <v>49.1</v>
      </c>
      <c r="H62" s="13">
        <v>48.5</v>
      </c>
      <c r="I62" s="13">
        <v>47.5</v>
      </c>
      <c r="J62" s="13">
        <v>47.4</v>
      </c>
      <c r="K62" s="13">
        <v>55.3</v>
      </c>
      <c r="L62" s="13">
        <v>50.8</v>
      </c>
      <c r="M62" s="13">
        <v>58.2</v>
      </c>
      <c r="N62" s="13">
        <v>57.1</v>
      </c>
      <c r="O62" s="13">
        <v>60.7</v>
      </c>
      <c r="P62" s="13">
        <v>55.5</v>
      </c>
      <c r="Q62" s="13">
        <v>53.9</v>
      </c>
      <c r="R62" s="13">
        <v>58.6</v>
      </c>
      <c r="S62" s="13">
        <v>60.1</v>
      </c>
      <c r="T62" s="13">
        <v>59.2</v>
      </c>
      <c r="U62" s="13">
        <v>57.4</v>
      </c>
      <c r="V62" s="13"/>
      <c r="W62" s="13"/>
      <c r="X62" s="13"/>
      <c r="AF62" s="13">
        <v>49.1</v>
      </c>
      <c r="AG62" s="13">
        <v>55.3</v>
      </c>
      <c r="AH62" s="13">
        <v>60.7</v>
      </c>
      <c r="AI62" s="13">
        <v>60.1</v>
      </c>
    </row>
    <row r="63" spans="3:35" x14ac:dyDescent="0.25">
      <c r="C63" s="2" t="s">
        <v>119</v>
      </c>
      <c r="D63" s="13">
        <v>202</v>
      </c>
      <c r="E63" s="13">
        <v>223.7</v>
      </c>
      <c r="F63" s="13">
        <v>215.9</v>
      </c>
      <c r="G63" s="13">
        <v>193.1</v>
      </c>
      <c r="H63" s="13">
        <v>211.7</v>
      </c>
      <c r="I63" s="13">
        <v>223.7</v>
      </c>
      <c r="J63" s="13">
        <v>238.1</v>
      </c>
      <c r="K63" s="13">
        <v>221.3</v>
      </c>
      <c r="L63" s="13">
        <v>233.9</v>
      </c>
      <c r="M63" s="13">
        <v>237.9</v>
      </c>
      <c r="N63" s="13">
        <v>259.39999999999998</v>
      </c>
      <c r="O63" s="13">
        <v>225.2</v>
      </c>
      <c r="P63" s="13">
        <v>249</v>
      </c>
      <c r="Q63" s="13">
        <v>258.8</v>
      </c>
      <c r="R63" s="13">
        <v>251.5</v>
      </c>
      <c r="S63" s="13">
        <v>263.7</v>
      </c>
      <c r="T63" s="13">
        <v>293.2</v>
      </c>
      <c r="U63" s="13">
        <v>332.5</v>
      </c>
      <c r="V63" s="13"/>
      <c r="W63" s="13"/>
      <c r="X63" s="13"/>
      <c r="AF63" s="13">
        <v>193.1</v>
      </c>
      <c r="AG63" s="13">
        <v>221.3</v>
      </c>
      <c r="AH63" s="13">
        <v>225.2</v>
      </c>
      <c r="AI63" s="13">
        <v>263.7</v>
      </c>
    </row>
    <row r="64" spans="3:35" x14ac:dyDescent="0.25">
      <c r="C64" s="10" t="s">
        <v>120</v>
      </c>
      <c r="D64" s="15">
        <f t="shared" ref="D64:P64" si="76">SUM(D53:D63)</f>
        <v>2046.3</v>
      </c>
      <c r="E64" s="15">
        <f t="shared" si="76"/>
        <v>2151.6999999999998</v>
      </c>
      <c r="F64" s="15">
        <f t="shared" si="76"/>
        <v>2467.5</v>
      </c>
      <c r="G64" s="15">
        <f t="shared" si="76"/>
        <v>2123.8999999999996</v>
      </c>
      <c r="H64" s="15">
        <f t="shared" si="76"/>
        <v>1935.3</v>
      </c>
      <c r="I64" s="15">
        <f t="shared" si="76"/>
        <v>2151.6999999999998</v>
      </c>
      <c r="J64" s="15">
        <f t="shared" si="76"/>
        <v>2585.0000000000005</v>
      </c>
      <c r="K64" s="15">
        <f t="shared" si="76"/>
        <v>2294.1</v>
      </c>
      <c r="L64" s="15">
        <f t="shared" si="76"/>
        <v>2367.5</v>
      </c>
      <c r="M64" s="15">
        <f t="shared" si="76"/>
        <v>2345.3000000000002</v>
      </c>
      <c r="N64" s="15">
        <f t="shared" si="76"/>
        <v>2189.6999999999998</v>
      </c>
      <c r="O64" s="15">
        <f t="shared" si="76"/>
        <v>2391.7999999999993</v>
      </c>
      <c r="P64" s="15">
        <f t="shared" si="76"/>
        <v>2678.8999999999996</v>
      </c>
      <c r="Q64" s="15">
        <f>SUM(Q53:Q63)</f>
        <v>2902.5</v>
      </c>
      <c r="R64" s="15">
        <f t="shared" ref="R64:S64" si="77">SUM(R53:R63)</f>
        <v>2965.9999999999991</v>
      </c>
      <c r="S64" s="15">
        <f t="shared" si="77"/>
        <v>3112.3999999999992</v>
      </c>
      <c r="T64" s="15">
        <f t="shared" ref="T64:U64" si="78">SUM(T53:T63)</f>
        <v>3302.3</v>
      </c>
      <c r="U64" s="15">
        <f t="shared" si="78"/>
        <v>3137.7</v>
      </c>
      <c r="V64" s="13"/>
      <c r="W64" s="13"/>
      <c r="X64" s="13"/>
      <c r="AF64" s="15">
        <f t="shared" ref="AF64" si="79">SUM(AF53:AF63)</f>
        <v>2123.8999999999996</v>
      </c>
      <c r="AG64" s="15">
        <f t="shared" ref="AG64" si="80">SUM(AG53:AG63)</f>
        <v>2294.1</v>
      </c>
      <c r="AH64" s="15">
        <f t="shared" ref="AH64" si="81">SUM(AH53:AH63)</f>
        <v>2391.7999999999993</v>
      </c>
      <c r="AI64" s="15">
        <f t="shared" ref="AI64" si="82">SUM(AI53:AI63)</f>
        <v>3112.3999999999992</v>
      </c>
    </row>
    <row r="65" spans="3:35" x14ac:dyDescent="0.25">
      <c r="C65" s="1" t="s">
        <v>121</v>
      </c>
      <c r="D65" s="11">
        <f t="shared" ref="D65:P65" si="83">D52+D64</f>
        <v>5023</v>
      </c>
      <c r="E65" s="11">
        <f t="shared" si="83"/>
        <v>5729.4</v>
      </c>
      <c r="F65" s="11">
        <f t="shared" si="83"/>
        <v>5623.5</v>
      </c>
      <c r="G65" s="11">
        <f t="shared" si="83"/>
        <v>5412.2</v>
      </c>
      <c r="H65" s="11">
        <f t="shared" si="83"/>
        <v>5402.7</v>
      </c>
      <c r="I65" s="11">
        <f t="shared" si="83"/>
        <v>5729.4</v>
      </c>
      <c r="J65" s="11">
        <f t="shared" si="83"/>
        <v>6259.9</v>
      </c>
      <c r="K65" s="11">
        <f t="shared" si="83"/>
        <v>5970.1</v>
      </c>
      <c r="L65" s="11">
        <f t="shared" si="83"/>
        <v>6318.7</v>
      </c>
      <c r="M65" s="11">
        <f t="shared" si="83"/>
        <v>6264.8</v>
      </c>
      <c r="N65" s="11">
        <f t="shared" si="83"/>
        <v>6152.2999999999993</v>
      </c>
      <c r="O65" s="11">
        <f t="shared" si="83"/>
        <v>6524.5999999999985</v>
      </c>
      <c r="P65" s="11">
        <f t="shared" si="83"/>
        <v>6706.2</v>
      </c>
      <c r="Q65" s="11">
        <f>Q52+Q64</f>
        <v>6833.4</v>
      </c>
      <c r="R65" s="11">
        <f t="shared" ref="R65:S65" si="84">R52+R64</f>
        <v>6961.4999999999991</v>
      </c>
      <c r="S65" s="11">
        <f t="shared" si="84"/>
        <v>7078</v>
      </c>
      <c r="T65" s="11">
        <f t="shared" ref="T65:U65" si="85">T52+T64</f>
        <v>7452</v>
      </c>
      <c r="U65" s="11">
        <f t="shared" si="85"/>
        <v>7237.5</v>
      </c>
      <c r="V65" s="13"/>
      <c r="W65" s="13"/>
      <c r="X65" s="13"/>
      <c r="AF65" s="11">
        <f t="shared" ref="AF65" si="86">AF52+AF64</f>
        <v>5412.2</v>
      </c>
      <c r="AG65" s="11">
        <f t="shared" ref="AG65" si="87">AG52+AG64</f>
        <v>5970.1</v>
      </c>
      <c r="AH65" s="11">
        <f t="shared" ref="AH65" si="88">AH52+AH64</f>
        <v>6524.5999999999985</v>
      </c>
      <c r="AI65" s="11">
        <f t="shared" ref="AI65" si="89">AI52+AI64</f>
        <v>7078</v>
      </c>
    </row>
    <row r="67" spans="3:35" x14ac:dyDescent="0.25">
      <c r="C67" s="1" t="s">
        <v>84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AC67" s="1"/>
      <c r="AD67" s="1"/>
      <c r="AE67" s="1"/>
      <c r="AF67" s="1"/>
      <c r="AG67" s="1"/>
      <c r="AH67" s="1"/>
    </row>
    <row r="68" spans="3:35" x14ac:dyDescent="0.25">
      <c r="C68" s="2" t="s">
        <v>63</v>
      </c>
      <c r="D68" s="13">
        <f t="shared" ref="D68:U68" si="90">D13</f>
        <v>156.39999999999998</v>
      </c>
      <c r="E68" s="13">
        <f t="shared" si="90"/>
        <v>139.29999999999995</v>
      </c>
      <c r="F68" s="13">
        <f t="shared" si="90"/>
        <v>104.49999999999989</v>
      </c>
      <c r="G68" s="13">
        <f t="shared" si="90"/>
        <v>126.90000000000009</v>
      </c>
      <c r="H68" s="13">
        <f t="shared" si="90"/>
        <v>194.60000000000036</v>
      </c>
      <c r="I68" s="13">
        <f t="shared" si="90"/>
        <v>204.09999999999991</v>
      </c>
      <c r="J68" s="13">
        <f t="shared" si="90"/>
        <v>217.09999999999991</v>
      </c>
      <c r="K68" s="13">
        <f t="shared" si="90"/>
        <v>209.00000000000023</v>
      </c>
      <c r="L68" s="13">
        <f t="shared" si="90"/>
        <v>251.60000000000014</v>
      </c>
      <c r="M68" s="13">
        <f t="shared" si="90"/>
        <v>209.10000000000014</v>
      </c>
      <c r="N68" s="13">
        <f t="shared" si="90"/>
        <v>164.09999999999991</v>
      </c>
      <c r="O68" s="13">
        <f t="shared" si="90"/>
        <v>171.19999999999982</v>
      </c>
      <c r="P68" s="13">
        <f t="shared" si="90"/>
        <v>165.70000000000005</v>
      </c>
      <c r="Q68" s="13">
        <f t="shared" si="90"/>
        <v>167.10000000000014</v>
      </c>
      <c r="R68" s="13">
        <f t="shared" si="90"/>
        <v>158.29999999999995</v>
      </c>
      <c r="S68" s="13">
        <f t="shared" si="90"/>
        <v>159.20000000000027</v>
      </c>
      <c r="T68" s="13">
        <f t="shared" si="90"/>
        <v>161.80000000000018</v>
      </c>
      <c r="U68" s="13">
        <f t="shared" si="90"/>
        <v>135.50000000000023</v>
      </c>
      <c r="V68" s="13"/>
      <c r="W68" s="13"/>
      <c r="X68" s="13"/>
      <c r="Y68" s="13"/>
      <c r="Z68" s="13"/>
      <c r="AC68" s="13">
        <f t="shared" ref="AC68:AH68" si="91">AC13</f>
        <v>435.03999999999951</v>
      </c>
      <c r="AD68" s="13">
        <f t="shared" si="91"/>
        <v>353.37199999999984</v>
      </c>
      <c r="AE68" s="13">
        <f t="shared" si="91"/>
        <v>455.95600000000013</v>
      </c>
      <c r="AF68" s="13">
        <f t="shared" si="91"/>
        <v>527.2180000000003</v>
      </c>
      <c r="AG68" s="13">
        <f t="shared" si="91"/>
        <v>827.5590000000002</v>
      </c>
      <c r="AH68" s="13">
        <f t="shared" si="91"/>
        <v>795.83700000000044</v>
      </c>
    </row>
    <row r="69" spans="3:35" x14ac:dyDescent="0.25">
      <c r="C69" s="2" t="s">
        <v>64</v>
      </c>
      <c r="D69" s="13">
        <v>156</v>
      </c>
      <c r="E69" s="13"/>
      <c r="F69" s="13"/>
      <c r="G69" s="13"/>
      <c r="H69" s="13">
        <v>195</v>
      </c>
      <c r="I69" s="13"/>
      <c r="J69" s="13"/>
      <c r="K69" s="13"/>
      <c r="L69" s="13">
        <v>252</v>
      </c>
      <c r="M69" s="13">
        <v>209</v>
      </c>
      <c r="N69" s="13">
        <v>164</v>
      </c>
      <c r="O69" s="13"/>
      <c r="P69" s="13">
        <v>165.8</v>
      </c>
      <c r="Q69" s="13">
        <v>167</v>
      </c>
      <c r="R69" s="13">
        <v>158</v>
      </c>
      <c r="S69" s="13">
        <v>159</v>
      </c>
      <c r="T69" s="13">
        <v>161.80000000000001</v>
      </c>
      <c r="U69" s="13">
        <v>136</v>
      </c>
      <c r="V69" s="13"/>
      <c r="W69" s="13"/>
      <c r="X69" s="13"/>
      <c r="Y69" s="13"/>
      <c r="Z69" s="13"/>
      <c r="AC69" s="13">
        <v>435</v>
      </c>
      <c r="AD69" s="13">
        <v>353.37900000000002</v>
      </c>
      <c r="AE69" s="13">
        <v>456</v>
      </c>
      <c r="AF69" s="13">
        <v>527</v>
      </c>
      <c r="AG69" s="13">
        <v>828</v>
      </c>
      <c r="AH69" s="13">
        <v>796</v>
      </c>
    </row>
    <row r="70" spans="3:35" x14ac:dyDescent="0.25">
      <c r="C70" s="2" t="s">
        <v>65</v>
      </c>
      <c r="D70" s="13">
        <v>27.1</v>
      </c>
      <c r="E70" s="13"/>
      <c r="F70" s="13"/>
      <c r="G70" s="13"/>
      <c r="H70" s="13">
        <v>37.1</v>
      </c>
      <c r="I70" s="13"/>
      <c r="J70" s="13"/>
      <c r="K70" s="13"/>
      <c r="L70" s="13">
        <v>31.9</v>
      </c>
      <c r="M70" s="13">
        <v>34.200000000000003</v>
      </c>
      <c r="N70" s="13">
        <v>33.1</v>
      </c>
      <c r="O70" s="13"/>
      <c r="P70" s="13">
        <v>42.7</v>
      </c>
      <c r="Q70" s="13">
        <v>42.4</v>
      </c>
      <c r="R70" s="13">
        <v>35.1</v>
      </c>
      <c r="S70" s="13">
        <v>59</v>
      </c>
      <c r="T70" s="13">
        <v>46.9</v>
      </c>
      <c r="U70" s="13">
        <v>47.6</v>
      </c>
      <c r="V70" s="13"/>
      <c r="W70" s="13"/>
      <c r="X70" s="13"/>
      <c r="Y70" s="13"/>
      <c r="Z70" s="13"/>
      <c r="AC70" s="13">
        <v>112.818</v>
      </c>
      <c r="AD70" s="13">
        <v>109.15300000000001</v>
      </c>
      <c r="AE70" s="13">
        <v>106.438</v>
      </c>
      <c r="AF70" s="13">
        <v>136.33600000000001</v>
      </c>
      <c r="AG70" s="13">
        <v>132.999</v>
      </c>
      <c r="AH70" s="13">
        <v>150.22900000000001</v>
      </c>
    </row>
    <row r="71" spans="3:35" x14ac:dyDescent="0.25">
      <c r="C71" s="2" t="s">
        <v>66</v>
      </c>
      <c r="D71" s="13">
        <v>0</v>
      </c>
      <c r="E71" s="13"/>
      <c r="F71" s="13"/>
      <c r="G71" s="13"/>
      <c r="H71" s="13">
        <v>0</v>
      </c>
      <c r="I71" s="13"/>
      <c r="J71" s="13"/>
      <c r="K71" s="13"/>
      <c r="L71" s="13">
        <v>-1.8</v>
      </c>
      <c r="M71" s="13">
        <v>0</v>
      </c>
      <c r="N71" s="13">
        <v>0</v>
      </c>
      <c r="O71" s="13"/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/>
      <c r="W71" s="13"/>
      <c r="X71" s="13"/>
      <c r="Y71" s="13"/>
      <c r="Z71" s="13"/>
      <c r="AC71" s="13">
        <v>0</v>
      </c>
      <c r="AD71" s="13">
        <v>0</v>
      </c>
      <c r="AE71" s="13">
        <v>0</v>
      </c>
      <c r="AF71" s="2">
        <v>0</v>
      </c>
      <c r="AG71" s="13">
        <v>-4.5490000000000004</v>
      </c>
      <c r="AH71" s="13">
        <v>-9.8000000000000007</v>
      </c>
    </row>
    <row r="72" spans="3:35" x14ac:dyDescent="0.25">
      <c r="C72" s="2" t="s">
        <v>67</v>
      </c>
      <c r="D72" s="11">
        <v>18.399999999999999</v>
      </c>
      <c r="E72" s="13"/>
      <c r="F72" s="13"/>
      <c r="G72" s="13"/>
      <c r="H72" s="13">
        <v>-14.2</v>
      </c>
      <c r="I72" s="13"/>
      <c r="J72" s="13"/>
      <c r="K72" s="13"/>
      <c r="L72" s="13">
        <v>0</v>
      </c>
      <c r="M72" s="13">
        <v>-6.4</v>
      </c>
      <c r="N72" s="13">
        <v>-20.5</v>
      </c>
      <c r="O72" s="13"/>
      <c r="P72" s="13">
        <v>-16</v>
      </c>
      <c r="Q72" s="13">
        <v>-23.3</v>
      </c>
      <c r="R72" s="13">
        <v>-12.2</v>
      </c>
      <c r="S72" s="13">
        <v>-1.6</v>
      </c>
      <c r="T72" s="13">
        <v>3.2</v>
      </c>
      <c r="U72" s="13">
        <v>3.1</v>
      </c>
      <c r="V72" s="13"/>
      <c r="W72" s="13"/>
      <c r="X72" s="13"/>
      <c r="Y72" s="13"/>
      <c r="Z72" s="13"/>
      <c r="AC72" s="13">
        <v>10.67</v>
      </c>
      <c r="AD72" s="13">
        <v>-35.984999999999999</v>
      </c>
      <c r="AE72" s="13">
        <v>18.408999999999999</v>
      </c>
      <c r="AF72" s="13">
        <v>45.095999999999997</v>
      </c>
      <c r="AG72" s="13">
        <v>-71.427000000000007</v>
      </c>
      <c r="AH72" s="13">
        <v>-36.136000000000003</v>
      </c>
    </row>
    <row r="73" spans="3:35" x14ac:dyDescent="0.25">
      <c r="C73" s="2" t="s">
        <v>68</v>
      </c>
      <c r="D73" s="13">
        <v>0.9</v>
      </c>
      <c r="E73" s="13"/>
      <c r="F73" s="13"/>
      <c r="G73" s="13"/>
      <c r="H73" s="13">
        <v>6</v>
      </c>
      <c r="I73" s="13"/>
      <c r="J73" s="13"/>
      <c r="K73" s="13"/>
      <c r="L73" s="13">
        <v>11.3</v>
      </c>
      <c r="M73" s="13">
        <v>13.7</v>
      </c>
      <c r="N73" s="13">
        <v>11</v>
      </c>
      <c r="O73" s="13"/>
      <c r="P73" s="13">
        <v>7.1</v>
      </c>
      <c r="Q73" s="13">
        <v>6.4</v>
      </c>
      <c r="R73" s="13">
        <v>4.5</v>
      </c>
      <c r="S73" s="13">
        <v>6.9</v>
      </c>
      <c r="T73" s="13">
        <v>4.9000000000000004</v>
      </c>
      <c r="U73" s="13">
        <v>4.2</v>
      </c>
      <c r="V73" s="13"/>
      <c r="W73" s="13"/>
      <c r="X73" s="13"/>
      <c r="Y73" s="13"/>
      <c r="Z73" s="13"/>
      <c r="AC73" s="13">
        <v>4.5990000000000002</v>
      </c>
      <c r="AD73" s="13">
        <v>12.2</v>
      </c>
      <c r="AE73" s="13">
        <v>8.27</v>
      </c>
      <c r="AF73" s="13">
        <v>11.252000000000001</v>
      </c>
      <c r="AG73" s="13">
        <v>37.231999999999999</v>
      </c>
      <c r="AH73" s="13">
        <v>37.917000000000002</v>
      </c>
    </row>
    <row r="74" spans="3:35" x14ac:dyDescent="0.25">
      <c r="C74" s="2" t="s">
        <v>69</v>
      </c>
      <c r="D74" s="13">
        <v>-3.9</v>
      </c>
      <c r="E74" s="13"/>
      <c r="F74" s="13"/>
      <c r="G74" s="13"/>
      <c r="H74" s="13">
        <v>-11.7</v>
      </c>
      <c r="I74" s="13"/>
      <c r="J74" s="13"/>
      <c r="K74" s="13"/>
      <c r="L74" s="13">
        <v>-15.9</v>
      </c>
      <c r="M74" s="13">
        <v>-12.6</v>
      </c>
      <c r="N74" s="13">
        <v>-11.6</v>
      </c>
      <c r="O74" s="13"/>
      <c r="P74" s="13">
        <v>-12.8</v>
      </c>
      <c r="Q74" s="13">
        <v>-14.2</v>
      </c>
      <c r="R74" s="13">
        <v>-13.3</v>
      </c>
      <c r="S74" s="13">
        <v>-16.100000000000001</v>
      </c>
      <c r="T74" s="13">
        <v>-15.4</v>
      </c>
      <c r="U74" s="13">
        <v>-15.5</v>
      </c>
      <c r="V74" s="13"/>
      <c r="W74" s="13"/>
      <c r="X74" s="13"/>
      <c r="Y74" s="13"/>
      <c r="Z74" s="13"/>
      <c r="AC74" s="13">
        <v>-31.565000000000001</v>
      </c>
      <c r="AD74" s="13">
        <v>-16.866</v>
      </c>
      <c r="AE74" s="13">
        <v>-15.143000000000001</v>
      </c>
      <c r="AF74" s="13">
        <v>-24.321000000000002</v>
      </c>
      <c r="AG74" s="13">
        <v>-67.501000000000005</v>
      </c>
      <c r="AH74" s="13">
        <v>-56.652000000000001</v>
      </c>
    </row>
    <row r="75" spans="3:35" x14ac:dyDescent="0.25">
      <c r="C75" s="2" t="s">
        <v>70</v>
      </c>
      <c r="D75" s="13">
        <v>-29.3</v>
      </c>
      <c r="E75" s="13"/>
      <c r="F75" s="13"/>
      <c r="G75" s="13"/>
      <c r="H75" s="13">
        <v>-12.3</v>
      </c>
      <c r="I75" s="13"/>
      <c r="J75" s="13"/>
      <c r="K75" s="13"/>
      <c r="L75" s="13">
        <v>-63.1</v>
      </c>
      <c r="M75" s="13">
        <v>-68.099999999999994</v>
      </c>
      <c r="N75" s="13">
        <v>-44.4</v>
      </c>
      <c r="O75" s="13"/>
      <c r="P75" s="13">
        <v>-70.099999999999994</v>
      </c>
      <c r="Q75" s="13">
        <v>-59</v>
      </c>
      <c r="R75" s="13">
        <v>-33.9</v>
      </c>
      <c r="S75" s="13">
        <v>-66.2</v>
      </c>
      <c r="T75" s="13">
        <v>-17.399999999999999</v>
      </c>
      <c r="U75" s="13">
        <v>-49.7</v>
      </c>
      <c r="V75" s="11"/>
      <c r="W75" s="11"/>
      <c r="X75" s="11"/>
      <c r="Y75" s="11"/>
      <c r="Z75" s="11"/>
      <c r="AA75" s="1"/>
      <c r="AB75" s="1"/>
      <c r="AC75" s="13">
        <v>-127.652</v>
      </c>
      <c r="AD75" s="13">
        <v>-78.953999999999994</v>
      </c>
      <c r="AE75" s="13">
        <v>-103.371</v>
      </c>
      <c r="AF75" s="13">
        <v>-99.775000000000006</v>
      </c>
      <c r="AG75" s="13">
        <v>-176.02099999999999</v>
      </c>
      <c r="AH75" s="13">
        <v>-157.03200000000001</v>
      </c>
    </row>
    <row r="76" spans="3:35" x14ac:dyDescent="0.25">
      <c r="C76" s="2" t="s">
        <v>71</v>
      </c>
      <c r="D76" s="13">
        <f>-71-146.2-15.4+110.3+32.4</f>
        <v>-89.9</v>
      </c>
      <c r="E76" s="13"/>
      <c r="F76" s="13"/>
      <c r="G76" s="13"/>
      <c r="H76" s="13">
        <f>40.5-181.8+40.4+25.4+20.8</f>
        <v>-54.7</v>
      </c>
      <c r="I76" s="13"/>
      <c r="J76" s="13"/>
      <c r="K76" s="13"/>
      <c r="L76" s="13">
        <f>37.6-121.8-11.4+31.4-5.6</f>
        <v>-69.799999999999983</v>
      </c>
      <c r="M76" s="13">
        <f>-44.7+27.1-15.6+58.6+9.7</f>
        <v>35.099999999999994</v>
      </c>
      <c r="N76" s="13">
        <f>-5.3+120.9-46.2-67.3+19.3</f>
        <v>21.400000000000009</v>
      </c>
      <c r="O76" s="13"/>
      <c r="P76" s="13">
        <f>-45.3-187.2-2.5+119.7+26.5</f>
        <v>-88.8</v>
      </c>
      <c r="Q76" s="13">
        <f>0.2-47.4-15.4+20.8+6</f>
        <v>-35.799999999999997</v>
      </c>
      <c r="R76" s="13">
        <f>-48.2+24.6+6.1+27.6-12.7</f>
        <v>-2.5999999999999979</v>
      </c>
      <c r="S76" s="13">
        <f>134.7+98.4+10.4-140.2+25.6</f>
        <v>128.9</v>
      </c>
      <c r="T76" s="13">
        <f>-79.9-153.6-1.8+131.9+11.8</f>
        <v>-91.600000000000009</v>
      </c>
      <c r="U76" s="13">
        <f>-60.7-107.1-16.4+25.8+40.6</f>
        <v>-117.80000000000001</v>
      </c>
      <c r="V76" s="11"/>
      <c r="W76" s="11"/>
      <c r="X76" s="11"/>
      <c r="Y76" s="11"/>
      <c r="Z76" s="11"/>
      <c r="AA76" s="1"/>
      <c r="AB76" s="1"/>
      <c r="AC76" s="13">
        <f>11.583+37.923+1.9-18.243017</f>
        <v>33.162982999999997</v>
      </c>
      <c r="AD76" s="13">
        <f>29.974+71.991+9.652-3.954-4.4</f>
        <v>103.26300000000001</v>
      </c>
      <c r="AE76" s="13">
        <f>-195.444-140.807-7+38.535+21.483</f>
        <v>-283.233</v>
      </c>
      <c r="AF76" s="13">
        <f>-201.426-83.287-64.984+54.612+11.865</f>
        <v>-283.21999999999991</v>
      </c>
      <c r="AG76" s="13">
        <f>92.792-125.35+63.528-13.712+27.28</f>
        <v>44.538000000000011</v>
      </c>
      <c r="AH76" s="13">
        <f>121.788+123.114-63.248-107.21-2.472</f>
        <v>71.972000000000008</v>
      </c>
    </row>
    <row r="77" spans="3:35" x14ac:dyDescent="0.25">
      <c r="C77" s="1" t="s">
        <v>72</v>
      </c>
      <c r="D77" s="11">
        <f t="shared" ref="D77:P77" si="92">SUM(D69:D76)</f>
        <v>79.299999999999983</v>
      </c>
      <c r="E77" s="11">
        <f t="shared" si="92"/>
        <v>0</v>
      </c>
      <c r="F77" s="11">
        <f t="shared" si="92"/>
        <v>0</v>
      </c>
      <c r="G77" s="11">
        <f t="shared" si="92"/>
        <v>0</v>
      </c>
      <c r="H77" s="11">
        <f>SUM(H69:H76)</f>
        <v>145.19999999999999</v>
      </c>
      <c r="I77" s="11">
        <f t="shared" si="92"/>
        <v>0</v>
      </c>
      <c r="J77" s="11">
        <f t="shared" si="92"/>
        <v>0</v>
      </c>
      <c r="K77" s="11">
        <f t="shared" si="92"/>
        <v>0</v>
      </c>
      <c r="L77" s="11">
        <f t="shared" si="92"/>
        <v>144.60000000000002</v>
      </c>
      <c r="M77" s="11">
        <f t="shared" si="92"/>
        <v>204.89999999999998</v>
      </c>
      <c r="N77" s="11">
        <f t="shared" si="92"/>
        <v>153</v>
      </c>
      <c r="O77" s="11">
        <f t="shared" si="92"/>
        <v>0</v>
      </c>
      <c r="P77" s="11">
        <f t="shared" si="92"/>
        <v>27.899999999999991</v>
      </c>
      <c r="Q77" s="11">
        <f>SUM(Q69:Q76)</f>
        <v>83.500000000000014</v>
      </c>
      <c r="R77" s="11">
        <f t="shared" ref="R77:U77" si="93">SUM(R69:R76)</f>
        <v>135.6</v>
      </c>
      <c r="S77" s="11">
        <f t="shared" si="93"/>
        <v>269.89999999999998</v>
      </c>
      <c r="T77" s="11">
        <f t="shared" si="93"/>
        <v>92.399999999999991</v>
      </c>
      <c r="U77" s="11">
        <f t="shared" si="93"/>
        <v>7.8999999999999631</v>
      </c>
      <c r="V77" s="11"/>
      <c r="W77" s="11"/>
      <c r="X77" s="11"/>
      <c r="Y77" s="11"/>
      <c r="Z77" s="11"/>
      <c r="AA77" s="1"/>
      <c r="AB77" s="1"/>
      <c r="AC77" s="11">
        <f t="shared" ref="AC77:AG77" si="94">SUM(AC69:AC76)</f>
        <v>437.03298299999994</v>
      </c>
      <c r="AD77" s="11">
        <f t="shared" si="94"/>
        <v>446.19000000000005</v>
      </c>
      <c r="AE77" s="11">
        <f t="shared" si="94"/>
        <v>187.36999999999995</v>
      </c>
      <c r="AF77" s="11">
        <f t="shared" si="94"/>
        <v>312.36800000000005</v>
      </c>
      <c r="AG77" s="11">
        <f t="shared" si="94"/>
        <v>723.27100000000007</v>
      </c>
      <c r="AH77" s="11">
        <f>SUM(AH69:AH76)</f>
        <v>796.49800000000005</v>
      </c>
    </row>
    <row r="78" spans="3:35" x14ac:dyDescent="0.25"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"/>
      <c r="AB78" s="1"/>
      <c r="AC78" s="11"/>
      <c r="AD78" s="11"/>
      <c r="AE78" s="13"/>
      <c r="AF78" s="13"/>
      <c r="AG78" s="13"/>
      <c r="AH78" s="13"/>
    </row>
    <row r="79" spans="3:35" x14ac:dyDescent="0.25">
      <c r="C79" s="2" t="s">
        <v>73</v>
      </c>
      <c r="D79" s="13">
        <v>-38</v>
      </c>
      <c r="E79" s="13"/>
      <c r="F79" s="13"/>
      <c r="G79" s="13"/>
      <c r="H79" s="13">
        <f>-0.8-29.9</f>
        <v>-30.7</v>
      </c>
      <c r="I79" s="13"/>
      <c r="J79" s="13"/>
      <c r="K79" s="13"/>
      <c r="L79" s="13">
        <v>-12.9</v>
      </c>
      <c r="M79" s="13">
        <f>-0.4-47.8-2.2</f>
        <v>-50.4</v>
      </c>
      <c r="N79" s="13">
        <f>-1.2-89.4+0.6</f>
        <v>-90.000000000000014</v>
      </c>
      <c r="O79" s="13"/>
      <c r="P79" s="13">
        <f>-0.3-38.2</f>
        <v>-38.5</v>
      </c>
      <c r="Q79" s="13">
        <f>-1.2-28.8</f>
        <v>-30</v>
      </c>
      <c r="R79" s="13">
        <f>-1.9-45.5+13.3</f>
        <v>-34.099999999999994</v>
      </c>
      <c r="S79" s="13">
        <f>-6-194.6</f>
        <v>-200.6</v>
      </c>
      <c r="T79" s="13">
        <f>-2.3-72.1</f>
        <v>-74.399999999999991</v>
      </c>
      <c r="U79" s="13">
        <v>-115</v>
      </c>
      <c r="V79" s="11"/>
      <c r="W79" s="11"/>
      <c r="X79" s="11"/>
      <c r="Y79" s="11"/>
      <c r="Z79" s="11"/>
      <c r="AA79" s="1"/>
      <c r="AB79" s="1"/>
      <c r="AC79" s="13">
        <f>-30.566-75.386</f>
        <v>-105.952</v>
      </c>
      <c r="AD79" s="13">
        <f>-0.744-45.541</f>
        <v>-46.284999999999997</v>
      </c>
      <c r="AE79" s="13">
        <f>-30.345-31.778</f>
        <v>-62.122999999999998</v>
      </c>
      <c r="AF79" s="13">
        <v>-118.10599999999999</v>
      </c>
      <c r="AG79" s="13">
        <f>-3.283-111.532</f>
        <v>-114.815</v>
      </c>
      <c r="AH79" s="13">
        <f>-3-588.916-1.462</f>
        <v>-593.37800000000004</v>
      </c>
    </row>
    <row r="80" spans="3:35" x14ac:dyDescent="0.25">
      <c r="C80" s="2" t="s">
        <v>74</v>
      </c>
      <c r="D80" s="13">
        <v>0</v>
      </c>
      <c r="E80" s="13"/>
      <c r="F80" s="13"/>
      <c r="G80" s="13"/>
      <c r="H80" s="13">
        <v>0</v>
      </c>
      <c r="I80" s="13"/>
      <c r="J80" s="13"/>
      <c r="K80" s="13"/>
      <c r="L80" s="13">
        <v>0</v>
      </c>
      <c r="M80" s="13">
        <v>0</v>
      </c>
      <c r="N80" s="13">
        <v>0</v>
      </c>
      <c r="O80" s="13"/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1"/>
      <c r="W80" s="11"/>
      <c r="X80" s="11"/>
      <c r="Y80" s="11"/>
      <c r="Z80" s="11"/>
      <c r="AA80" s="1"/>
      <c r="AB80" s="1"/>
      <c r="AC80" s="11">
        <v>0</v>
      </c>
      <c r="AE80" s="13">
        <v>0</v>
      </c>
      <c r="AF80" s="13">
        <v>0</v>
      </c>
      <c r="AG80" s="13">
        <v>15.611000000000001</v>
      </c>
      <c r="AH80" s="13">
        <v>12.750999999999999</v>
      </c>
    </row>
    <row r="81" spans="3:34" x14ac:dyDescent="0.25">
      <c r="C81" s="2" t="s">
        <v>75</v>
      </c>
      <c r="D81" s="13">
        <v>-4.2</v>
      </c>
      <c r="E81" s="13"/>
      <c r="F81" s="13"/>
      <c r="G81" s="13"/>
      <c r="H81" s="13">
        <v>0</v>
      </c>
      <c r="I81" s="13"/>
      <c r="J81" s="13"/>
      <c r="K81" s="13"/>
      <c r="L81" s="13">
        <v>0</v>
      </c>
      <c r="M81" s="13">
        <v>0</v>
      </c>
      <c r="N81" s="13">
        <v>-33.799999999999997</v>
      </c>
      <c r="O81" s="13"/>
      <c r="P81" s="13">
        <v>-219.7</v>
      </c>
      <c r="Q81" s="13">
        <v>-66.8</v>
      </c>
      <c r="R81" s="13">
        <v>-162.30000000000001</v>
      </c>
      <c r="S81" s="13">
        <v>0</v>
      </c>
      <c r="T81" s="13">
        <v>0</v>
      </c>
      <c r="U81" s="13">
        <v>0</v>
      </c>
      <c r="V81" s="11"/>
      <c r="W81" s="11"/>
      <c r="X81" s="11"/>
      <c r="Y81" s="11"/>
      <c r="Z81" s="11"/>
      <c r="AA81" s="1"/>
      <c r="AB81" s="1"/>
      <c r="AC81" s="13">
        <v>0</v>
      </c>
      <c r="AD81" s="13">
        <v>-4.3559999999999999</v>
      </c>
      <c r="AE81" s="13">
        <v>-146.27099999999999</v>
      </c>
      <c r="AF81" s="13">
        <v>0</v>
      </c>
      <c r="AG81" s="13">
        <v>-243.42</v>
      </c>
      <c r="AH81" s="13">
        <v>-35.932000000000002</v>
      </c>
    </row>
    <row r="82" spans="3:34" x14ac:dyDescent="0.25">
      <c r="C82" s="1" t="s">
        <v>76</v>
      </c>
      <c r="D82" s="11">
        <f t="shared" ref="D82:P82" si="95">SUM(D79:D81)</f>
        <v>-42.2</v>
      </c>
      <c r="E82" s="11">
        <f t="shared" si="95"/>
        <v>0</v>
      </c>
      <c r="F82" s="11">
        <f t="shared" si="95"/>
        <v>0</v>
      </c>
      <c r="G82" s="11">
        <f t="shared" si="95"/>
        <v>0</v>
      </c>
      <c r="H82" s="11">
        <f t="shared" si="95"/>
        <v>-30.7</v>
      </c>
      <c r="I82" s="11">
        <f t="shared" si="95"/>
        <v>0</v>
      </c>
      <c r="J82" s="11">
        <f t="shared" si="95"/>
        <v>0</v>
      </c>
      <c r="K82" s="11">
        <f t="shared" si="95"/>
        <v>0</v>
      </c>
      <c r="L82" s="11">
        <f t="shared" si="95"/>
        <v>-12.9</v>
      </c>
      <c r="M82" s="11">
        <f t="shared" si="95"/>
        <v>-50.4</v>
      </c>
      <c r="N82" s="11">
        <f t="shared" si="95"/>
        <v>-123.80000000000001</v>
      </c>
      <c r="O82" s="11">
        <f t="shared" si="95"/>
        <v>0</v>
      </c>
      <c r="P82" s="11">
        <f t="shared" si="95"/>
        <v>-258.2</v>
      </c>
      <c r="Q82" s="11">
        <f>SUM(Q79:Q81)</f>
        <v>-96.8</v>
      </c>
      <c r="R82" s="11">
        <f t="shared" ref="R82:U82" si="96">SUM(R79:R81)</f>
        <v>-196.4</v>
      </c>
      <c r="S82" s="11">
        <f t="shared" si="96"/>
        <v>-200.6</v>
      </c>
      <c r="T82" s="11">
        <f t="shared" si="96"/>
        <v>-74.399999999999991</v>
      </c>
      <c r="U82" s="11">
        <f t="shared" si="96"/>
        <v>-115</v>
      </c>
      <c r="V82" s="11"/>
      <c r="W82" s="11"/>
      <c r="X82" s="11"/>
      <c r="Y82" s="11"/>
      <c r="Z82" s="11"/>
      <c r="AA82" s="1"/>
      <c r="AB82" s="1"/>
      <c r="AC82" s="11">
        <f t="shared" ref="AC82:AG82" si="97">SUM(AC79:AC81)</f>
        <v>-105.952</v>
      </c>
      <c r="AD82" s="11">
        <f>SUM(AD79:AD81)</f>
        <v>-50.640999999999998</v>
      </c>
      <c r="AE82" s="11">
        <f t="shared" si="97"/>
        <v>-208.39399999999998</v>
      </c>
      <c r="AF82" s="11">
        <f t="shared" si="97"/>
        <v>-118.10599999999999</v>
      </c>
      <c r="AG82" s="11">
        <f t="shared" si="97"/>
        <v>-342.62399999999997</v>
      </c>
      <c r="AH82" s="11">
        <f>SUM(AH79:AH81)</f>
        <v>-616.55900000000008</v>
      </c>
    </row>
    <row r="83" spans="3:34" x14ac:dyDescent="0.25"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C83" s="13"/>
      <c r="AD83" s="13"/>
      <c r="AE83" s="13"/>
      <c r="AF83" s="13"/>
      <c r="AG83" s="13"/>
      <c r="AH83" s="13"/>
    </row>
    <row r="84" spans="3:34" x14ac:dyDescent="0.25">
      <c r="C84" s="2" t="s">
        <v>77</v>
      </c>
      <c r="D84" s="13">
        <v>4.2</v>
      </c>
      <c r="E84" s="13"/>
      <c r="F84" s="13"/>
      <c r="G84" s="13"/>
      <c r="H84" s="13">
        <v>-136.19999999999999</v>
      </c>
      <c r="I84" s="13"/>
      <c r="J84" s="13"/>
      <c r="K84" s="13"/>
      <c r="L84" s="13">
        <v>8.4</v>
      </c>
      <c r="M84" s="13">
        <v>-90.8</v>
      </c>
      <c r="N84" s="13">
        <v>-25.1</v>
      </c>
      <c r="O84" s="13"/>
      <c r="P84" s="13">
        <v>250</v>
      </c>
      <c r="Q84" s="13">
        <v>195.7</v>
      </c>
      <c r="R84" s="13">
        <v>-54.1</v>
      </c>
      <c r="S84" s="13">
        <v>304.5</v>
      </c>
      <c r="T84" s="13">
        <v>0</v>
      </c>
      <c r="U84" s="13">
        <v>161.6</v>
      </c>
      <c r="V84" s="13"/>
      <c r="W84" s="13"/>
      <c r="X84" s="13"/>
      <c r="Y84" s="13"/>
      <c r="Z84" s="13"/>
      <c r="AC84" s="13">
        <f>-40-55.812</f>
        <v>-95.811999999999998</v>
      </c>
      <c r="AD84" s="13">
        <v>80.099999999999994</v>
      </c>
      <c r="AE84" s="13">
        <f>-227.131+136.283</f>
        <v>-90.848000000000013</v>
      </c>
      <c r="AF84" s="13">
        <f>-212.525+1.34</f>
        <v>-211.185</v>
      </c>
      <c r="AG84" s="13">
        <v>183.53299999999999</v>
      </c>
      <c r="AH84" s="13">
        <v>98.284000000000006</v>
      </c>
    </row>
    <row r="85" spans="3:34" x14ac:dyDescent="0.25">
      <c r="C85" s="2" t="s">
        <v>78</v>
      </c>
      <c r="D85" s="13">
        <v>-5.7</v>
      </c>
      <c r="E85" s="13"/>
      <c r="F85" s="13"/>
      <c r="G85" s="13"/>
      <c r="H85" s="13">
        <v>-12.3</v>
      </c>
      <c r="I85" s="13"/>
      <c r="J85" s="13"/>
      <c r="K85" s="13"/>
      <c r="L85" s="13">
        <v>-8.5</v>
      </c>
      <c r="M85" s="13">
        <v>5.4</v>
      </c>
      <c r="N85" s="13">
        <v>18.7</v>
      </c>
      <c r="O85" s="13"/>
      <c r="P85" s="13">
        <v>-15.5</v>
      </c>
      <c r="Q85" s="13">
        <v>-15.5</v>
      </c>
      <c r="R85" s="13">
        <v>-5.9</v>
      </c>
      <c r="S85" s="13">
        <v>-28</v>
      </c>
      <c r="T85" s="13">
        <v>-17.5</v>
      </c>
      <c r="U85" s="13">
        <v>-16.399999999999999</v>
      </c>
      <c r="V85" s="13"/>
      <c r="W85" s="13"/>
      <c r="X85" s="13"/>
      <c r="Y85" s="13"/>
      <c r="Z85" s="13"/>
      <c r="AC85" s="13">
        <v>-28.210999999999999</v>
      </c>
      <c r="AD85" s="13">
        <v>-25.995999999999999</v>
      </c>
      <c r="AE85" s="13">
        <v>-23.469000000000001</v>
      </c>
      <c r="AF85" s="13">
        <v>-41.749000000000002</v>
      </c>
      <c r="AG85" s="13">
        <v>-31.727</v>
      </c>
      <c r="AH85" s="13">
        <v>-47.546999999999997</v>
      </c>
    </row>
    <row r="86" spans="3:34" x14ac:dyDescent="0.25">
      <c r="C86" s="2" t="s">
        <v>79</v>
      </c>
      <c r="D86" s="13">
        <v>0</v>
      </c>
      <c r="E86" s="13"/>
      <c r="F86" s="13"/>
      <c r="G86" s="13"/>
      <c r="H86" s="13">
        <v>0</v>
      </c>
      <c r="I86" s="13"/>
      <c r="J86" s="13"/>
      <c r="K86" s="13"/>
      <c r="L86" s="13">
        <v>0</v>
      </c>
      <c r="M86" s="13">
        <v>-175</v>
      </c>
      <c r="N86" s="13">
        <v>0</v>
      </c>
      <c r="O86" s="13"/>
      <c r="P86" s="13">
        <v>0</v>
      </c>
      <c r="Q86" s="13">
        <v>-181.3</v>
      </c>
      <c r="R86" s="13">
        <v>0</v>
      </c>
      <c r="S86" s="13">
        <v>0</v>
      </c>
      <c r="T86" s="13">
        <v>0</v>
      </c>
      <c r="U86" s="13">
        <v>-181.3</v>
      </c>
      <c r="V86" s="13"/>
      <c r="W86" s="13"/>
      <c r="X86" s="13"/>
      <c r="Y86" s="13"/>
      <c r="Z86" s="13"/>
      <c r="AC86" s="13">
        <v>-112.518</v>
      </c>
      <c r="AD86" s="2">
        <v>0</v>
      </c>
      <c r="AE86" s="13">
        <v>-112.518</v>
      </c>
      <c r="AF86" s="13">
        <v>-125.02</v>
      </c>
      <c r="AG86" s="13">
        <v>-137.52199999999999</v>
      </c>
      <c r="AH86" s="13">
        <v>-175.02799999999999</v>
      </c>
    </row>
    <row r="87" spans="3:34" x14ac:dyDescent="0.25">
      <c r="C87" s="1" t="s">
        <v>80</v>
      </c>
      <c r="D87" s="11">
        <f t="shared" ref="D87:P87" si="98">SUM(D84:D86)</f>
        <v>-1.5</v>
      </c>
      <c r="E87" s="11">
        <f t="shared" si="98"/>
        <v>0</v>
      </c>
      <c r="F87" s="11">
        <f t="shared" si="98"/>
        <v>0</v>
      </c>
      <c r="G87" s="11">
        <f t="shared" si="98"/>
        <v>0</v>
      </c>
      <c r="H87" s="11">
        <f t="shared" si="98"/>
        <v>-148.5</v>
      </c>
      <c r="I87" s="11">
        <f t="shared" si="98"/>
        <v>0</v>
      </c>
      <c r="J87" s="11">
        <f t="shared" si="98"/>
        <v>0</v>
      </c>
      <c r="K87" s="11">
        <f t="shared" si="98"/>
        <v>0</v>
      </c>
      <c r="L87" s="11">
        <f t="shared" si="98"/>
        <v>-9.9999999999999645E-2</v>
      </c>
      <c r="M87" s="11">
        <f t="shared" si="98"/>
        <v>-260.39999999999998</v>
      </c>
      <c r="N87" s="11">
        <f t="shared" si="98"/>
        <v>-6.4000000000000021</v>
      </c>
      <c r="O87" s="11">
        <f t="shared" si="98"/>
        <v>0</v>
      </c>
      <c r="P87" s="11">
        <f t="shared" si="98"/>
        <v>234.5</v>
      </c>
      <c r="Q87" s="11">
        <f>SUM(Q84:Q86)</f>
        <v>-1.1000000000000227</v>
      </c>
      <c r="R87" s="11">
        <f t="shared" ref="R87:U87" si="99">SUM(R84:R86)</f>
        <v>-60</v>
      </c>
      <c r="S87" s="11">
        <f t="shared" si="99"/>
        <v>276.5</v>
      </c>
      <c r="T87" s="11">
        <f t="shared" si="99"/>
        <v>-17.5</v>
      </c>
      <c r="U87" s="11">
        <f t="shared" si="99"/>
        <v>-36.100000000000023</v>
      </c>
      <c r="V87" s="13"/>
      <c r="W87" s="13"/>
      <c r="X87" s="13"/>
      <c r="Y87" s="13"/>
      <c r="Z87" s="13"/>
      <c r="AC87" s="11">
        <f t="shared" ref="AC87:AG87" si="100">SUM(AC84:AC86)</f>
        <v>-236.541</v>
      </c>
      <c r="AD87" s="11">
        <f>SUM(AD84:AD86)</f>
        <v>54.103999999999999</v>
      </c>
      <c r="AE87" s="11">
        <f t="shared" si="100"/>
        <v>-226.83500000000001</v>
      </c>
      <c r="AF87" s="11">
        <f t="shared" si="100"/>
        <v>-377.95400000000001</v>
      </c>
      <c r="AG87" s="11">
        <f t="shared" si="100"/>
        <v>14.283999999999992</v>
      </c>
      <c r="AH87" s="11">
        <f>SUM(AH84:AH86)</f>
        <v>-124.29099999999998</v>
      </c>
    </row>
    <row r="88" spans="3:34" x14ac:dyDescent="0.25"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C88" s="13"/>
      <c r="AD88" s="13"/>
      <c r="AE88" s="13"/>
      <c r="AF88" s="13"/>
      <c r="AG88" s="13"/>
      <c r="AH88" s="13"/>
    </row>
    <row r="89" spans="3:34" x14ac:dyDescent="0.25">
      <c r="C89" s="2" t="s">
        <v>81</v>
      </c>
      <c r="D89" s="13">
        <v>5.9</v>
      </c>
      <c r="E89" s="13"/>
      <c r="F89" s="13"/>
      <c r="G89" s="13"/>
      <c r="H89" s="13">
        <v>0</v>
      </c>
      <c r="I89" s="13"/>
      <c r="J89" s="13"/>
      <c r="K89" s="13"/>
      <c r="L89" s="13">
        <v>13.6</v>
      </c>
      <c r="M89" s="13">
        <v>-4.9000000000000004</v>
      </c>
      <c r="N89" s="13">
        <v>-15.1</v>
      </c>
      <c r="O89" s="13"/>
      <c r="P89" s="13">
        <v>-28.6</v>
      </c>
      <c r="Q89" s="13">
        <v>-4.8</v>
      </c>
      <c r="R89" s="13">
        <v>-5.8</v>
      </c>
      <c r="S89" s="13">
        <v>-16.899999999999999</v>
      </c>
      <c r="T89" s="13">
        <v>8.3000000000000007</v>
      </c>
      <c r="U89" s="13">
        <v>10.1</v>
      </c>
      <c r="V89" s="13"/>
      <c r="W89" s="13"/>
      <c r="X89" s="13"/>
      <c r="Y89" s="13"/>
      <c r="Z89" s="13"/>
      <c r="AC89" s="13">
        <v>4.7</v>
      </c>
      <c r="AD89" s="13">
        <v>-22.58</v>
      </c>
      <c r="AE89" s="13">
        <v>16</v>
      </c>
      <c r="AF89" s="13">
        <v>15</v>
      </c>
      <c r="AG89" s="13">
        <v>-7.3860000000000001</v>
      </c>
      <c r="AH89" s="13">
        <v>8.2210000000000001</v>
      </c>
    </row>
    <row r="90" spans="3:34" x14ac:dyDescent="0.25"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C90" s="13"/>
      <c r="AD90" s="13"/>
      <c r="AE90" s="13"/>
      <c r="AF90" s="13"/>
      <c r="AG90" s="13"/>
      <c r="AH90" s="13"/>
    </row>
    <row r="91" spans="3:34" x14ac:dyDescent="0.25">
      <c r="C91" s="2" t="s">
        <v>82</v>
      </c>
      <c r="D91" s="13">
        <f t="shared" ref="D91:P91" si="101">D77+D82+D87+D89</f>
        <v>41.499999999999979</v>
      </c>
      <c r="E91" s="13">
        <f t="shared" si="101"/>
        <v>0</v>
      </c>
      <c r="F91" s="13">
        <f t="shared" si="101"/>
        <v>0</v>
      </c>
      <c r="G91" s="13">
        <f t="shared" si="101"/>
        <v>0</v>
      </c>
      <c r="H91" s="13">
        <f t="shared" si="101"/>
        <v>-34.000000000000014</v>
      </c>
      <c r="I91" s="13">
        <f t="shared" si="101"/>
        <v>0</v>
      </c>
      <c r="J91" s="13">
        <f t="shared" si="101"/>
        <v>0</v>
      </c>
      <c r="K91" s="13">
        <f t="shared" si="101"/>
        <v>0</v>
      </c>
      <c r="L91" s="13">
        <f t="shared" si="101"/>
        <v>145.20000000000002</v>
      </c>
      <c r="M91" s="13">
        <f t="shared" si="101"/>
        <v>-110.80000000000001</v>
      </c>
      <c r="N91" s="13">
        <f t="shared" si="101"/>
        <v>7.6999999999999869</v>
      </c>
      <c r="O91" s="13">
        <f t="shared" si="101"/>
        <v>0</v>
      </c>
      <c r="P91" s="13">
        <f t="shared" si="101"/>
        <v>-24.400000000000013</v>
      </c>
      <c r="Q91" s="13">
        <f>Q77+Q82+Q87+Q89</f>
        <v>-19.200000000000006</v>
      </c>
      <c r="R91" s="13">
        <f t="shared" ref="R91:S91" si="102">R77+R82+R87+R89</f>
        <v>-126.60000000000001</v>
      </c>
      <c r="S91" s="13">
        <f t="shared" si="102"/>
        <v>328.9</v>
      </c>
      <c r="T91" s="13">
        <f t="shared" ref="T91:U91" si="103">T77+T82+T87+T89</f>
        <v>8.8000000000000007</v>
      </c>
      <c r="U91" s="13">
        <f t="shared" si="103"/>
        <v>-133.10000000000005</v>
      </c>
      <c r="V91" s="13"/>
      <c r="W91" s="13"/>
      <c r="X91" s="13"/>
      <c r="Y91" s="13"/>
      <c r="Z91" s="13"/>
      <c r="AC91" s="13">
        <f t="shared" ref="AC91:AG91" si="104">AC77+AC82+AC87+AC89</f>
        <v>99.239982999999953</v>
      </c>
      <c r="AD91" s="13">
        <f t="shared" si="104"/>
        <v>427.07300000000004</v>
      </c>
      <c r="AE91" s="13">
        <f t="shared" si="104"/>
        <v>-231.85900000000004</v>
      </c>
      <c r="AF91" s="13">
        <f t="shared" si="104"/>
        <v>-168.69199999999995</v>
      </c>
      <c r="AG91" s="13">
        <f t="shared" si="104"/>
        <v>387.54500000000007</v>
      </c>
      <c r="AH91" s="13">
        <f>AH77+AH82+AH87+AH89</f>
        <v>63.868999999999986</v>
      </c>
    </row>
    <row r="92" spans="3:34" x14ac:dyDescent="0.25"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C92" s="13"/>
      <c r="AD92" s="13"/>
      <c r="AE92" s="13"/>
      <c r="AF92" s="13"/>
      <c r="AG92" s="13"/>
      <c r="AH92" s="13"/>
    </row>
    <row r="93" spans="3:34" x14ac:dyDescent="0.25">
      <c r="C93" s="2" t="s">
        <v>83</v>
      </c>
      <c r="D93" s="13">
        <f t="shared" ref="D93:P93" si="105">D77+D79</f>
        <v>41.299999999999983</v>
      </c>
      <c r="E93" s="13">
        <f t="shared" si="105"/>
        <v>0</v>
      </c>
      <c r="F93" s="13">
        <f t="shared" si="105"/>
        <v>0</v>
      </c>
      <c r="G93" s="13">
        <f t="shared" si="105"/>
        <v>0</v>
      </c>
      <c r="H93" s="13">
        <f t="shared" si="105"/>
        <v>114.49999999999999</v>
      </c>
      <c r="I93" s="13">
        <f t="shared" si="105"/>
        <v>0</v>
      </c>
      <c r="J93" s="13">
        <f t="shared" si="105"/>
        <v>0</v>
      </c>
      <c r="K93" s="13">
        <f t="shared" si="105"/>
        <v>0</v>
      </c>
      <c r="L93" s="13">
        <f t="shared" si="105"/>
        <v>131.70000000000002</v>
      </c>
      <c r="M93" s="13">
        <f t="shared" si="105"/>
        <v>154.49999999999997</v>
      </c>
      <c r="N93" s="13">
        <f t="shared" si="105"/>
        <v>62.999999999999986</v>
      </c>
      <c r="O93" s="13">
        <f t="shared" si="105"/>
        <v>0</v>
      </c>
      <c r="P93" s="13">
        <f t="shared" si="105"/>
        <v>-10.600000000000009</v>
      </c>
      <c r="Q93" s="13">
        <f>Q77+Q79</f>
        <v>53.500000000000014</v>
      </c>
      <c r="R93" s="13">
        <f t="shared" ref="R93:S93" si="106">R77+R79</f>
        <v>101.5</v>
      </c>
      <c r="S93" s="13">
        <f t="shared" si="106"/>
        <v>69.299999999999983</v>
      </c>
      <c r="T93" s="13">
        <f t="shared" ref="T93:U93" si="107">T77+T79</f>
        <v>18</v>
      </c>
      <c r="U93" s="13">
        <f t="shared" si="107"/>
        <v>-107.10000000000004</v>
      </c>
      <c r="V93" s="13"/>
      <c r="W93" s="13"/>
      <c r="X93" s="13"/>
      <c r="Y93" s="13"/>
      <c r="Z93" s="13"/>
      <c r="AC93" s="13">
        <f t="shared" ref="AC93:AG93" si="108">AC77+AC79</f>
        <v>331.08098299999995</v>
      </c>
      <c r="AD93" s="13">
        <f t="shared" si="108"/>
        <v>399.90500000000009</v>
      </c>
      <c r="AE93" s="13">
        <f t="shared" si="108"/>
        <v>125.24699999999996</v>
      </c>
      <c r="AF93" s="13">
        <f t="shared" si="108"/>
        <v>194.26200000000006</v>
      </c>
      <c r="AG93" s="13">
        <f t="shared" si="108"/>
        <v>608.45600000000013</v>
      </c>
      <c r="AH93" s="13">
        <f>AH77+AH79</f>
        <v>203.12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31"/>
  <sheetViews>
    <sheetView showGridLines="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X30" sqref="X30"/>
    </sheetView>
  </sheetViews>
  <sheetFormatPr baseColWidth="10" defaultRowHeight="19" x14ac:dyDescent="0.25"/>
  <cols>
    <col min="1" max="1" width="10.83203125" style="2"/>
    <col min="2" max="2" width="25.6640625" style="2" bestFit="1" customWidth="1"/>
    <col min="3" max="16384" width="10.83203125" style="2"/>
  </cols>
  <sheetData>
    <row r="3" spans="2:27" x14ac:dyDescent="0.25">
      <c r="B3" s="2" t="s">
        <v>38</v>
      </c>
      <c r="C3" s="7" t="s">
        <v>3</v>
      </c>
      <c r="D3" s="7" t="s">
        <v>4</v>
      </c>
      <c r="E3" s="7" t="s">
        <v>5</v>
      </c>
      <c r="F3" s="7" t="s">
        <v>6</v>
      </c>
      <c r="G3" s="34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4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4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6">
        <v>2025</v>
      </c>
      <c r="W3" s="7" t="s">
        <v>154</v>
      </c>
      <c r="X3" s="7" t="s">
        <v>155</v>
      </c>
      <c r="Y3" s="7" t="s">
        <v>156</v>
      </c>
      <c r="Z3" s="7" t="s">
        <v>157</v>
      </c>
      <c r="AA3" s="36">
        <v>2026</v>
      </c>
    </row>
    <row r="4" spans="2:27" x14ac:dyDescent="0.25">
      <c r="B4" s="1" t="s">
        <v>150</v>
      </c>
      <c r="G4" s="35"/>
      <c r="L4" s="35"/>
      <c r="Q4" s="35"/>
      <c r="V4" s="35"/>
      <c r="AA4" s="35"/>
    </row>
    <row r="5" spans="2:27" x14ac:dyDescent="0.25">
      <c r="B5" s="2" t="s">
        <v>145</v>
      </c>
      <c r="C5" s="13">
        <v>434.8</v>
      </c>
      <c r="D5" s="13">
        <v>388.3</v>
      </c>
      <c r="E5" s="13">
        <v>362.4</v>
      </c>
      <c r="F5" s="13">
        <v>443.2</v>
      </c>
      <c r="G5" s="48">
        <f>SUM(C5:F5)</f>
        <v>1628.7</v>
      </c>
      <c r="H5" s="13">
        <v>495.7</v>
      </c>
      <c r="I5" s="13">
        <v>437.9</v>
      </c>
      <c r="J5" s="13">
        <v>381.7</v>
      </c>
      <c r="K5" s="13">
        <v>412.3</v>
      </c>
      <c r="L5" s="48">
        <f>SUM(H5:K5)</f>
        <v>1727.6</v>
      </c>
      <c r="M5" s="13">
        <v>439</v>
      </c>
      <c r="N5" s="13">
        <v>390.5</v>
      </c>
      <c r="O5" s="13">
        <v>340.7</v>
      </c>
      <c r="P5" s="13">
        <v>367</v>
      </c>
      <c r="Q5" s="48">
        <f>SUM(M5:P5)</f>
        <v>1537.2</v>
      </c>
      <c r="R5" s="13">
        <v>433.2</v>
      </c>
      <c r="S5" s="13">
        <v>399.8</v>
      </c>
      <c r="T5" s="13">
        <v>370</v>
      </c>
      <c r="U5" s="13">
        <v>405.7</v>
      </c>
      <c r="V5" s="48">
        <f>SUM(R5:U5)</f>
        <v>1608.7</v>
      </c>
      <c r="W5" s="13">
        <v>447.6</v>
      </c>
      <c r="X5" s="13">
        <v>412.3</v>
      </c>
      <c r="Y5" s="13"/>
      <c r="Z5" s="13"/>
      <c r="AA5" s="48">
        <f>SUM(W5:Z5)</f>
        <v>859.90000000000009</v>
      </c>
    </row>
    <row r="6" spans="2:27" x14ac:dyDescent="0.25">
      <c r="B6" s="28" t="s">
        <v>144</v>
      </c>
      <c r="C6" s="28"/>
      <c r="D6" s="28"/>
      <c r="E6" s="28"/>
      <c r="F6" s="28"/>
      <c r="G6" s="37"/>
      <c r="H6" s="29">
        <f t="shared" ref="H6:V6" si="0">(H5-C5)/C5</f>
        <v>0.14006439742410298</v>
      </c>
      <c r="I6" s="29">
        <f t="shared" si="0"/>
        <v>0.12773628637651291</v>
      </c>
      <c r="J6" s="29">
        <f t="shared" si="0"/>
        <v>5.3256070640176636E-2</v>
      </c>
      <c r="K6" s="29">
        <f t="shared" si="0"/>
        <v>-6.9720216606498145E-2</v>
      </c>
      <c r="L6" s="40">
        <f t="shared" si="0"/>
        <v>6.0723276232578047E-2</v>
      </c>
      <c r="M6" s="29">
        <f t="shared" si="0"/>
        <v>-0.11438369981843854</v>
      </c>
      <c r="N6" s="29">
        <f t="shared" si="0"/>
        <v>-0.10824389129938337</v>
      </c>
      <c r="O6" s="29">
        <f t="shared" si="0"/>
        <v>-0.10741419963321981</v>
      </c>
      <c r="P6" s="29">
        <f t="shared" si="0"/>
        <v>-0.10987145282561245</v>
      </c>
      <c r="Q6" s="40">
        <f t="shared" si="0"/>
        <v>-0.1102106969205834</v>
      </c>
      <c r="R6" s="29">
        <f t="shared" si="0"/>
        <v>-1.3211845102505721E-2</v>
      </c>
      <c r="S6" s="29">
        <f t="shared" si="0"/>
        <v>2.381562099871962E-2</v>
      </c>
      <c r="T6" s="29">
        <f t="shared" si="0"/>
        <v>8.5999412973290321E-2</v>
      </c>
      <c r="U6" s="29">
        <f t="shared" si="0"/>
        <v>0.10544959128065393</v>
      </c>
      <c r="V6" s="40">
        <f t="shared" si="0"/>
        <v>4.6513140775435856E-2</v>
      </c>
      <c r="W6" s="29">
        <f t="shared" ref="W6" si="1">(W5-R5)/R5</f>
        <v>3.3240997229916976E-2</v>
      </c>
      <c r="X6" s="29">
        <f t="shared" ref="X6" si="2">(X5-S5)/S5</f>
        <v>3.1265632816408206E-2</v>
      </c>
      <c r="Y6" s="29">
        <f t="shared" ref="Y6" si="3">(Y5-T5)/T5</f>
        <v>-1</v>
      </c>
      <c r="Z6" s="29">
        <f t="shared" ref="Z6" si="4">(Z5-U5)/U5</f>
        <v>-1</v>
      </c>
      <c r="AA6" s="40">
        <f t="shared" ref="AA6" si="5">(AA5-V5)/V5</f>
        <v>-0.46546901224591281</v>
      </c>
    </row>
    <row r="7" spans="2:27" x14ac:dyDescent="0.25">
      <c r="B7" s="49" t="s">
        <v>146</v>
      </c>
      <c r="C7" s="49">
        <v>101.5</v>
      </c>
      <c r="D7" s="49">
        <v>79.400000000000006</v>
      </c>
      <c r="E7" s="49">
        <v>61.5</v>
      </c>
      <c r="F7" s="49">
        <v>98.9</v>
      </c>
      <c r="G7" s="50">
        <f>SUM(C7:F7)</f>
        <v>341.3</v>
      </c>
      <c r="H7" s="49">
        <v>123</v>
      </c>
      <c r="I7" s="49">
        <v>97.6</v>
      </c>
      <c r="J7" s="49">
        <v>89.9</v>
      </c>
      <c r="K7" s="49">
        <v>82.7</v>
      </c>
      <c r="L7" s="50">
        <f>SUM(H7:K7)</f>
        <v>393.2</v>
      </c>
      <c r="M7" s="49">
        <v>108.8</v>
      </c>
      <c r="N7" s="49">
        <v>68.5</v>
      </c>
      <c r="O7" s="49">
        <v>60.5</v>
      </c>
      <c r="P7" s="49">
        <v>91</v>
      </c>
      <c r="Q7" s="50">
        <f>SUM(M7:P7)</f>
        <v>328.8</v>
      </c>
      <c r="R7" s="49">
        <v>104.1</v>
      </c>
      <c r="S7" s="49">
        <v>77.900000000000006</v>
      </c>
      <c r="T7" s="49">
        <v>73.7</v>
      </c>
      <c r="U7" s="49">
        <v>95.9</v>
      </c>
      <c r="V7" s="50">
        <f>SUM(R7:U7)</f>
        <v>351.6</v>
      </c>
      <c r="W7" s="49">
        <v>108.2</v>
      </c>
      <c r="X7" s="49">
        <v>94.3</v>
      </c>
      <c r="Y7" s="49"/>
      <c r="Z7" s="49"/>
      <c r="AA7" s="50">
        <f>SUM(W7:Z7)</f>
        <v>202.5</v>
      </c>
    </row>
    <row r="8" spans="2:27" x14ac:dyDescent="0.25">
      <c r="B8" s="49" t="s">
        <v>147</v>
      </c>
      <c r="C8" s="49">
        <v>93.4</v>
      </c>
      <c r="D8" s="49">
        <v>69.099999999999994</v>
      </c>
      <c r="E8" s="49">
        <v>52.6</v>
      </c>
      <c r="F8" s="49">
        <v>92.5</v>
      </c>
      <c r="G8" s="50">
        <f>SUM(C8:F8)</f>
        <v>307.60000000000002</v>
      </c>
      <c r="H8" s="49">
        <v>114.7</v>
      </c>
      <c r="I8" s="49">
        <v>88.6</v>
      </c>
      <c r="J8" s="49">
        <v>81.2</v>
      </c>
      <c r="K8" s="49">
        <v>85.9</v>
      </c>
      <c r="L8" s="50">
        <f>SUM(H8:K8)</f>
        <v>370.4</v>
      </c>
      <c r="M8" s="49">
        <v>100.6</v>
      </c>
      <c r="N8" s="49">
        <v>61.1</v>
      </c>
      <c r="O8" s="49">
        <v>52.4</v>
      </c>
      <c r="P8" s="49">
        <v>82.6</v>
      </c>
      <c r="Q8" s="50">
        <f>SUM(M8:P8)</f>
        <v>296.7</v>
      </c>
      <c r="R8" s="49">
        <v>93.6</v>
      </c>
      <c r="S8" s="49">
        <v>67.400000000000006</v>
      </c>
      <c r="T8" s="49">
        <v>66.3</v>
      </c>
      <c r="U8" s="49">
        <v>80</v>
      </c>
      <c r="V8" s="50">
        <f>SUM(R8:U8)</f>
        <v>307.3</v>
      </c>
      <c r="W8" s="49">
        <v>96.4</v>
      </c>
      <c r="X8" s="49">
        <v>82.3</v>
      </c>
      <c r="Y8" s="49"/>
      <c r="Z8" s="49"/>
      <c r="AA8" s="50">
        <f>SUM(W8:Z8)</f>
        <v>178.7</v>
      </c>
    </row>
    <row r="9" spans="2:27" x14ac:dyDescent="0.25">
      <c r="B9" s="10" t="s">
        <v>148</v>
      </c>
      <c r="C9" s="33">
        <v>0.215</v>
      </c>
      <c r="D9" s="33">
        <v>0.17799999999999999</v>
      </c>
      <c r="E9" s="33">
        <v>0.14499999999999999</v>
      </c>
      <c r="F9" s="33">
        <v>0.20899999999999999</v>
      </c>
      <c r="G9" s="38">
        <f>G8/G5</f>
        <v>0.18886228280223491</v>
      </c>
      <c r="H9" s="33">
        <v>0.23100000000000001</v>
      </c>
      <c r="I9" s="33">
        <v>0.20200000000000001</v>
      </c>
      <c r="J9" s="33">
        <v>0.21299999999999999</v>
      </c>
      <c r="K9" s="33">
        <v>0.20799999999999999</v>
      </c>
      <c r="L9" s="38">
        <f>L8/L5</f>
        <v>0.21440148182449642</v>
      </c>
      <c r="M9" s="33">
        <v>0.22900000000000001</v>
      </c>
      <c r="N9" s="33">
        <v>0.156</v>
      </c>
      <c r="O9" s="33">
        <v>0.154</v>
      </c>
      <c r="P9" s="33">
        <v>0.22500000000000001</v>
      </c>
      <c r="Q9" s="38">
        <f>Q8/Q5</f>
        <v>0.19301327088212333</v>
      </c>
      <c r="R9" s="33">
        <v>0.216</v>
      </c>
      <c r="S9" s="33">
        <v>0.16900000000000001</v>
      </c>
      <c r="T9" s="33">
        <v>0.17899999999999999</v>
      </c>
      <c r="U9" s="33">
        <v>0.19700000000000001</v>
      </c>
      <c r="V9" s="38">
        <f>V8/V5</f>
        <v>0.19102380804376204</v>
      </c>
      <c r="W9" s="33">
        <v>0.215</v>
      </c>
      <c r="X9" s="33">
        <v>0.2</v>
      </c>
      <c r="Y9" s="33"/>
      <c r="Z9" s="33"/>
      <c r="AA9" s="38">
        <f>AA8/AA5</f>
        <v>0.20781486219327824</v>
      </c>
    </row>
    <row r="10" spans="2:27" x14ac:dyDescent="0.25">
      <c r="B10" s="2" t="s">
        <v>149</v>
      </c>
      <c r="C10" s="13">
        <v>92.2</v>
      </c>
      <c r="D10" s="13">
        <v>67.900000000000006</v>
      </c>
      <c r="E10" s="13">
        <v>51.4</v>
      </c>
      <c r="F10" s="13">
        <v>91.1</v>
      </c>
      <c r="G10" s="48">
        <f>SUM(C10:F10)</f>
        <v>302.60000000000002</v>
      </c>
      <c r="H10" s="13">
        <v>113.3</v>
      </c>
      <c r="I10" s="13">
        <v>87.3</v>
      </c>
      <c r="J10" s="13">
        <v>79.3</v>
      </c>
      <c r="K10" s="13">
        <v>84.2</v>
      </c>
      <c r="L10" s="48">
        <f>SUM(H10:K10)</f>
        <v>364.09999999999997</v>
      </c>
      <c r="M10" s="13">
        <v>99</v>
      </c>
      <c r="N10" s="13">
        <v>59.4</v>
      </c>
      <c r="O10" s="13">
        <v>50.8</v>
      </c>
      <c r="P10" s="13">
        <v>80.900000000000006</v>
      </c>
      <c r="Q10" s="48">
        <f>SUM(M10:P10)</f>
        <v>290.10000000000002</v>
      </c>
      <c r="R10" s="13">
        <v>91.9</v>
      </c>
      <c r="S10" s="13">
        <v>65.8</v>
      </c>
      <c r="T10" s="13">
        <v>64.599999999999994</v>
      </c>
      <c r="U10" s="13">
        <v>78.3</v>
      </c>
      <c r="V10" s="48">
        <f>SUM(R10:U10)</f>
        <v>300.59999999999997</v>
      </c>
      <c r="W10" s="13">
        <v>94.9</v>
      </c>
      <c r="X10" s="13">
        <v>80.7</v>
      </c>
      <c r="Y10" s="13"/>
      <c r="Z10" s="13"/>
      <c r="AA10" s="48">
        <f>SUM(W10:Z10)</f>
        <v>175.60000000000002</v>
      </c>
    </row>
    <row r="11" spans="2:27" x14ac:dyDescent="0.25">
      <c r="B11" s="31" t="s">
        <v>44</v>
      </c>
      <c r="C11" s="32">
        <v>0.21199999999999999</v>
      </c>
      <c r="D11" s="32">
        <v>0.17499999999999999</v>
      </c>
      <c r="E11" s="32">
        <v>0.14199999999999999</v>
      </c>
      <c r="F11" s="32">
        <v>0.20599999999999999</v>
      </c>
      <c r="G11" s="39">
        <f>G10/G5</f>
        <v>0.18579234972677597</v>
      </c>
      <c r="H11" s="32">
        <v>0.22900000000000001</v>
      </c>
      <c r="I11" s="32">
        <v>0.19900000000000001</v>
      </c>
      <c r="J11" s="32">
        <v>0.20799999999999999</v>
      </c>
      <c r="K11" s="32">
        <v>0.20399999999999999</v>
      </c>
      <c r="L11" s="39">
        <f>L10/L5</f>
        <v>0.21075480435285945</v>
      </c>
      <c r="M11" s="32">
        <v>0.22500000000000001</v>
      </c>
      <c r="N11" s="32">
        <v>0.152</v>
      </c>
      <c r="O11" s="32">
        <v>0.14899999999999999</v>
      </c>
      <c r="P11" s="32">
        <v>0.221</v>
      </c>
      <c r="Q11" s="39">
        <f>Q10/Q5</f>
        <v>0.18871975019516005</v>
      </c>
      <c r="R11" s="32">
        <v>0.21199999999999999</v>
      </c>
      <c r="S11" s="32">
        <v>0.16500000000000001</v>
      </c>
      <c r="T11" s="32">
        <v>0.17499999999999999</v>
      </c>
      <c r="U11" s="32">
        <v>0.193</v>
      </c>
      <c r="V11" s="39">
        <f>V10/V5</f>
        <v>0.18685895443525827</v>
      </c>
      <c r="W11" s="32">
        <v>0.21199999999999999</v>
      </c>
      <c r="X11" s="32">
        <v>0.19600000000000001</v>
      </c>
      <c r="Y11" s="32"/>
      <c r="Z11" s="32"/>
      <c r="AA11" s="39">
        <f>AA10/AA5</f>
        <v>0.20420979183626004</v>
      </c>
    </row>
    <row r="12" spans="2:27" x14ac:dyDescent="0.25">
      <c r="B12" s="2" t="s">
        <v>133</v>
      </c>
      <c r="C12" s="13">
        <v>76.2</v>
      </c>
      <c r="D12" s="13">
        <v>72.900000000000006</v>
      </c>
      <c r="E12" s="13">
        <v>52.2</v>
      </c>
      <c r="F12" s="13">
        <v>69.7</v>
      </c>
      <c r="G12" s="48">
        <f>SUM(C12:F12)</f>
        <v>271</v>
      </c>
      <c r="H12" s="13">
        <v>84.1</v>
      </c>
      <c r="I12" s="13">
        <v>74.8</v>
      </c>
      <c r="J12" s="13">
        <v>46.5</v>
      </c>
      <c r="K12" s="13">
        <v>68.400000000000006</v>
      </c>
      <c r="L12" s="48">
        <f>SUM(H12:K12)</f>
        <v>273.79999999999995</v>
      </c>
      <c r="M12" s="13">
        <v>81.3</v>
      </c>
      <c r="N12" s="13">
        <v>66.7</v>
      </c>
      <c r="O12" s="13">
        <v>50.7</v>
      </c>
      <c r="P12" s="13">
        <v>59.6</v>
      </c>
      <c r="Q12" s="48">
        <f>SUM(M12:P12)</f>
        <v>258.3</v>
      </c>
      <c r="R12" s="13">
        <v>76.400000000000006</v>
      </c>
      <c r="S12" s="13">
        <v>66.7</v>
      </c>
      <c r="T12" s="13">
        <v>74.400000000000006</v>
      </c>
      <c r="U12" s="13">
        <v>91.7</v>
      </c>
      <c r="V12" s="48">
        <f>SUM(R12:U12)</f>
        <v>309.20000000000005</v>
      </c>
      <c r="W12" s="13">
        <v>93.9</v>
      </c>
      <c r="X12" s="13">
        <v>83.9</v>
      </c>
      <c r="Y12" s="13"/>
      <c r="Z12" s="13"/>
      <c r="AA12" s="48">
        <f>SUM(W12:Z12)</f>
        <v>177.8</v>
      </c>
    </row>
    <row r="13" spans="2:27" x14ac:dyDescent="0.25">
      <c r="B13" s="28" t="s">
        <v>144</v>
      </c>
      <c r="G13" s="36"/>
      <c r="H13" s="29">
        <f t="shared" ref="H13:V13" si="6">(H12-C12)/C12</f>
        <v>0.10367454068241458</v>
      </c>
      <c r="I13" s="29">
        <f t="shared" si="6"/>
        <v>2.6063100137174094E-2</v>
      </c>
      <c r="J13" s="29">
        <f t="shared" si="6"/>
        <v>-0.10919540229885062</v>
      </c>
      <c r="K13" s="29">
        <f t="shared" si="6"/>
        <v>-1.8651362984218035E-2</v>
      </c>
      <c r="L13" s="40">
        <f t="shared" si="6"/>
        <v>1.0332103321033043E-2</v>
      </c>
      <c r="M13" s="29">
        <f t="shared" si="6"/>
        <v>-3.3293697978596874E-2</v>
      </c>
      <c r="N13" s="29">
        <f t="shared" si="6"/>
        <v>-0.10828877005347587</v>
      </c>
      <c r="O13" s="29">
        <f t="shared" si="6"/>
        <v>9.0322580645161354E-2</v>
      </c>
      <c r="P13" s="29">
        <f t="shared" si="6"/>
        <v>-0.12865497076023397</v>
      </c>
      <c r="Q13" s="40">
        <f t="shared" si="6"/>
        <v>-5.661066471877263E-2</v>
      </c>
      <c r="R13" s="29">
        <f t="shared" si="6"/>
        <v>-6.0270602706026959E-2</v>
      </c>
      <c r="S13" s="29">
        <f t="shared" si="6"/>
        <v>0</v>
      </c>
      <c r="T13" s="29">
        <f t="shared" si="6"/>
        <v>0.4674556213017752</v>
      </c>
      <c r="U13" s="29">
        <f t="shared" si="6"/>
        <v>0.53859060402684567</v>
      </c>
      <c r="V13" s="40">
        <f t="shared" si="6"/>
        <v>0.19705768486256303</v>
      </c>
      <c r="W13" s="29">
        <f t="shared" ref="W13" si="7">(W12-R12)/R12</f>
        <v>0.22905759162303663</v>
      </c>
      <c r="X13" s="29">
        <f t="shared" ref="X13" si="8">(X12-S12)/S12</f>
        <v>0.25787106446776614</v>
      </c>
      <c r="Y13" s="29">
        <f t="shared" ref="Y13" si="9">(Y12-T12)/T12</f>
        <v>-1</v>
      </c>
      <c r="Z13" s="29">
        <f t="shared" ref="Z13" si="10">(Z12-U12)/U12</f>
        <v>-1</v>
      </c>
      <c r="AA13" s="40">
        <f t="shared" ref="AA13" si="11">(AA12-V12)/V12</f>
        <v>-0.42496765847348</v>
      </c>
    </row>
    <row r="14" spans="2:27" x14ac:dyDescent="0.25">
      <c r="B14" s="2" t="s">
        <v>134</v>
      </c>
      <c r="C14" s="13">
        <v>52.1</v>
      </c>
      <c r="D14" s="13">
        <v>48.7</v>
      </c>
      <c r="E14" s="13">
        <v>45.1</v>
      </c>
      <c r="F14" s="13">
        <v>48.5</v>
      </c>
      <c r="G14" s="48">
        <f>SUM(C14:F14)</f>
        <v>194.4</v>
      </c>
      <c r="H14" s="13">
        <v>60.5</v>
      </c>
      <c r="I14" s="13">
        <v>55.4</v>
      </c>
      <c r="J14" s="13">
        <v>45.6</v>
      </c>
      <c r="K14" s="13">
        <v>54</v>
      </c>
      <c r="L14" s="48">
        <f>SUM(H14:K14)</f>
        <v>215.5</v>
      </c>
      <c r="M14" s="13">
        <v>61</v>
      </c>
      <c r="N14" s="13">
        <v>53.7</v>
      </c>
      <c r="O14" s="13">
        <v>45.5</v>
      </c>
      <c r="P14" s="13">
        <v>51.2</v>
      </c>
      <c r="Q14" s="48">
        <f>SUM(M14:P14)</f>
        <v>211.39999999999998</v>
      </c>
      <c r="R14" s="13">
        <v>63.6</v>
      </c>
      <c r="S14" s="13">
        <v>46.3</v>
      </c>
      <c r="T14" s="13">
        <v>41.6</v>
      </c>
      <c r="U14" s="13">
        <v>54</v>
      </c>
      <c r="V14" s="48">
        <f>SUM(R14:U14)</f>
        <v>205.5</v>
      </c>
      <c r="W14" s="13">
        <v>57.1</v>
      </c>
      <c r="X14" s="13">
        <v>55.2</v>
      </c>
      <c r="Y14" s="13"/>
      <c r="Z14" s="13"/>
      <c r="AA14" s="48">
        <f>SUM(W14:Z14)</f>
        <v>112.30000000000001</v>
      </c>
    </row>
    <row r="15" spans="2:27" x14ac:dyDescent="0.25">
      <c r="B15" s="28" t="s">
        <v>144</v>
      </c>
      <c r="G15" s="36"/>
      <c r="H15" s="29">
        <f t="shared" ref="H15" si="12">(H14-C14)/C14</f>
        <v>0.16122840690978885</v>
      </c>
      <c r="I15" s="29">
        <f t="shared" ref="I15" si="13">(I14-D14)/D14</f>
        <v>0.13757700205338799</v>
      </c>
      <c r="J15" s="29">
        <f t="shared" ref="J15" si="14">(J14-E14)/E14</f>
        <v>1.1086474501108647E-2</v>
      </c>
      <c r="K15" s="29">
        <f t="shared" ref="K15" si="15">(K14-F14)/F14</f>
        <v>0.1134020618556701</v>
      </c>
      <c r="L15" s="40">
        <f>(L14-G14)/G14</f>
        <v>0.10853909465020573</v>
      </c>
      <c r="M15" s="29">
        <f t="shared" ref="M15" si="16">(M14-H14)/H14</f>
        <v>8.2644628099173556E-3</v>
      </c>
      <c r="N15" s="29">
        <f t="shared" ref="N15" si="17">(N14-I14)/I14</f>
        <v>-3.0685920577617251E-2</v>
      </c>
      <c r="O15" s="29">
        <f t="shared" ref="O15" si="18">(O14-J14)/J14</f>
        <v>-2.192982456140382E-3</v>
      </c>
      <c r="P15" s="29">
        <f t="shared" ref="P15" si="19">(P14-K14)/K14</f>
        <v>-5.1851851851851802E-2</v>
      </c>
      <c r="Q15" s="40">
        <f>(Q14-L14)/L14</f>
        <v>-1.9025522041763446E-2</v>
      </c>
      <c r="R15" s="29">
        <f t="shared" ref="R15" si="20">(R14-M14)/M14</f>
        <v>4.2622950819672156E-2</v>
      </c>
      <c r="S15" s="29">
        <f>(S14-N14)/N14</f>
        <v>-0.1378026070763502</v>
      </c>
      <c r="T15" s="29">
        <f t="shared" ref="T15:U15" si="21">(T14-O14)/O14</f>
        <v>-8.5714285714285687E-2</v>
      </c>
      <c r="U15" s="29">
        <f t="shared" si="21"/>
        <v>5.4687499999999944E-2</v>
      </c>
      <c r="V15" s="40">
        <f>(V14-Q14)/Q14</f>
        <v>-2.7909176915799326E-2</v>
      </c>
      <c r="W15" s="29">
        <f t="shared" ref="W15" si="22">(W14-R14)/R14</f>
        <v>-0.10220125786163521</v>
      </c>
      <c r="X15" s="29">
        <f>(X14-S14)/S14</f>
        <v>0.19222462203023771</v>
      </c>
      <c r="Y15" s="29">
        <f t="shared" ref="Y15" si="23">(Y14-T14)/T14</f>
        <v>-1</v>
      </c>
      <c r="Z15" s="29">
        <f t="shared" ref="Z15" si="24">(Z14-U14)/U14</f>
        <v>-1</v>
      </c>
      <c r="AA15" s="40">
        <f>(AA14-V14)/V14</f>
        <v>-0.45352798053527976</v>
      </c>
    </row>
    <row r="16" spans="2:27" x14ac:dyDescent="0.25">
      <c r="B16" s="2" t="s">
        <v>135</v>
      </c>
      <c r="C16" s="13">
        <v>102.5</v>
      </c>
      <c r="D16" s="13">
        <v>91.8</v>
      </c>
      <c r="E16" s="13">
        <v>84.2</v>
      </c>
      <c r="F16" s="13">
        <v>94.8</v>
      </c>
      <c r="G16" s="48">
        <f>SUM(C16:F16)</f>
        <v>373.3</v>
      </c>
      <c r="H16" s="13">
        <v>104.6</v>
      </c>
      <c r="I16" s="13">
        <v>74.7</v>
      </c>
      <c r="J16" s="13">
        <v>75.900000000000006</v>
      </c>
      <c r="K16" s="13">
        <v>64</v>
      </c>
      <c r="L16" s="48">
        <f>SUM(H16:K16)</f>
        <v>319.20000000000005</v>
      </c>
      <c r="M16" s="13">
        <v>83.3</v>
      </c>
      <c r="N16" s="13">
        <v>72.7</v>
      </c>
      <c r="O16" s="13">
        <v>60.1</v>
      </c>
      <c r="P16" s="13">
        <v>60.3</v>
      </c>
      <c r="Q16" s="48">
        <f>SUM(M16:P16)</f>
        <v>276.39999999999998</v>
      </c>
      <c r="R16" s="13">
        <v>66.5</v>
      </c>
      <c r="S16" s="13">
        <v>60.9</v>
      </c>
      <c r="T16" s="13">
        <v>71.400000000000006</v>
      </c>
      <c r="U16" s="13">
        <v>60.1</v>
      </c>
      <c r="V16" s="48">
        <f>SUM(R16:U16)</f>
        <v>258.90000000000003</v>
      </c>
      <c r="W16" s="13">
        <v>83.3</v>
      </c>
      <c r="X16" s="13">
        <v>64.8</v>
      </c>
      <c r="Y16" s="13"/>
      <c r="Z16" s="13"/>
      <c r="AA16" s="48">
        <f>SUM(W16:Z16)</f>
        <v>148.1</v>
      </c>
    </row>
    <row r="17" spans="2:27" x14ac:dyDescent="0.25">
      <c r="B17" s="28" t="s">
        <v>144</v>
      </c>
      <c r="G17" s="36"/>
      <c r="H17" s="29">
        <f t="shared" ref="H17" si="25">(H16-C16)/C16</f>
        <v>2.0487804878048726E-2</v>
      </c>
      <c r="I17" s="29">
        <f t="shared" ref="I17" si="26">(I16-D16)/D16</f>
        <v>-0.18627450980392152</v>
      </c>
      <c r="J17" s="29">
        <f t="shared" ref="J17" si="27">(J16-E16)/E16</f>
        <v>-9.8574821852731559E-2</v>
      </c>
      <c r="K17" s="29">
        <f t="shared" ref="K17" si="28">(K16-F16)/F16</f>
        <v>-0.32489451476793246</v>
      </c>
      <c r="L17" s="40">
        <f>(L16-G16)/G16</f>
        <v>-0.14492365389766934</v>
      </c>
      <c r="M17" s="29">
        <f t="shared" ref="M17" si="29">(M16-H16)/H16</f>
        <v>-0.20363288718929254</v>
      </c>
      <c r="N17" s="29">
        <f t="shared" ref="N17" si="30">(N16-I16)/I16</f>
        <v>-2.677376171352075E-2</v>
      </c>
      <c r="O17" s="29">
        <f t="shared" ref="O17" si="31">(O16-J16)/J16</f>
        <v>-0.20816864295125168</v>
      </c>
      <c r="P17" s="29">
        <f t="shared" ref="P17" si="32">(P16-K16)/K16</f>
        <v>-5.7812500000000044E-2</v>
      </c>
      <c r="Q17" s="40">
        <f>(Q16-L16)/L16</f>
        <v>-0.13408521303258164</v>
      </c>
      <c r="R17" s="29">
        <f t="shared" ref="R17" si="33">(R16-M16)/M16</f>
        <v>-0.20168067226890754</v>
      </c>
      <c r="S17" s="29">
        <f>(S16-N16)/N16</f>
        <v>-0.16231086657496566</v>
      </c>
      <c r="T17" s="29">
        <f t="shared" ref="T17" si="34">(T16-O16)/O16</f>
        <v>0.18801996672212984</v>
      </c>
      <c r="U17" s="29">
        <v>0.47499999999999998</v>
      </c>
      <c r="V17" s="40">
        <f>(V16-Q16)/Q16</f>
        <v>-6.3314037626627878E-2</v>
      </c>
      <c r="W17" s="29">
        <f t="shared" ref="W17" si="35">(W16-R16)/R16</f>
        <v>0.25263157894736837</v>
      </c>
      <c r="X17" s="29">
        <f>(X16-S16)/S16</f>
        <v>6.4039408866995051E-2</v>
      </c>
      <c r="Y17" s="29">
        <f t="shared" ref="Y17" si="36">(Y16-T16)/T16</f>
        <v>-1</v>
      </c>
      <c r="Z17" s="29">
        <f t="shared" ref="Z17" si="37">(Z16-U16)/U16</f>
        <v>-1</v>
      </c>
      <c r="AA17" s="40">
        <f>(AA16-V16)/V16</f>
        <v>-0.42796446504441882</v>
      </c>
    </row>
    <row r="18" spans="2:27" x14ac:dyDescent="0.25">
      <c r="B18" s="2" t="s">
        <v>136</v>
      </c>
      <c r="C18" s="13">
        <v>136.1</v>
      </c>
      <c r="D18" s="13">
        <v>111.6</v>
      </c>
      <c r="E18" s="13">
        <v>117.1</v>
      </c>
      <c r="F18" s="13">
        <v>130.6</v>
      </c>
      <c r="G18" s="48">
        <f>SUM(C18:F18)</f>
        <v>495.4</v>
      </c>
      <c r="H18" s="13">
        <v>169.5</v>
      </c>
      <c r="I18" s="13">
        <v>152.1</v>
      </c>
      <c r="J18" s="13">
        <v>135</v>
      </c>
      <c r="K18" s="13">
        <v>134.69999999999999</v>
      </c>
      <c r="L18" s="48">
        <f>SUM(H18:K18)</f>
        <v>591.29999999999995</v>
      </c>
      <c r="M18" s="13">
        <v>134.80000000000001</v>
      </c>
      <c r="N18" s="13">
        <v>112.8</v>
      </c>
      <c r="O18" s="13">
        <v>102.6</v>
      </c>
      <c r="P18" s="13">
        <v>96.2</v>
      </c>
      <c r="Q18" s="48">
        <f>SUM(M18:P18)</f>
        <v>446.40000000000003</v>
      </c>
      <c r="R18" s="13">
        <v>123.3</v>
      </c>
      <c r="S18" s="13">
        <v>126.8</v>
      </c>
      <c r="T18" s="13">
        <v>109</v>
      </c>
      <c r="U18" s="13">
        <v>109.8</v>
      </c>
      <c r="V18" s="48">
        <f>SUM(R18:U18)</f>
        <v>468.90000000000003</v>
      </c>
      <c r="W18" s="13">
        <v>133</v>
      </c>
      <c r="X18" s="13">
        <v>126.7</v>
      </c>
      <c r="Y18" s="13"/>
      <c r="Z18" s="13"/>
      <c r="AA18" s="48">
        <f>SUM(W18:Z18)</f>
        <v>259.7</v>
      </c>
    </row>
    <row r="19" spans="2:27" x14ac:dyDescent="0.25">
      <c r="B19" s="28" t="s">
        <v>144</v>
      </c>
      <c r="G19" s="36"/>
      <c r="H19" s="29">
        <f t="shared" ref="H19" si="38">(H18-C18)/C18</f>
        <v>0.24540778839088911</v>
      </c>
      <c r="I19" s="29">
        <f t="shared" ref="I19" si="39">(I18-D18)/D18</f>
        <v>0.36290322580645162</v>
      </c>
      <c r="J19" s="29">
        <f t="shared" ref="J19" si="40">(J18-E18)/E18</f>
        <v>0.15286080273270714</v>
      </c>
      <c r="K19" s="29">
        <f t="shared" ref="K19" si="41">(K18-F18)/F18</f>
        <v>3.1393568147013738E-2</v>
      </c>
      <c r="L19" s="40">
        <f>(L18-G18)/G18</f>
        <v>0.19358094469115864</v>
      </c>
      <c r="M19" s="29">
        <f t="shared" ref="M19" si="42">(M18-H18)/H18</f>
        <v>-0.20471976401179934</v>
      </c>
      <c r="N19" s="29">
        <f t="shared" ref="N19" si="43">(N18-I18)/I18</f>
        <v>-0.2583826429980276</v>
      </c>
      <c r="O19" s="29">
        <f t="shared" ref="O19" si="44">(O18-J18)/J18</f>
        <v>-0.24000000000000005</v>
      </c>
      <c r="P19" s="29">
        <f t="shared" ref="P19" si="45">(P18-K18)/K18</f>
        <v>-0.28582034149962871</v>
      </c>
      <c r="Q19" s="40">
        <f>(Q18-L18)/L18</f>
        <v>-0.2450532724505326</v>
      </c>
      <c r="R19" s="29">
        <f t="shared" ref="R19" si="46">(R18-M18)/M18</f>
        <v>-8.5311572700296837E-2</v>
      </c>
      <c r="S19" s="29">
        <f>(S18-N18)/N18</f>
        <v>0.12411347517730496</v>
      </c>
      <c r="T19" s="29">
        <f t="shared" ref="T19" si="47">(T18-O18)/O18</f>
        <v>6.2378167641325595E-2</v>
      </c>
      <c r="U19" s="29">
        <f t="shared" ref="U19" si="48">(U18-P18)/P18</f>
        <v>0.1413721413721413</v>
      </c>
      <c r="V19" s="40">
        <f>(V18-Q18)/Q18</f>
        <v>5.040322580645161E-2</v>
      </c>
      <c r="W19" s="29">
        <f t="shared" ref="W19" si="49">(W18-R18)/R18</f>
        <v>7.8669910786699132E-2</v>
      </c>
      <c r="X19" s="29">
        <f>(X18-S18)/S18</f>
        <v>-7.8864353312298359E-4</v>
      </c>
      <c r="Y19" s="29">
        <f t="shared" ref="Y19" si="50">(Y18-T18)/T18</f>
        <v>-1</v>
      </c>
      <c r="Z19" s="29">
        <f t="shared" ref="Z19" si="51">(Z18-U18)/U18</f>
        <v>-1</v>
      </c>
      <c r="AA19" s="40">
        <f>(AA18-V18)/V18</f>
        <v>-0.44615056515248458</v>
      </c>
    </row>
    <row r="20" spans="2:27" x14ac:dyDescent="0.25">
      <c r="B20" s="2" t="s">
        <v>137</v>
      </c>
      <c r="C20" s="13">
        <v>34.4</v>
      </c>
      <c r="D20" s="13">
        <v>24.1</v>
      </c>
      <c r="E20" s="13">
        <v>33</v>
      </c>
      <c r="F20" s="13">
        <v>45.4</v>
      </c>
      <c r="G20" s="48">
        <f>SUM(C20:F20)</f>
        <v>136.9</v>
      </c>
      <c r="H20" s="13">
        <v>43.8</v>
      </c>
      <c r="I20" s="13">
        <v>33.299999999999997</v>
      </c>
      <c r="J20" s="13">
        <v>33.4</v>
      </c>
      <c r="K20" s="13">
        <v>49</v>
      </c>
      <c r="L20" s="48">
        <f>SUM(H20:K20)</f>
        <v>159.5</v>
      </c>
      <c r="M20" s="13">
        <v>39.4</v>
      </c>
      <c r="N20" s="13">
        <v>26.7</v>
      </c>
      <c r="O20" s="13">
        <v>33</v>
      </c>
      <c r="P20" s="13">
        <v>55.2</v>
      </c>
      <c r="Q20" s="48">
        <f>SUM(M20:P20)</f>
        <v>154.30000000000001</v>
      </c>
      <c r="R20" s="13">
        <v>43.5</v>
      </c>
      <c r="S20" s="13">
        <v>41.8</v>
      </c>
      <c r="T20" s="13">
        <v>44.6</v>
      </c>
      <c r="U20" s="13">
        <v>47.5</v>
      </c>
      <c r="V20" s="48">
        <f>SUM(R20:U20)</f>
        <v>177.4</v>
      </c>
      <c r="W20" s="13">
        <v>37.9</v>
      </c>
      <c r="X20" s="13">
        <v>29</v>
      </c>
      <c r="Y20" s="13"/>
      <c r="Z20" s="13"/>
      <c r="AA20" s="48">
        <f>SUM(W20:Z20)</f>
        <v>66.900000000000006</v>
      </c>
    </row>
    <row r="21" spans="2:27" x14ac:dyDescent="0.25">
      <c r="B21" s="28" t="s">
        <v>144</v>
      </c>
      <c r="G21" s="36"/>
      <c r="H21" s="29">
        <f t="shared" ref="H21" si="52">(H20-C20)/C20</f>
        <v>0.27325581395348836</v>
      </c>
      <c r="I21" s="29">
        <f t="shared" ref="I21" si="53">(I20-D20)/D20</f>
        <v>0.38174273858921143</v>
      </c>
      <c r="J21" s="29">
        <f t="shared" ref="J21" si="54">(J20-E20)/E20</f>
        <v>1.2121212121212078E-2</v>
      </c>
      <c r="K21" s="29">
        <f t="shared" ref="K21" si="55">(K20-F20)/F20</f>
        <v>7.929515418502206E-2</v>
      </c>
      <c r="L21" s="40">
        <f>(L20-G20)/G20</f>
        <v>0.16508400292184072</v>
      </c>
      <c r="M21" s="29">
        <f t="shared" ref="M21" si="56">(M20-H20)/H20</f>
        <v>-0.10045662100456619</v>
      </c>
      <c r="N21" s="29">
        <f t="shared" ref="N21" si="57">(N20-I20)/I20</f>
        <v>-0.19819819819819814</v>
      </c>
      <c r="O21" s="29">
        <f t="shared" ref="O21" si="58">(O20-J20)/J20</f>
        <v>-1.1976047904191574E-2</v>
      </c>
      <c r="P21" s="29">
        <f t="shared" ref="P21" si="59">(P20-K20)/K20</f>
        <v>0.12653061224489801</v>
      </c>
      <c r="Q21" s="40">
        <f>(Q20-L20)/L20</f>
        <v>-3.2601880877742878E-2</v>
      </c>
      <c r="R21" s="29">
        <f t="shared" ref="R21" si="60">(R20-M20)/M20</f>
        <v>0.10406091370558379</v>
      </c>
      <c r="S21" s="29">
        <f>(S20-N20)/N20</f>
        <v>0.56554307116104863</v>
      </c>
      <c r="T21" s="29">
        <f t="shared" ref="T21" si="61">(T20-O20)/O20</f>
        <v>0.35151515151515156</v>
      </c>
      <c r="U21" s="29">
        <f t="shared" ref="U21" si="62">(U20-P20)/P20</f>
        <v>-0.13949275362318844</v>
      </c>
      <c r="V21" s="40">
        <f>(V20-Q20)/Q20</f>
        <v>0.1497083603370058</v>
      </c>
      <c r="W21" s="29">
        <f t="shared" ref="W21" si="63">(W20-R20)/R20</f>
        <v>-0.12873563218390807</v>
      </c>
      <c r="X21" s="29">
        <f>(X20-S20)/S20</f>
        <v>-0.30622009569377984</v>
      </c>
      <c r="Y21" s="29">
        <f t="shared" ref="Y21" si="64">(Y20-T20)/T20</f>
        <v>-1</v>
      </c>
      <c r="Z21" s="29">
        <f t="shared" ref="Z21" si="65">(Z20-U20)/U20</f>
        <v>-1</v>
      </c>
      <c r="AA21" s="40">
        <f>(AA20-V20)/V20</f>
        <v>-0.62288613303269447</v>
      </c>
    </row>
    <row r="22" spans="2:27" x14ac:dyDescent="0.25">
      <c r="B22" s="2" t="s">
        <v>138</v>
      </c>
      <c r="C22" s="13">
        <v>2.6</v>
      </c>
      <c r="D22" s="13">
        <v>2.4</v>
      </c>
      <c r="E22" s="13">
        <v>3</v>
      </c>
      <c r="F22" s="13">
        <v>3.5</v>
      </c>
      <c r="G22" s="48">
        <f>SUM(C22:F22)</f>
        <v>11.5</v>
      </c>
      <c r="H22" s="13">
        <v>3.3</v>
      </c>
      <c r="I22" s="13">
        <v>5.6</v>
      </c>
      <c r="J22" s="13">
        <v>6.7</v>
      </c>
      <c r="K22" s="13">
        <v>5.5</v>
      </c>
      <c r="L22" s="48">
        <f>SUM(H22:K22)</f>
        <v>21.099999999999998</v>
      </c>
      <c r="M22" s="13">
        <v>5.5</v>
      </c>
      <c r="N22" s="13">
        <v>3.7</v>
      </c>
      <c r="O22" s="13">
        <v>4.4000000000000004</v>
      </c>
      <c r="P22" s="13">
        <v>3.4</v>
      </c>
      <c r="Q22" s="48">
        <f>SUM(M22:P22)</f>
        <v>17</v>
      </c>
      <c r="R22" s="13">
        <v>2.1</v>
      </c>
      <c r="S22" s="13">
        <v>1.1000000000000001</v>
      </c>
      <c r="T22" s="13">
        <v>1.8</v>
      </c>
      <c r="U22" s="13">
        <v>2.4</v>
      </c>
      <c r="V22" s="48">
        <f>SUM(R22:U22)</f>
        <v>7.4</v>
      </c>
      <c r="W22" s="13">
        <v>1.6</v>
      </c>
      <c r="X22" s="13">
        <v>1.1000000000000001</v>
      </c>
      <c r="Y22" s="13"/>
      <c r="Z22" s="13"/>
      <c r="AA22" s="48">
        <f>SUM(W22:Z22)</f>
        <v>2.7</v>
      </c>
    </row>
    <row r="23" spans="2:27" x14ac:dyDescent="0.25">
      <c r="B23" s="28" t="s">
        <v>144</v>
      </c>
      <c r="G23" s="36"/>
      <c r="H23" s="29">
        <f t="shared" ref="H23" si="66">(H22-C22)/C22</f>
        <v>0.26923076923076911</v>
      </c>
      <c r="I23" s="29">
        <f t="shared" ref="I23" si="67">(I22-D22)/D22</f>
        <v>1.3333333333333333</v>
      </c>
      <c r="J23" s="29">
        <f t="shared" ref="J23" si="68">(J22-E22)/E22</f>
        <v>1.2333333333333334</v>
      </c>
      <c r="K23" s="29">
        <f t="shared" ref="K23" si="69">(K22-F22)/F22</f>
        <v>0.5714285714285714</v>
      </c>
      <c r="L23" s="40">
        <f>(L22-G22)/G22</f>
        <v>0.83478260869565202</v>
      </c>
      <c r="M23" s="29">
        <f t="shared" ref="M23" si="70">(M22-H22)/H22</f>
        <v>0.66666666666666674</v>
      </c>
      <c r="N23" s="29">
        <f t="shared" ref="N23" si="71">(N22-I22)/I22</f>
        <v>-0.33928571428571419</v>
      </c>
      <c r="O23" s="29">
        <f t="shared" ref="O23" si="72">(O22-J22)/J22</f>
        <v>-0.34328358208955223</v>
      </c>
      <c r="P23" s="29">
        <f t="shared" ref="P23" si="73">(P22-K22)/K22</f>
        <v>-0.38181818181818183</v>
      </c>
      <c r="Q23" s="40">
        <f>(Q22-L22)/L22</f>
        <v>-0.19431279620853073</v>
      </c>
      <c r="R23" s="29">
        <f t="shared" ref="R23" si="74">(R22-M22)/M22</f>
        <v>-0.61818181818181817</v>
      </c>
      <c r="S23" s="29">
        <f>(S22-N22)/N22</f>
        <v>-0.70270270270270274</v>
      </c>
      <c r="T23" s="29">
        <f t="shared" ref="T23" si="75">(T22-O22)/O22</f>
        <v>-0.59090909090909094</v>
      </c>
      <c r="U23" s="29">
        <f t="shared" ref="U23" si="76">(U22-P22)/P22</f>
        <v>-0.29411764705882354</v>
      </c>
      <c r="V23" s="40">
        <f>(V22-Q22)/Q22</f>
        <v>-0.56470588235294117</v>
      </c>
      <c r="W23" s="29">
        <f t="shared" ref="W23" si="77">(W22-R22)/R22</f>
        <v>-0.23809523809523808</v>
      </c>
      <c r="X23" s="29">
        <f>(X22-S22)/S22</f>
        <v>0</v>
      </c>
      <c r="Y23" s="29">
        <f t="shared" ref="Y23" si="78">(Y22-T22)/T22</f>
        <v>-1</v>
      </c>
      <c r="Z23" s="29">
        <f t="shared" ref="Z23" si="79">(Z22-U22)/U22</f>
        <v>-1</v>
      </c>
      <c r="AA23" s="40">
        <f>(AA22-V22)/V22</f>
        <v>-0.63513513513513509</v>
      </c>
    </row>
    <row r="24" spans="2:27" x14ac:dyDescent="0.25">
      <c r="B24" s="2" t="s">
        <v>140</v>
      </c>
      <c r="C24" s="13">
        <v>21.4</v>
      </c>
      <c r="D24" s="13">
        <v>24.5</v>
      </c>
      <c r="E24" s="13">
        <v>19</v>
      </c>
      <c r="F24" s="13">
        <v>40.299999999999997</v>
      </c>
      <c r="G24" s="48">
        <f>SUM(C24:F24)</f>
        <v>105.2</v>
      </c>
      <c r="H24" s="13">
        <v>24.7</v>
      </c>
      <c r="I24" s="13">
        <v>31.9</v>
      </c>
      <c r="J24" s="13">
        <v>29.7</v>
      </c>
      <c r="K24" s="13">
        <v>26.3</v>
      </c>
      <c r="L24" s="48">
        <f>SUM(H24:K24)</f>
        <v>112.6</v>
      </c>
      <c r="M24" s="13">
        <v>27.2</v>
      </c>
      <c r="N24" s="13">
        <v>38.700000000000003</v>
      </c>
      <c r="O24" s="13">
        <v>23.6</v>
      </c>
      <c r="P24" s="13">
        <v>26.3</v>
      </c>
      <c r="Q24" s="48">
        <f>SUM(M24:P24)</f>
        <v>115.8</v>
      </c>
      <c r="R24" s="13">
        <v>44.3</v>
      </c>
      <c r="S24" s="13">
        <v>32.4</v>
      </c>
      <c r="T24" s="13">
        <v>19.2</v>
      </c>
      <c r="U24" s="13">
        <v>34.200000000000003</v>
      </c>
      <c r="V24" s="48">
        <f>SUM(R24:U24)</f>
        <v>130.1</v>
      </c>
      <c r="W24" s="13">
        <v>34.200000000000003</v>
      </c>
      <c r="X24" s="13">
        <v>40.4</v>
      </c>
      <c r="Y24" s="13"/>
      <c r="Z24" s="13"/>
      <c r="AA24" s="48">
        <f>SUM(W24:Z24)</f>
        <v>74.599999999999994</v>
      </c>
    </row>
    <row r="25" spans="2:27" x14ac:dyDescent="0.25">
      <c r="B25" s="28" t="s">
        <v>144</v>
      </c>
      <c r="G25" s="36"/>
      <c r="H25" s="29">
        <f t="shared" ref="H25" si="80">(H24-C24)/C24</f>
        <v>0.15420560747663556</v>
      </c>
      <c r="I25" s="29">
        <f t="shared" ref="I25" si="81">(I24-D24)/D24</f>
        <v>0.30204081632653057</v>
      </c>
      <c r="J25" s="29">
        <f>(J24-E24)/E24</f>
        <v>0.56315789473684208</v>
      </c>
      <c r="K25" s="29">
        <f>(K24-F24)/F24</f>
        <v>-0.34739454094292799</v>
      </c>
      <c r="L25" s="40">
        <f>(L24-G24)/G24</f>
        <v>7.0342205323193838E-2</v>
      </c>
      <c r="M25" s="29">
        <f t="shared" ref="M25" si="82">(M24-H24)/H24</f>
        <v>0.10121457489878542</v>
      </c>
      <c r="N25" s="29">
        <f t="shared" ref="N25" si="83">(N24-I24)/I24</f>
        <v>0.2131661442006271</v>
      </c>
      <c r="O25" s="29">
        <f t="shared" ref="O25" si="84">(O24-J24)/J24</f>
        <v>-0.20538720538720531</v>
      </c>
      <c r="P25" s="29">
        <f t="shared" ref="P25" si="85">(P24-K24)/K24</f>
        <v>0</v>
      </c>
      <c r="Q25" s="40">
        <f>(Q24-L24)/L24</f>
        <v>2.8419182948490256E-2</v>
      </c>
      <c r="R25" s="29">
        <f t="shared" ref="R25" si="86">(R24-M24)/M24</f>
        <v>0.62867647058823528</v>
      </c>
      <c r="S25" s="29">
        <f>(S24-N24)/N24</f>
        <v>-0.1627906976744187</v>
      </c>
      <c r="T25" s="29">
        <f t="shared" ref="T25" si="87">(T24-O24)/O24</f>
        <v>-0.18644067796610178</v>
      </c>
      <c r="U25" s="29">
        <f t="shared" ref="U25" si="88">(U24-P24)/P24</f>
        <v>0.3003802281368822</v>
      </c>
      <c r="V25" s="40">
        <f>(V24-Q24)/Q24</f>
        <v>0.12348877374784109</v>
      </c>
      <c r="W25" s="29">
        <f t="shared" ref="W25" si="89">(W24-R24)/R24</f>
        <v>-0.22799097065462742</v>
      </c>
      <c r="X25" s="29">
        <f>(X24-S24)/S24</f>
        <v>0.24691358024691359</v>
      </c>
      <c r="Y25" s="29">
        <f t="shared" ref="Y25" si="90">(Y24-T24)/T24</f>
        <v>-1</v>
      </c>
      <c r="Z25" s="29">
        <f t="shared" ref="Z25" si="91">(Z24-U24)/U24</f>
        <v>-1</v>
      </c>
      <c r="AA25" s="40">
        <f>(AA24-V24)/V24</f>
        <v>-0.42659492697924672</v>
      </c>
    </row>
    <row r="26" spans="2:27" x14ac:dyDescent="0.25">
      <c r="B26" s="2" t="s">
        <v>141</v>
      </c>
      <c r="C26" s="13">
        <v>0.1</v>
      </c>
      <c r="D26" s="13">
        <v>1.9</v>
      </c>
      <c r="E26" s="13">
        <v>1.2</v>
      </c>
      <c r="F26" s="13">
        <v>1.7</v>
      </c>
      <c r="G26" s="48">
        <f>SUM(C26:F26)</f>
        <v>4.9000000000000004</v>
      </c>
      <c r="H26" s="13">
        <v>0.2</v>
      </c>
      <c r="I26" s="13">
        <v>0</v>
      </c>
      <c r="J26" s="13">
        <v>0</v>
      </c>
      <c r="K26" s="13">
        <v>0.1</v>
      </c>
      <c r="L26" s="48">
        <f>SUM(H26:K26)</f>
        <v>0.30000000000000004</v>
      </c>
      <c r="M26" s="13">
        <v>0</v>
      </c>
      <c r="N26" s="13">
        <v>6.1</v>
      </c>
      <c r="O26" s="13">
        <v>12</v>
      </c>
      <c r="P26" s="13">
        <v>11.3</v>
      </c>
      <c r="Q26" s="48">
        <f>SUM(M26:P26)</f>
        <v>29.400000000000002</v>
      </c>
      <c r="R26" s="13">
        <v>7.5</v>
      </c>
      <c r="S26" s="13">
        <v>18</v>
      </c>
      <c r="T26" s="13">
        <v>0.2</v>
      </c>
      <c r="U26" s="13">
        <v>0.4</v>
      </c>
      <c r="V26" s="48">
        <f>SUM(R26:U26)</f>
        <v>26.099999999999998</v>
      </c>
      <c r="W26" s="13">
        <v>0.1</v>
      </c>
      <c r="X26" s="13">
        <v>0.6</v>
      </c>
      <c r="Y26" s="13"/>
      <c r="Z26" s="13"/>
      <c r="AA26" s="48">
        <f>SUM(W26:Z26)</f>
        <v>0.7</v>
      </c>
    </row>
    <row r="27" spans="2:27" x14ac:dyDescent="0.25">
      <c r="B27" s="28" t="s">
        <v>144</v>
      </c>
      <c r="G27" s="36"/>
      <c r="H27" s="29">
        <f t="shared" ref="H27" si="92">(H26-C26)/C26</f>
        <v>1</v>
      </c>
      <c r="I27" s="29">
        <f t="shared" ref="I27" si="93">(I26-D26)/D26</f>
        <v>-1</v>
      </c>
      <c r="J27" s="29" t="e">
        <f>(J26-E27)/E27</f>
        <v>#DIV/0!</v>
      </c>
      <c r="K27" s="29">
        <f t="shared" ref="K27" si="94">(K26-F26)/F26</f>
        <v>-0.94117647058823528</v>
      </c>
      <c r="L27" s="40">
        <f>(L26-G26)/G26</f>
        <v>-0.93877551020408168</v>
      </c>
      <c r="M27" s="29">
        <f t="shared" ref="M27:N27" si="95">(M26-H26)/H26</f>
        <v>-1</v>
      </c>
      <c r="N27" s="29" t="e">
        <f t="shared" si="95"/>
        <v>#DIV/0!</v>
      </c>
      <c r="O27" s="29" t="e">
        <f>(O26-J26)/J26</f>
        <v>#DIV/0!</v>
      </c>
      <c r="P27" s="29">
        <f>(P26-K26)/K26</f>
        <v>112</v>
      </c>
      <c r="Q27" s="40">
        <f>(Q26-L26)/L26</f>
        <v>96.999999999999986</v>
      </c>
      <c r="R27" s="29" t="e">
        <f t="shared" ref="R27" si="96">(R26-M26)/M26</f>
        <v>#DIV/0!</v>
      </c>
      <c r="S27" s="29">
        <f>(S26-N26)/N26</f>
        <v>1.9508196721311477</v>
      </c>
      <c r="T27" s="29">
        <f t="shared" ref="T27" si="97">(T26-O26)/O26</f>
        <v>-0.98333333333333339</v>
      </c>
      <c r="U27" s="29">
        <f t="shared" ref="U27" si="98">(U26-P26)/P26</f>
        <v>-0.96460176991150437</v>
      </c>
      <c r="V27" s="40">
        <f>(V26-Q26)/Q26</f>
        <v>-0.11224489795918381</v>
      </c>
      <c r="W27" s="29">
        <f t="shared" ref="W27" si="99">(W26-R26)/R26</f>
        <v>-0.98666666666666669</v>
      </c>
      <c r="X27" s="29">
        <f>(X26-S26)/S26</f>
        <v>-0.96666666666666656</v>
      </c>
      <c r="Y27" s="29">
        <f t="shared" ref="Y27" si="100">(Y26-T26)/T26</f>
        <v>-1</v>
      </c>
      <c r="Z27" s="29">
        <f t="shared" ref="Z27" si="101">(Z26-U26)/U26</f>
        <v>-1</v>
      </c>
      <c r="AA27" s="40">
        <f>(AA26-V26)/V26</f>
        <v>-0.97318007662835249</v>
      </c>
    </row>
    <row r="28" spans="2:27" x14ac:dyDescent="0.25">
      <c r="B28" s="2" t="s">
        <v>142</v>
      </c>
      <c r="C28" s="13">
        <v>9.4</v>
      </c>
      <c r="D28" s="13">
        <v>10.4</v>
      </c>
      <c r="E28" s="13">
        <v>7.7</v>
      </c>
      <c r="F28" s="13">
        <v>8.6999999999999993</v>
      </c>
      <c r="G28" s="48">
        <f>SUM(C28:F28)</f>
        <v>36.200000000000003</v>
      </c>
      <c r="H28" s="13">
        <v>5.0999999999999996</v>
      </c>
      <c r="I28" s="13">
        <v>10</v>
      </c>
      <c r="J28" s="13">
        <v>8.8000000000000007</v>
      </c>
      <c r="K28" s="13">
        <v>10.4</v>
      </c>
      <c r="L28" s="48">
        <f>SUM(H28:K28)</f>
        <v>34.299999999999997</v>
      </c>
      <c r="M28" s="13">
        <v>6.5</v>
      </c>
      <c r="N28" s="13">
        <v>9.4</v>
      </c>
      <c r="O28" s="13">
        <v>8.6999999999999993</v>
      </c>
      <c r="P28" s="13">
        <v>3.5</v>
      </c>
      <c r="Q28" s="48">
        <f>SUM(M28:P28)</f>
        <v>28.1</v>
      </c>
      <c r="R28" s="13">
        <v>6</v>
      </c>
      <c r="S28" s="13">
        <v>6</v>
      </c>
      <c r="T28" s="13">
        <v>7.7</v>
      </c>
      <c r="U28" s="13">
        <v>5.5</v>
      </c>
      <c r="V28" s="48">
        <f>SUM(R28:U28)</f>
        <v>25.2</v>
      </c>
      <c r="W28" s="13">
        <v>6.4</v>
      </c>
      <c r="X28" s="13">
        <v>10.4</v>
      </c>
      <c r="Y28" s="13"/>
      <c r="Z28" s="13"/>
      <c r="AA28" s="48">
        <f>SUM(W28:Z28)</f>
        <v>16.8</v>
      </c>
    </row>
    <row r="29" spans="2:27" x14ac:dyDescent="0.25">
      <c r="B29" s="28" t="s">
        <v>144</v>
      </c>
      <c r="G29" s="36"/>
      <c r="H29" s="29">
        <f t="shared" ref="H29" si="102">(H28-C28)/C28</f>
        <v>-0.45744680851063835</v>
      </c>
      <c r="I29" s="29">
        <f t="shared" ref="I29" si="103">(I28-D28)/D28</f>
        <v>-3.8461538461538491E-2</v>
      </c>
      <c r="J29" s="29">
        <f t="shared" ref="J29:K29" si="104">(J28-E28)/E28</f>
        <v>0.14285714285714293</v>
      </c>
      <c r="K29" s="29">
        <f t="shared" si="104"/>
        <v>0.19540229885057486</v>
      </c>
      <c r="L29" s="40">
        <f>(L28-G28)/G28</f>
        <v>-5.2486187845304018E-2</v>
      </c>
      <c r="M29" s="29">
        <f t="shared" ref="M29" si="105">(M28-H28)/H28</f>
        <v>0.27450980392156871</v>
      </c>
      <c r="N29" s="29">
        <f t="shared" ref="N29" si="106">(N28-I28)/I28</f>
        <v>-5.9999999999999963E-2</v>
      </c>
      <c r="O29" s="29">
        <f t="shared" ref="O29" si="107">(O28-J28)/J28</f>
        <v>-1.1363636363636524E-2</v>
      </c>
      <c r="P29" s="29">
        <f t="shared" ref="P29" si="108">(P28-K28)/K28</f>
        <v>-0.66346153846153844</v>
      </c>
      <c r="Q29" s="40">
        <f>(Q28-L28)/L28</f>
        <v>-0.18075801749271125</v>
      </c>
      <c r="R29" s="29">
        <f t="shared" ref="R29" si="109">(R28-M28)/M28</f>
        <v>-7.6923076923076927E-2</v>
      </c>
      <c r="S29" s="29">
        <f>(S28-N28)/N28</f>
        <v>-0.36170212765957449</v>
      </c>
      <c r="T29" s="29">
        <f t="shared" ref="T29" si="110">(T28-O28)/O28</f>
        <v>-0.11494252873563209</v>
      </c>
      <c r="U29" s="29">
        <f t="shared" ref="U29" si="111">(U28-P28)/P28</f>
        <v>0.5714285714285714</v>
      </c>
      <c r="V29" s="40">
        <f>(V28-Q28)/Q28</f>
        <v>-0.10320284697508904</v>
      </c>
      <c r="W29" s="29">
        <f t="shared" ref="W29" si="112">(W28-R28)/R28</f>
        <v>6.6666666666666721E-2</v>
      </c>
      <c r="X29" s="29">
        <f>(X28-S28)/S28</f>
        <v>0.73333333333333339</v>
      </c>
      <c r="Y29" s="29">
        <f t="shared" ref="Y29" si="113">(Y28-T28)/T28</f>
        <v>-1</v>
      </c>
      <c r="Z29" s="29">
        <f t="shared" ref="Z29" si="114">(Z28-U28)/U28</f>
        <v>-1</v>
      </c>
      <c r="AA29" s="40">
        <f>(AA28-V28)/V28</f>
        <v>-0.33333333333333326</v>
      </c>
    </row>
    <row r="30" spans="2:27" x14ac:dyDescent="0.25">
      <c r="B30" s="30" t="s">
        <v>150</v>
      </c>
      <c r="C30" s="45">
        <f t="shared" ref="C30:R30" si="115">C12+C14+C16+C18+C20+C22+C24+C26+C28</f>
        <v>434.79999999999995</v>
      </c>
      <c r="D30" s="45">
        <f t="shared" si="115"/>
        <v>388.29999999999995</v>
      </c>
      <c r="E30" s="45">
        <f t="shared" si="115"/>
        <v>362.5</v>
      </c>
      <c r="F30" s="45">
        <f t="shared" si="115"/>
        <v>443.2</v>
      </c>
      <c r="G30" s="46">
        <f>SUM(C30:F30)</f>
        <v>1628.8</v>
      </c>
      <c r="H30" s="45">
        <f t="shared" si="115"/>
        <v>495.8</v>
      </c>
      <c r="I30" s="45">
        <f t="shared" si="115"/>
        <v>437.8</v>
      </c>
      <c r="J30" s="45">
        <f t="shared" si="115"/>
        <v>381.59999999999997</v>
      </c>
      <c r="K30" s="45">
        <f t="shared" si="115"/>
        <v>412.40000000000003</v>
      </c>
      <c r="L30" s="46">
        <f>SUM(H30:K30)</f>
        <v>1727.6000000000001</v>
      </c>
      <c r="M30" s="45">
        <f t="shared" si="115"/>
        <v>439</v>
      </c>
      <c r="N30" s="45">
        <f t="shared" si="115"/>
        <v>390.5</v>
      </c>
      <c r="O30" s="45">
        <f t="shared" si="115"/>
        <v>340.59999999999997</v>
      </c>
      <c r="P30" s="45">
        <f t="shared" si="115"/>
        <v>367</v>
      </c>
      <c r="Q30" s="46">
        <f>SUM(M30:P30)</f>
        <v>1537.1</v>
      </c>
      <c r="R30" s="45">
        <f t="shared" si="115"/>
        <v>433.20000000000005</v>
      </c>
      <c r="S30" s="45">
        <f>S12+S14+S16+S18+S20+S22+S24+S26+S28</f>
        <v>400</v>
      </c>
      <c r="T30" s="45">
        <f t="shared" ref="T30:U30" si="116">T12+T14+T16+T18+T20+T22+T24+T26+T28</f>
        <v>369.9</v>
      </c>
      <c r="U30" s="45">
        <f t="shared" si="116"/>
        <v>405.59999999999991</v>
      </c>
      <c r="V30" s="46">
        <f>SUM(R30:U30)</f>
        <v>1608.6999999999998</v>
      </c>
      <c r="W30" s="45">
        <f t="shared" ref="W30" si="117">W12+W14+W16+W18+W20+W22+W24+W26+W28</f>
        <v>447.5</v>
      </c>
      <c r="X30" s="45">
        <f>X12+X14+X16+X18+X20+X22+X24+X26+X28</f>
        <v>412.1</v>
      </c>
      <c r="Y30" s="45">
        <f t="shared" ref="Y30:Z30" si="118">Y12+Y14+Y16+Y18+Y20+Y22+Y24+Y26+Y28</f>
        <v>0</v>
      </c>
      <c r="Z30" s="45">
        <f t="shared" si="118"/>
        <v>0</v>
      </c>
      <c r="AA30" s="46">
        <f>SUM(W30:Z30)</f>
        <v>859.6</v>
      </c>
    </row>
    <row r="31" spans="2:27" x14ac:dyDescent="0.25">
      <c r="B31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42B8-541B-9F43-9AF7-AF8351B72277}">
  <dimension ref="B3:AA30"/>
  <sheetViews>
    <sheetView showGridLines="0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X28" sqref="X28"/>
    </sheetView>
  </sheetViews>
  <sheetFormatPr baseColWidth="10" defaultRowHeight="19" x14ac:dyDescent="0.25"/>
  <cols>
    <col min="1" max="1" width="10.83203125" style="2"/>
    <col min="2" max="2" width="25.6640625" style="2" bestFit="1" customWidth="1"/>
    <col min="3" max="16384" width="10.83203125" style="2"/>
  </cols>
  <sheetData>
    <row r="3" spans="2:27" x14ac:dyDescent="0.25">
      <c r="B3" s="2" t="s">
        <v>38</v>
      </c>
      <c r="C3" s="7" t="s">
        <v>3</v>
      </c>
      <c r="D3" s="7" t="s">
        <v>4</v>
      </c>
      <c r="E3" s="7" t="s">
        <v>5</v>
      </c>
      <c r="F3" s="7" t="s">
        <v>6</v>
      </c>
      <c r="G3" s="34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4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4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6">
        <v>2025</v>
      </c>
      <c r="W3" s="7" t="s">
        <v>154</v>
      </c>
      <c r="X3" s="7" t="s">
        <v>155</v>
      </c>
      <c r="Y3" s="7" t="s">
        <v>156</v>
      </c>
      <c r="Z3" s="7" t="s">
        <v>157</v>
      </c>
      <c r="AA3" s="36">
        <v>2026</v>
      </c>
    </row>
    <row r="4" spans="2:27" x14ac:dyDescent="0.25">
      <c r="B4" s="1" t="s">
        <v>151</v>
      </c>
      <c r="G4" s="35"/>
      <c r="L4" s="35"/>
      <c r="Q4" s="35"/>
      <c r="V4" s="35"/>
      <c r="AA4" s="35"/>
    </row>
    <row r="5" spans="2:27" x14ac:dyDescent="0.25">
      <c r="B5" s="2" t="s">
        <v>145</v>
      </c>
      <c r="C5" s="13">
        <v>552</v>
      </c>
      <c r="D5" s="13">
        <v>574.6</v>
      </c>
      <c r="E5" s="13">
        <v>549.1</v>
      </c>
      <c r="F5" s="13">
        <v>558.79999999999995</v>
      </c>
      <c r="G5" s="48">
        <f>SUM(C5:F5)</f>
        <v>2234.5</v>
      </c>
      <c r="H5" s="13">
        <v>710.8</v>
      </c>
      <c r="I5" s="13">
        <v>820.4</v>
      </c>
      <c r="J5" s="13">
        <v>835.7</v>
      </c>
      <c r="K5" s="13">
        <v>794.8</v>
      </c>
      <c r="L5" s="48">
        <f>SUM(H5:K5)</f>
        <v>3161.7</v>
      </c>
      <c r="M5" s="13">
        <v>854.8</v>
      </c>
      <c r="N5" s="13">
        <v>847.5</v>
      </c>
      <c r="O5" s="13">
        <v>706.3</v>
      </c>
      <c r="P5" s="13">
        <v>635.79999999999995</v>
      </c>
      <c r="Q5" s="48">
        <f>SUM(M5:P5)</f>
        <v>3044.3999999999996</v>
      </c>
      <c r="R5" s="13">
        <v>703.6</v>
      </c>
      <c r="S5" s="13">
        <v>731.8</v>
      </c>
      <c r="T5" s="13">
        <v>718.3</v>
      </c>
      <c r="U5" s="13">
        <v>640.6</v>
      </c>
      <c r="V5" s="48">
        <f>SUM(R5:U5)</f>
        <v>2794.2999999999997</v>
      </c>
      <c r="W5" s="13">
        <v>671.1</v>
      </c>
      <c r="X5" s="13">
        <v>782.9</v>
      </c>
      <c r="Y5" s="13"/>
      <c r="Z5" s="13"/>
      <c r="AA5" s="48">
        <f>SUM(W5:Z5)</f>
        <v>1454</v>
      </c>
    </row>
    <row r="6" spans="2:27" x14ac:dyDescent="0.25">
      <c r="B6" s="28" t="s">
        <v>144</v>
      </c>
      <c r="C6" s="28"/>
      <c r="D6" s="28"/>
      <c r="E6" s="28"/>
      <c r="F6" s="28"/>
      <c r="G6" s="37"/>
      <c r="H6" s="29">
        <f t="shared" ref="H6:V6" si="0">(H5-C5)/C5</f>
        <v>0.28768115942028977</v>
      </c>
      <c r="I6" s="29">
        <f t="shared" si="0"/>
        <v>0.42777584406543673</v>
      </c>
      <c r="J6" s="29">
        <f t="shared" si="0"/>
        <v>0.52194500091058094</v>
      </c>
      <c r="K6" s="29">
        <f t="shared" si="0"/>
        <v>0.4223335719398712</v>
      </c>
      <c r="L6" s="40">
        <f t="shared" si="0"/>
        <v>0.41494741552920106</v>
      </c>
      <c r="M6" s="29">
        <f t="shared" si="0"/>
        <v>0.20258863252673046</v>
      </c>
      <c r="N6" s="29">
        <f t="shared" si="0"/>
        <v>3.3032666991711389E-2</v>
      </c>
      <c r="O6" s="29">
        <f t="shared" si="0"/>
        <v>-0.15484025367955018</v>
      </c>
      <c r="P6" s="29">
        <f t="shared" si="0"/>
        <v>-0.20005032712632109</v>
      </c>
      <c r="Q6" s="40">
        <f t="shared" si="0"/>
        <v>-3.7100294145554664E-2</v>
      </c>
      <c r="R6" s="29">
        <f t="shared" si="0"/>
        <v>-0.17688348151614405</v>
      </c>
      <c r="S6" s="29">
        <f t="shared" si="0"/>
        <v>-0.13651917404129799</v>
      </c>
      <c r="T6" s="29">
        <f t="shared" si="0"/>
        <v>1.6989947614328191E-2</v>
      </c>
      <c r="U6" s="29">
        <f t="shared" si="0"/>
        <v>7.5495438817239201E-3</v>
      </c>
      <c r="V6" s="40">
        <f t="shared" si="0"/>
        <v>-8.2150834318749158E-2</v>
      </c>
      <c r="W6" s="29">
        <f t="shared" ref="W6" si="1">(W5-R5)/R5</f>
        <v>-4.6191017623649799E-2</v>
      </c>
      <c r="X6" s="29">
        <f t="shared" ref="X6" si="2">(X5-S5)/S5</f>
        <v>6.9827821809237536E-2</v>
      </c>
      <c r="Y6" s="29">
        <f t="shared" ref="Y6" si="3">(Y5-T5)/T5</f>
        <v>-1</v>
      </c>
      <c r="Z6" s="29">
        <f t="shared" ref="Z6" si="4">(Z5-U5)/U5</f>
        <v>-1</v>
      </c>
      <c r="AA6" s="40">
        <f t="shared" ref="AA6" si="5">(AA5-V5)/V5</f>
        <v>-0.4796550119886912</v>
      </c>
    </row>
    <row r="7" spans="2:27" x14ac:dyDescent="0.25">
      <c r="B7" s="2" t="s">
        <v>146</v>
      </c>
      <c r="C7" s="13">
        <v>54.1</v>
      </c>
      <c r="D7" s="13">
        <v>62.8</v>
      </c>
      <c r="E7" s="13">
        <v>67.400000000000006</v>
      </c>
      <c r="F7" s="13">
        <v>28.3</v>
      </c>
      <c r="G7" s="48">
        <f>SUM(C7:F7)</f>
        <v>212.60000000000002</v>
      </c>
      <c r="H7" s="13">
        <v>90</v>
      </c>
      <c r="I7" s="13">
        <v>116.3</v>
      </c>
      <c r="J7" s="13">
        <v>123</v>
      </c>
      <c r="K7" s="13">
        <v>108.9</v>
      </c>
      <c r="L7" s="48">
        <f>SUM(H7:K7)</f>
        <v>438.20000000000005</v>
      </c>
      <c r="M7" s="13">
        <v>140</v>
      </c>
      <c r="N7" s="13">
        <v>134.1</v>
      </c>
      <c r="O7" s="13">
        <v>108.2</v>
      </c>
      <c r="P7" s="13">
        <v>75.5</v>
      </c>
      <c r="Q7" s="48">
        <f>SUM(M7:P7)</f>
        <v>457.8</v>
      </c>
      <c r="R7" s="13">
        <v>90.4</v>
      </c>
      <c r="S7" s="13">
        <v>99.3</v>
      </c>
      <c r="T7" s="13">
        <v>85</v>
      </c>
      <c r="U7" s="13">
        <v>61.4</v>
      </c>
      <c r="V7" s="48">
        <f>SUM(R7:U7)</f>
        <v>336.09999999999997</v>
      </c>
      <c r="W7" s="13">
        <v>72.099999999999994</v>
      </c>
      <c r="X7" s="13">
        <v>71.8</v>
      </c>
      <c r="Y7" s="13"/>
      <c r="Z7" s="13"/>
      <c r="AA7" s="48">
        <f>SUM(W7:Z7)</f>
        <v>143.89999999999998</v>
      </c>
    </row>
    <row r="8" spans="2:27" x14ac:dyDescent="0.25">
      <c r="B8" s="2" t="s">
        <v>147</v>
      </c>
      <c r="C8" s="13">
        <v>47.3</v>
      </c>
      <c r="D8" s="13">
        <v>56.9</v>
      </c>
      <c r="E8" s="13">
        <v>42.2</v>
      </c>
      <c r="F8" s="13">
        <v>12</v>
      </c>
      <c r="G8" s="48">
        <f>SUM(C8:F8)</f>
        <v>158.39999999999998</v>
      </c>
      <c r="H8" s="13">
        <v>74.599999999999994</v>
      </c>
      <c r="I8" s="13">
        <v>100.6</v>
      </c>
      <c r="J8" s="13">
        <v>106.7</v>
      </c>
      <c r="K8" s="13">
        <v>109.2</v>
      </c>
      <c r="L8" s="48">
        <f>SUM(H8:K8)</f>
        <v>391.09999999999997</v>
      </c>
      <c r="M8" s="13">
        <v>129.6</v>
      </c>
      <c r="N8" s="13">
        <v>121.2</v>
      </c>
      <c r="O8" s="13">
        <v>96.4</v>
      </c>
      <c r="P8" s="13">
        <v>63</v>
      </c>
      <c r="Q8" s="48">
        <f>SUM(M8:P8)</f>
        <v>410.20000000000005</v>
      </c>
      <c r="R8" s="13">
        <v>77.599999999999994</v>
      </c>
      <c r="S8" s="13">
        <v>86</v>
      </c>
      <c r="T8" s="13">
        <v>76.3</v>
      </c>
      <c r="U8" s="13">
        <v>40.6</v>
      </c>
      <c r="V8" s="48">
        <f>SUM(R8:U8)</f>
        <v>280.5</v>
      </c>
      <c r="W8" s="13">
        <v>58.2</v>
      </c>
      <c r="X8" s="13">
        <v>58.1</v>
      </c>
      <c r="Y8" s="13"/>
      <c r="Z8" s="13"/>
      <c r="AA8" s="48">
        <f>SUM(W8:Z8)</f>
        <v>116.30000000000001</v>
      </c>
    </row>
    <row r="9" spans="2:27" x14ac:dyDescent="0.25">
      <c r="B9" s="10" t="s">
        <v>148</v>
      </c>
      <c r="C9" s="33">
        <v>8.5999999999999993E-2</v>
      </c>
      <c r="D9" s="33">
        <v>9.9000000000000005E-2</v>
      </c>
      <c r="E9" s="33">
        <v>7.6999999999999999E-2</v>
      </c>
      <c r="F9" s="33">
        <v>2.1000000000000001E-2</v>
      </c>
      <c r="G9" s="38">
        <f>G8/G5</f>
        <v>7.0888341910942038E-2</v>
      </c>
      <c r="H9" s="33">
        <v>0.105</v>
      </c>
      <c r="I9" s="33">
        <v>0.123</v>
      </c>
      <c r="J9" s="33">
        <v>0.128</v>
      </c>
      <c r="K9" s="33">
        <v>0.13700000000000001</v>
      </c>
      <c r="L9" s="38">
        <f>L8/L5</f>
        <v>0.12369927570610748</v>
      </c>
      <c r="M9" s="33">
        <v>0.152</v>
      </c>
      <c r="N9" s="33">
        <v>0.14299999999999999</v>
      </c>
      <c r="O9" s="33">
        <v>0.13600000000000001</v>
      </c>
      <c r="P9" s="33">
        <v>9.9000000000000005E-2</v>
      </c>
      <c r="Q9" s="38">
        <f>Q8/Q5</f>
        <v>0.13473919327289452</v>
      </c>
      <c r="R9" s="33">
        <v>0.11</v>
      </c>
      <c r="S9" s="33">
        <v>0.11700000000000001</v>
      </c>
      <c r="T9" s="33">
        <v>0.106</v>
      </c>
      <c r="U9" s="33">
        <v>6.3E-2</v>
      </c>
      <c r="V9" s="38">
        <f>V8/V5</f>
        <v>0.10038292237769747</v>
      </c>
      <c r="W9" s="33">
        <v>8.6999999999999994E-2</v>
      </c>
      <c r="X9" s="33">
        <v>7.3999999999999996E-2</v>
      </c>
      <c r="Y9" s="33"/>
      <c r="Z9" s="33"/>
      <c r="AA9" s="38">
        <f>AA8/AA5</f>
        <v>7.9986244841815685E-2</v>
      </c>
    </row>
    <row r="10" spans="2:27" x14ac:dyDescent="0.25">
      <c r="B10" s="2" t="s">
        <v>149</v>
      </c>
      <c r="C10" s="13">
        <v>42.2</v>
      </c>
      <c r="D10" s="13">
        <v>51.8</v>
      </c>
      <c r="E10" s="13">
        <v>37.1</v>
      </c>
      <c r="F10" s="13">
        <v>6.7</v>
      </c>
      <c r="G10" s="48">
        <f>SUM(C10:F10)</f>
        <v>137.79999999999998</v>
      </c>
      <c r="H10" s="13">
        <v>69.5</v>
      </c>
      <c r="I10" s="13">
        <v>95.2</v>
      </c>
      <c r="J10" s="13">
        <v>101.2</v>
      </c>
      <c r="K10" s="13">
        <v>103.7</v>
      </c>
      <c r="L10" s="48">
        <f>SUM(H10:K10)</f>
        <v>369.59999999999997</v>
      </c>
      <c r="M10" s="13">
        <v>124.3</v>
      </c>
      <c r="N10" s="13">
        <v>116.1</v>
      </c>
      <c r="O10" s="13">
        <v>91.4</v>
      </c>
      <c r="P10" s="13">
        <v>58</v>
      </c>
      <c r="Q10" s="48">
        <f>SUM(M10:P10)</f>
        <v>389.79999999999995</v>
      </c>
      <c r="R10" s="13">
        <v>72.599999999999994</v>
      </c>
      <c r="S10" s="13">
        <v>81</v>
      </c>
      <c r="T10" s="13">
        <v>69.400000000000006</v>
      </c>
      <c r="U10" s="13">
        <v>33.700000000000003</v>
      </c>
      <c r="V10" s="48">
        <f>SUM(R10:U10)</f>
        <v>256.7</v>
      </c>
      <c r="W10" s="13">
        <v>51.3</v>
      </c>
      <c r="X10" s="13">
        <v>51.1</v>
      </c>
      <c r="Y10" s="13"/>
      <c r="Z10" s="13"/>
      <c r="AA10" s="48">
        <f>SUM(W10:Z10)</f>
        <v>102.4</v>
      </c>
    </row>
    <row r="11" spans="2:27" x14ac:dyDescent="0.25">
      <c r="B11" s="31" t="s">
        <v>44</v>
      </c>
      <c r="C11" s="32">
        <v>7.5999999999999998E-2</v>
      </c>
      <c r="D11" s="32">
        <v>0.09</v>
      </c>
      <c r="E11" s="32">
        <v>6.8000000000000005E-2</v>
      </c>
      <c r="F11" s="32">
        <v>1.2E-2</v>
      </c>
      <c r="G11" s="39">
        <f>G10/G5</f>
        <v>6.1669277243231138E-2</v>
      </c>
      <c r="H11" s="32">
        <v>9.8000000000000004E-2</v>
      </c>
      <c r="I11" s="32">
        <v>0.11600000000000001</v>
      </c>
      <c r="J11" s="32">
        <v>0.121</v>
      </c>
      <c r="K11" s="32">
        <v>0.13100000000000001</v>
      </c>
      <c r="L11" s="39">
        <f>L10/L5</f>
        <v>0.11689913654046873</v>
      </c>
      <c r="M11" s="32">
        <v>0.14499999999999999</v>
      </c>
      <c r="N11" s="32">
        <v>0.13700000000000001</v>
      </c>
      <c r="O11" s="32">
        <v>0.129</v>
      </c>
      <c r="P11" s="32">
        <v>9.0999999999999998E-2</v>
      </c>
      <c r="Q11" s="39">
        <f>Q10/Q5</f>
        <v>0.12803836552358427</v>
      </c>
      <c r="R11" s="32">
        <v>0.10299999999999999</v>
      </c>
      <c r="S11" s="32">
        <v>0.111</v>
      </c>
      <c r="T11" s="32">
        <v>9.7000000000000003E-2</v>
      </c>
      <c r="U11" s="32">
        <v>5.2999999999999999E-2</v>
      </c>
      <c r="V11" s="39">
        <f>V10/V5</f>
        <v>9.1865583509286766E-2</v>
      </c>
      <c r="W11" s="32">
        <v>7.5999999999999998E-2</v>
      </c>
      <c r="X11" s="32">
        <v>6.5000000000000002E-2</v>
      </c>
      <c r="Y11" s="32"/>
      <c r="Z11" s="32"/>
      <c r="AA11" s="39">
        <f>AA10/AA5</f>
        <v>7.0426409903713891E-2</v>
      </c>
    </row>
    <row r="12" spans="2:27" x14ac:dyDescent="0.25">
      <c r="B12" s="2" t="s">
        <v>133</v>
      </c>
      <c r="C12" s="13">
        <v>11</v>
      </c>
      <c r="D12" s="13">
        <v>13.4</v>
      </c>
      <c r="E12" s="13">
        <v>11.6</v>
      </c>
      <c r="F12" s="13">
        <v>12.7</v>
      </c>
      <c r="G12" s="48">
        <f>SUM(C12:F12)</f>
        <v>48.7</v>
      </c>
      <c r="H12" s="13">
        <v>15</v>
      </c>
      <c r="I12" s="13">
        <v>11.5</v>
      </c>
      <c r="J12" s="13">
        <v>9.5</v>
      </c>
      <c r="K12" s="13">
        <v>11.9</v>
      </c>
      <c r="L12" s="48">
        <f>SUM(H12:K12)</f>
        <v>47.9</v>
      </c>
      <c r="M12" s="13">
        <v>13</v>
      </c>
      <c r="N12" s="13">
        <v>11.9</v>
      </c>
      <c r="O12" s="13">
        <v>9.9</v>
      </c>
      <c r="P12" s="13">
        <v>11.8</v>
      </c>
      <c r="Q12" s="48">
        <f>SUM(M12:P12)</f>
        <v>46.599999999999994</v>
      </c>
      <c r="R12" s="13">
        <v>13.4</v>
      </c>
      <c r="S12" s="13">
        <v>11.8</v>
      </c>
      <c r="T12" s="13">
        <v>10.199999999999999</v>
      </c>
      <c r="U12" s="13">
        <v>12.2</v>
      </c>
      <c r="V12" s="48">
        <f>SUM(R12:U12)</f>
        <v>47.600000000000009</v>
      </c>
      <c r="W12" s="13">
        <v>13.1</v>
      </c>
      <c r="X12" s="13">
        <v>15.6</v>
      </c>
      <c r="Y12" s="13"/>
      <c r="Z12" s="13"/>
      <c r="AA12" s="48">
        <f>SUM(W12:Z12)</f>
        <v>28.7</v>
      </c>
    </row>
    <row r="13" spans="2:27" x14ac:dyDescent="0.25">
      <c r="B13" s="28" t="s">
        <v>144</v>
      </c>
      <c r="G13" s="36"/>
      <c r="H13" s="29">
        <f t="shared" ref="H13:V13" si="6">(H12-C12)/C12</f>
        <v>0.36363636363636365</v>
      </c>
      <c r="I13" s="29">
        <f t="shared" si="6"/>
        <v>-0.14179104477611942</v>
      </c>
      <c r="J13" s="29">
        <f t="shared" si="6"/>
        <v>-0.18103448275862066</v>
      </c>
      <c r="K13" s="29">
        <f t="shared" si="6"/>
        <v>-6.2992125984251884E-2</v>
      </c>
      <c r="L13" s="40">
        <f t="shared" si="6"/>
        <v>-1.6427104722792695E-2</v>
      </c>
      <c r="M13" s="29">
        <f t="shared" si="6"/>
        <v>-0.13333333333333333</v>
      </c>
      <c r="N13" s="29">
        <f t="shared" si="6"/>
        <v>3.4782608695652202E-2</v>
      </c>
      <c r="O13" s="29">
        <f t="shared" si="6"/>
        <v>4.2105263157894778E-2</v>
      </c>
      <c r="P13" s="29">
        <f t="shared" si="6"/>
        <v>-8.4033613445377853E-3</v>
      </c>
      <c r="Q13" s="40">
        <f t="shared" si="6"/>
        <v>-2.7139874739039754E-2</v>
      </c>
      <c r="R13" s="29">
        <f t="shared" si="6"/>
        <v>3.0769230769230795E-2</v>
      </c>
      <c r="S13" s="29">
        <f t="shared" si="6"/>
        <v>-8.4033613445377853E-3</v>
      </c>
      <c r="T13" s="29">
        <f t="shared" si="6"/>
        <v>3.0303030303030193E-2</v>
      </c>
      <c r="U13" s="29">
        <f t="shared" si="6"/>
        <v>3.3898305084745638E-2</v>
      </c>
      <c r="V13" s="40">
        <f t="shared" si="6"/>
        <v>2.1459227467811468E-2</v>
      </c>
      <c r="W13" s="29">
        <f t="shared" ref="W13" si="7">(W12-R12)/R12</f>
        <v>-2.2388059701492588E-2</v>
      </c>
      <c r="X13" s="29">
        <f t="shared" ref="X13" si="8">(X12-S12)/S12</f>
        <v>0.32203389830508461</v>
      </c>
      <c r="Y13" s="29">
        <f t="shared" ref="Y13" si="9">(Y12-T12)/T12</f>
        <v>-1</v>
      </c>
      <c r="Z13" s="29">
        <f t="shared" ref="Z13" si="10">(Z12-U12)/U12</f>
        <v>-1</v>
      </c>
      <c r="AA13" s="40">
        <f t="shared" ref="AA13" si="11">(AA12-V12)/V12</f>
        <v>-0.39705882352941191</v>
      </c>
    </row>
    <row r="14" spans="2:27" x14ac:dyDescent="0.25">
      <c r="B14" s="2" t="s">
        <v>134</v>
      </c>
      <c r="C14" s="13">
        <v>12.9</v>
      </c>
      <c r="D14" s="13">
        <v>13.3</v>
      </c>
      <c r="E14" s="13">
        <v>14.2</v>
      </c>
      <c r="F14" s="13">
        <v>10.3</v>
      </c>
      <c r="G14" s="48">
        <f>SUM(C14:F14)</f>
        <v>50.7</v>
      </c>
      <c r="H14" s="13">
        <v>13.3</v>
      </c>
      <c r="I14" s="13">
        <v>12.9</v>
      </c>
      <c r="J14" s="13">
        <v>12.6</v>
      </c>
      <c r="K14" s="13">
        <v>11.6</v>
      </c>
      <c r="L14" s="48">
        <f>SUM(H14:K14)</f>
        <v>50.400000000000006</v>
      </c>
      <c r="M14" s="13">
        <v>11.5</v>
      </c>
      <c r="N14" s="13">
        <v>11.5</v>
      </c>
      <c r="O14" s="13">
        <v>12.5</v>
      </c>
      <c r="P14" s="13">
        <v>15</v>
      </c>
      <c r="Q14" s="48">
        <f>SUM(M14:P14)</f>
        <v>50.5</v>
      </c>
      <c r="R14" s="13">
        <v>14</v>
      </c>
      <c r="S14" s="13">
        <v>13.7</v>
      </c>
      <c r="T14" s="13">
        <v>12.3</v>
      </c>
      <c r="U14" s="13">
        <v>13.7</v>
      </c>
      <c r="V14" s="48">
        <f>SUM(R14:U14)</f>
        <v>53.7</v>
      </c>
      <c r="W14" s="13">
        <v>13.9</v>
      </c>
      <c r="X14" s="13">
        <v>14.8</v>
      </c>
      <c r="Y14" s="13"/>
      <c r="Z14" s="13"/>
      <c r="AA14" s="48">
        <f>SUM(W14:Z14)</f>
        <v>28.700000000000003</v>
      </c>
    </row>
    <row r="15" spans="2:27" x14ac:dyDescent="0.25">
      <c r="B15" s="28" t="s">
        <v>144</v>
      </c>
      <c r="G15" s="36"/>
      <c r="H15" s="29">
        <f t="shared" ref="H15:K15" si="12">(H14-C14)/C14</f>
        <v>3.1007751937984523E-2</v>
      </c>
      <c r="I15" s="29">
        <f t="shared" si="12"/>
        <v>-3.0075187969924838E-2</v>
      </c>
      <c r="J15" s="29">
        <f t="shared" si="12"/>
        <v>-0.11267605633802814</v>
      </c>
      <c r="K15" s="29">
        <f t="shared" si="12"/>
        <v>0.1262135922330096</v>
      </c>
      <c r="L15" s="40">
        <f>(L14-G14)/G14</f>
        <v>-5.917159763313553E-3</v>
      </c>
      <c r="M15" s="29">
        <f t="shared" ref="M15:P15" si="13">(M14-H14)/H14</f>
        <v>-0.1353383458646617</v>
      </c>
      <c r="N15" s="29">
        <f t="shared" si="13"/>
        <v>-0.10852713178294576</v>
      </c>
      <c r="O15" s="29">
        <f t="shared" si="13"/>
        <v>-7.9365079365079083E-3</v>
      </c>
      <c r="P15" s="29">
        <f t="shared" si="13"/>
        <v>0.2931034482758621</v>
      </c>
      <c r="Q15" s="40">
        <f>(Q14-L14)/L14</f>
        <v>1.9841269841268713E-3</v>
      </c>
      <c r="R15" s="29">
        <f t="shared" ref="R15" si="14">(R14-M14)/M14</f>
        <v>0.21739130434782608</v>
      </c>
      <c r="S15" s="29">
        <f>(S14-N14)/N14</f>
        <v>0.19130434782608691</v>
      </c>
      <c r="T15" s="29">
        <f t="shared" ref="T15:U15" si="15">(T14-O14)/O14</f>
        <v>-1.5999999999999945E-2</v>
      </c>
      <c r="U15" s="29">
        <f t="shared" si="15"/>
        <v>-8.6666666666666711E-2</v>
      </c>
      <c r="V15" s="40">
        <f>(V14-Q14)/Q14</f>
        <v>6.3366336633663423E-2</v>
      </c>
      <c r="W15" s="29">
        <f t="shared" ref="W15" si="16">(W14-R14)/R14</f>
        <v>-7.1428571428571175E-3</v>
      </c>
      <c r="X15" s="29">
        <f>(X14-S14)/S14</f>
        <v>8.0291970802919818E-2</v>
      </c>
      <c r="Y15" s="29">
        <f t="shared" ref="Y15" si="17">(Y14-T14)/T14</f>
        <v>-1</v>
      </c>
      <c r="Z15" s="29">
        <f t="shared" ref="Z15" si="18">(Z14-U14)/U14</f>
        <v>-1</v>
      </c>
      <c r="AA15" s="40">
        <f>(AA14-V14)/V14</f>
        <v>-0.46554934823091243</v>
      </c>
    </row>
    <row r="16" spans="2:27" x14ac:dyDescent="0.25">
      <c r="B16" s="2" t="s">
        <v>135</v>
      </c>
      <c r="C16" s="13">
        <v>6.8</v>
      </c>
      <c r="D16" s="13">
        <v>7.5</v>
      </c>
      <c r="E16" s="13">
        <v>6.4</v>
      </c>
      <c r="F16" s="13">
        <v>5.2</v>
      </c>
      <c r="G16" s="48">
        <f>SUM(C16:F16)</f>
        <v>25.900000000000002</v>
      </c>
      <c r="H16" s="13">
        <v>9</v>
      </c>
      <c r="I16" s="13">
        <v>9.1999999999999993</v>
      </c>
      <c r="J16" s="13">
        <v>8.1999999999999993</v>
      </c>
      <c r="K16" s="13">
        <v>8.1</v>
      </c>
      <c r="L16" s="48">
        <f>SUM(H16:K16)</f>
        <v>34.5</v>
      </c>
      <c r="M16" s="13">
        <v>15.3</v>
      </c>
      <c r="N16" s="13">
        <v>11.3</v>
      </c>
      <c r="O16" s="13">
        <v>9.6</v>
      </c>
      <c r="P16" s="13">
        <v>10.9</v>
      </c>
      <c r="Q16" s="48">
        <f>SUM(M16:P16)</f>
        <v>47.1</v>
      </c>
      <c r="R16" s="13">
        <v>11.1</v>
      </c>
      <c r="S16" s="13">
        <v>10.199999999999999</v>
      </c>
      <c r="T16" s="13">
        <v>7.1</v>
      </c>
      <c r="U16" s="13">
        <v>7.4</v>
      </c>
      <c r="V16" s="48">
        <f>SUM(R16:U16)</f>
        <v>35.799999999999997</v>
      </c>
      <c r="W16" s="13">
        <v>7</v>
      </c>
      <c r="X16" s="13">
        <v>8.9</v>
      </c>
      <c r="Y16" s="13"/>
      <c r="Z16" s="13"/>
      <c r="AA16" s="48">
        <f>SUM(W16:Z16)</f>
        <v>15.9</v>
      </c>
    </row>
    <row r="17" spans="2:27" x14ac:dyDescent="0.25">
      <c r="B17" s="28" t="s">
        <v>144</v>
      </c>
      <c r="G17" s="36"/>
      <c r="H17" s="29">
        <f t="shared" ref="H17:K17" si="19">(H16-C16)/C16</f>
        <v>0.3235294117647059</v>
      </c>
      <c r="I17" s="29">
        <f t="shared" si="19"/>
        <v>0.22666666666666657</v>
      </c>
      <c r="J17" s="29">
        <f t="shared" si="19"/>
        <v>0.28124999999999983</v>
      </c>
      <c r="K17" s="29">
        <f t="shared" si="19"/>
        <v>0.5576923076923076</v>
      </c>
      <c r="L17" s="40">
        <f>(L16-G16)/G16</f>
        <v>0.33204633204633194</v>
      </c>
      <c r="M17" s="29">
        <f t="shared" ref="M17:P17" si="20">(M16-H16)/H16</f>
        <v>0.70000000000000007</v>
      </c>
      <c r="N17" s="29">
        <f t="shared" si="20"/>
        <v>0.22826086956521757</v>
      </c>
      <c r="O17" s="29">
        <f t="shared" si="20"/>
        <v>0.17073170731707324</v>
      </c>
      <c r="P17" s="29">
        <f t="shared" si="20"/>
        <v>0.3456790123456791</v>
      </c>
      <c r="Q17" s="40">
        <f>(Q16-L16)/L16</f>
        <v>0.36521739130434788</v>
      </c>
      <c r="R17" s="29">
        <f t="shared" ref="R17" si="21">(R16-M16)/M16</f>
        <v>-0.27450980392156871</v>
      </c>
      <c r="S17" s="29">
        <f>(S16-N16)/N16</f>
        <v>-9.7345132743362955E-2</v>
      </c>
      <c r="T17" s="29">
        <f t="shared" ref="T17:U17" si="22">(T16-O16)/O16</f>
        <v>-0.26041666666666669</v>
      </c>
      <c r="U17" s="29">
        <f t="shared" si="22"/>
        <v>-0.32110091743119262</v>
      </c>
      <c r="V17" s="40">
        <f>(V16-Q16)/Q16</f>
        <v>-0.23991507430997885</v>
      </c>
      <c r="W17" s="29">
        <f t="shared" ref="W17" si="23">(W16-R16)/R16</f>
        <v>-0.36936936936936937</v>
      </c>
      <c r="X17" s="29">
        <f>(X16-S16)/S16</f>
        <v>-0.12745098039215677</v>
      </c>
      <c r="Y17" s="29">
        <f t="shared" ref="Y17" si="24">(Y16-T16)/T16</f>
        <v>-1</v>
      </c>
      <c r="Z17" s="29">
        <f t="shared" ref="Z17" si="25">(Z16-U16)/U16</f>
        <v>-1</v>
      </c>
      <c r="AA17" s="40">
        <f>(AA16-V16)/V16</f>
        <v>-0.55586592178770955</v>
      </c>
    </row>
    <row r="18" spans="2:27" x14ac:dyDescent="0.25">
      <c r="B18" s="2" t="s">
        <v>136</v>
      </c>
      <c r="C18" s="13">
        <v>52</v>
      </c>
      <c r="D18" s="13">
        <v>55.7</v>
      </c>
      <c r="E18" s="13">
        <v>44.9</v>
      </c>
      <c r="F18" s="13">
        <v>51.7</v>
      </c>
      <c r="G18" s="48">
        <f>SUM(C18:F18)</f>
        <v>204.3</v>
      </c>
      <c r="H18" s="13">
        <v>59.6</v>
      </c>
      <c r="I18" s="13">
        <v>60.7</v>
      </c>
      <c r="J18" s="13">
        <v>53.6</v>
      </c>
      <c r="K18" s="13">
        <v>52.7</v>
      </c>
      <c r="L18" s="48">
        <f>SUM(H18:K18)</f>
        <v>226.60000000000002</v>
      </c>
      <c r="M18" s="13">
        <v>57.9</v>
      </c>
      <c r="N18" s="13">
        <v>59.3</v>
      </c>
      <c r="O18" s="13">
        <v>47</v>
      </c>
      <c r="P18" s="13">
        <v>44.4</v>
      </c>
      <c r="Q18" s="48">
        <f>SUM(M18:P18)</f>
        <v>208.6</v>
      </c>
      <c r="R18" s="13">
        <v>45.2</v>
      </c>
      <c r="S18" s="13">
        <v>50.1</v>
      </c>
      <c r="T18" s="13">
        <v>47.3</v>
      </c>
      <c r="U18" s="13">
        <v>39.299999999999997</v>
      </c>
      <c r="V18" s="48">
        <f>SUM(R18:U18)</f>
        <v>181.90000000000003</v>
      </c>
      <c r="W18" s="13">
        <v>51.3</v>
      </c>
      <c r="X18" s="13">
        <v>52.1</v>
      </c>
      <c r="Y18" s="13"/>
      <c r="Z18" s="13"/>
      <c r="AA18" s="48">
        <f>SUM(W18:Z18)</f>
        <v>103.4</v>
      </c>
    </row>
    <row r="19" spans="2:27" x14ac:dyDescent="0.25">
      <c r="B19" s="28" t="s">
        <v>144</v>
      </c>
      <c r="G19" s="36"/>
      <c r="H19" s="29">
        <f t="shared" ref="H19:K19" si="26">(H18-C18)/C18</f>
        <v>0.14615384615384619</v>
      </c>
      <c r="I19" s="29">
        <f t="shared" si="26"/>
        <v>8.9766606822262118E-2</v>
      </c>
      <c r="J19" s="29">
        <f t="shared" si="26"/>
        <v>0.19376391982182636</v>
      </c>
      <c r="K19" s="29">
        <f t="shared" si="26"/>
        <v>1.9342359767891681E-2</v>
      </c>
      <c r="L19" s="40">
        <f>(L18-G18)/G18</f>
        <v>0.10915320606950568</v>
      </c>
      <c r="M19" s="29">
        <f t="shared" ref="M19:P19" si="27">(M18-H18)/H18</f>
        <v>-2.8523489932885952E-2</v>
      </c>
      <c r="N19" s="29">
        <f t="shared" si="27"/>
        <v>-2.3064250411861706E-2</v>
      </c>
      <c r="O19" s="29">
        <f t="shared" si="27"/>
        <v>-0.12313432835820898</v>
      </c>
      <c r="P19" s="29">
        <f t="shared" si="27"/>
        <v>-0.15749525616698298</v>
      </c>
      <c r="Q19" s="40">
        <f>(Q18-L18)/L18</f>
        <v>-7.943512797881741E-2</v>
      </c>
      <c r="R19" s="29">
        <f t="shared" ref="R19" si="28">(R18-M18)/M18</f>
        <v>-0.21934369602763379</v>
      </c>
      <c r="S19" s="29">
        <f>(S18-N18)/N18</f>
        <v>-0.15514333895446875</v>
      </c>
      <c r="T19" s="29">
        <f t="shared" ref="T19:U19" si="29">(T18-O18)/O18</f>
        <v>6.3829787234041951E-3</v>
      </c>
      <c r="U19" s="29">
        <f t="shared" si="29"/>
        <v>-0.1148648648648649</v>
      </c>
      <c r="V19" s="40">
        <f>(V18-Q18)/Q18</f>
        <v>-0.12799616490891641</v>
      </c>
      <c r="W19" s="29">
        <f t="shared" ref="W19" si="30">(W18-R18)/R18</f>
        <v>0.13495575221238926</v>
      </c>
      <c r="X19" s="29">
        <f>(X18-S18)/S18</f>
        <v>3.9920159680638723E-2</v>
      </c>
      <c r="Y19" s="29">
        <f t="shared" ref="Y19" si="31">(Y18-T18)/T18</f>
        <v>-1</v>
      </c>
      <c r="Z19" s="29">
        <f t="shared" ref="Z19" si="32">(Z18-U18)/U18</f>
        <v>-1</v>
      </c>
      <c r="AA19" s="40">
        <f>(AA18-V18)/V18</f>
        <v>-0.43155579989004955</v>
      </c>
    </row>
    <row r="20" spans="2:27" x14ac:dyDescent="0.25">
      <c r="B20" s="2" t="s">
        <v>137</v>
      </c>
      <c r="C20" s="13">
        <v>373.8</v>
      </c>
      <c r="D20" s="13">
        <v>386.8</v>
      </c>
      <c r="E20" s="13">
        <v>365.2</v>
      </c>
      <c r="F20" s="13">
        <v>388.6</v>
      </c>
      <c r="G20" s="48">
        <f>SUM(C20:F20)</f>
        <v>1514.4</v>
      </c>
      <c r="H20" s="13">
        <v>478.1</v>
      </c>
      <c r="I20" s="13">
        <v>560.9</v>
      </c>
      <c r="J20" s="13">
        <v>585.70000000000005</v>
      </c>
      <c r="K20" s="13">
        <v>565.9</v>
      </c>
      <c r="L20" s="48">
        <f>SUM(H20:K20)</f>
        <v>2190.6</v>
      </c>
      <c r="M20" s="13">
        <v>569.9</v>
      </c>
      <c r="N20" s="13">
        <v>558.9</v>
      </c>
      <c r="O20" s="13">
        <v>449</v>
      </c>
      <c r="P20" s="13">
        <v>398.6</v>
      </c>
      <c r="Q20" s="48">
        <f>SUM(M20:P20)</f>
        <v>1976.4</v>
      </c>
      <c r="R20" s="13">
        <v>447</v>
      </c>
      <c r="S20" s="13">
        <v>418.8</v>
      </c>
      <c r="T20" s="13">
        <v>436.1</v>
      </c>
      <c r="U20" s="13">
        <v>378.1</v>
      </c>
      <c r="V20" s="48">
        <f>SUM(R20:U20)</f>
        <v>1680</v>
      </c>
      <c r="W20" s="13">
        <v>385.7</v>
      </c>
      <c r="X20" s="13">
        <v>467.4</v>
      </c>
      <c r="Y20" s="13"/>
      <c r="Z20" s="13"/>
      <c r="AA20" s="48">
        <f>SUM(W20:Z20)</f>
        <v>853.09999999999991</v>
      </c>
    </row>
    <row r="21" spans="2:27" x14ac:dyDescent="0.25">
      <c r="B21" s="28" t="s">
        <v>144</v>
      </c>
      <c r="G21" s="36"/>
      <c r="H21" s="29">
        <f t="shared" ref="H21:K21" si="33">(H20-C20)/C20</f>
        <v>0.27902621722846443</v>
      </c>
      <c r="I21" s="29">
        <f t="shared" si="33"/>
        <v>0.45010341261633907</v>
      </c>
      <c r="J21" s="29">
        <f t="shared" si="33"/>
        <v>0.60377875136911296</v>
      </c>
      <c r="K21" s="29">
        <f t="shared" si="33"/>
        <v>0.45625321667524432</v>
      </c>
      <c r="L21" s="40">
        <f>(L20-G20)/G20</f>
        <v>0.44651347068145786</v>
      </c>
      <c r="M21" s="29">
        <f t="shared" ref="M21:P21" si="34">(M20-H20)/H20</f>
        <v>0.19201003974063993</v>
      </c>
      <c r="N21" s="29">
        <f t="shared" si="34"/>
        <v>-3.5656979853806382E-3</v>
      </c>
      <c r="O21" s="29">
        <f t="shared" si="34"/>
        <v>-0.23339593648625581</v>
      </c>
      <c r="P21" s="29">
        <f t="shared" si="34"/>
        <v>-0.29563527124933725</v>
      </c>
      <c r="Q21" s="40">
        <f>(Q20-L20)/L20</f>
        <v>-9.7781429745275192E-2</v>
      </c>
      <c r="R21" s="29">
        <f t="shared" ref="R21" si="35">(R20-M20)/M20</f>
        <v>-0.2156518687489033</v>
      </c>
      <c r="S21" s="29">
        <f>(S20-N20)/N20</f>
        <v>-0.2506709608158883</v>
      </c>
      <c r="T21" s="29">
        <f t="shared" ref="T21:U21" si="36">(T20-O20)/O20</f>
        <v>-2.8730512249443157E-2</v>
      </c>
      <c r="U21" s="29">
        <f t="shared" si="36"/>
        <v>-5.143000501756146E-2</v>
      </c>
      <c r="V21" s="40">
        <f>(V20-Q20)/Q20</f>
        <v>-0.14996964177292049</v>
      </c>
      <c r="W21" s="29">
        <f t="shared" ref="W21" si="37">(W20-R20)/R20</f>
        <v>-0.13713646532438481</v>
      </c>
      <c r="X21" s="29">
        <f>(X20-S20)/S20</f>
        <v>0.11604584527220622</v>
      </c>
      <c r="Y21" s="29">
        <f t="shared" ref="Y21" si="38">(Y20-T20)/T20</f>
        <v>-1</v>
      </c>
      <c r="Z21" s="29">
        <f t="shared" ref="Z21" si="39">(Z20-U20)/U20</f>
        <v>-1</v>
      </c>
      <c r="AA21" s="40">
        <f>(AA20-V20)/V20</f>
        <v>-0.492202380952381</v>
      </c>
    </row>
    <row r="22" spans="2:27" x14ac:dyDescent="0.25">
      <c r="B22" s="2" t="s">
        <v>138</v>
      </c>
      <c r="C22" s="13">
        <v>85.4</v>
      </c>
      <c r="D22" s="13">
        <v>86.8</v>
      </c>
      <c r="E22" s="13">
        <v>96.7</v>
      </c>
      <c r="F22" s="13">
        <v>80.599999999999994</v>
      </c>
      <c r="G22" s="48">
        <f>SUM(C22:F22)</f>
        <v>349.5</v>
      </c>
      <c r="H22" s="13">
        <v>126.1</v>
      </c>
      <c r="I22" s="13">
        <v>150.80000000000001</v>
      </c>
      <c r="J22" s="13">
        <v>150.80000000000001</v>
      </c>
      <c r="K22" s="13">
        <v>132.4</v>
      </c>
      <c r="L22" s="48">
        <f>SUM(H22:K22)</f>
        <v>560.1</v>
      </c>
      <c r="M22" s="13">
        <v>173.3</v>
      </c>
      <c r="N22" s="13">
        <v>184.3</v>
      </c>
      <c r="O22" s="13">
        <v>164.2</v>
      </c>
      <c r="P22" s="13">
        <v>140.9</v>
      </c>
      <c r="Q22" s="48">
        <f>SUM(M22:P22)</f>
        <v>662.69999999999993</v>
      </c>
      <c r="R22" s="13">
        <v>137</v>
      </c>
      <c r="S22" s="13">
        <v>182.7</v>
      </c>
      <c r="T22" s="13">
        <v>159.1</v>
      </c>
      <c r="U22" s="13">
        <v>151.5</v>
      </c>
      <c r="V22" s="48">
        <f>SUM(R22:U22)</f>
        <v>630.29999999999995</v>
      </c>
      <c r="W22" s="13">
        <v>161.4</v>
      </c>
      <c r="X22" s="13">
        <v>180</v>
      </c>
      <c r="Y22" s="13"/>
      <c r="Z22" s="13"/>
      <c r="AA22" s="48">
        <f>SUM(W22:Z22)</f>
        <v>341.4</v>
      </c>
    </row>
    <row r="23" spans="2:27" x14ac:dyDescent="0.25">
      <c r="B23" s="28" t="s">
        <v>144</v>
      </c>
      <c r="G23" s="36"/>
      <c r="H23" s="29">
        <f t="shared" ref="H23:K23" si="40">(H22-C22)/C22</f>
        <v>0.47658079625292721</v>
      </c>
      <c r="I23" s="29">
        <f t="shared" si="40"/>
        <v>0.7373271889400923</v>
      </c>
      <c r="J23" s="29">
        <f t="shared" si="40"/>
        <v>0.55946225439503627</v>
      </c>
      <c r="K23" s="29">
        <f t="shared" si="40"/>
        <v>0.64267990074441705</v>
      </c>
      <c r="L23" s="40">
        <f>(L22-G22)/G22</f>
        <v>0.60257510729613739</v>
      </c>
      <c r="M23" s="29">
        <f t="shared" ref="M23:P23" si="41">(M22-H22)/H22</f>
        <v>0.37430610626486932</v>
      </c>
      <c r="N23" s="29">
        <f t="shared" si="41"/>
        <v>0.22214854111405835</v>
      </c>
      <c r="O23" s="29">
        <f t="shared" si="41"/>
        <v>8.8859416445623188E-2</v>
      </c>
      <c r="P23" s="29">
        <f t="shared" si="41"/>
        <v>6.4199395770392742E-2</v>
      </c>
      <c r="Q23" s="40">
        <f>(Q22-L22)/L22</f>
        <v>0.18318157471880003</v>
      </c>
      <c r="R23" s="29">
        <f t="shared" ref="R23" si="42">(R22-M22)/M22</f>
        <v>-0.209463358338142</v>
      </c>
      <c r="S23" s="29">
        <f>(S22-N22)/N22</f>
        <v>-8.681497558328935E-3</v>
      </c>
      <c r="T23" s="29">
        <f t="shared" ref="T23:U23" si="43">(T22-O22)/O22</f>
        <v>-3.1059683313032854E-2</v>
      </c>
      <c r="U23" s="29">
        <f t="shared" si="43"/>
        <v>7.5230660042583344E-2</v>
      </c>
      <c r="V23" s="40">
        <f>(V22-Q22)/Q22</f>
        <v>-4.8890900860117673E-2</v>
      </c>
      <c r="W23" s="29">
        <f t="shared" ref="W23" si="44">(W22-R22)/R22</f>
        <v>0.17810218978102194</v>
      </c>
      <c r="X23" s="29">
        <f>(X22-S22)/S22</f>
        <v>-1.4778325123152648E-2</v>
      </c>
      <c r="Y23" s="29">
        <f t="shared" ref="Y23" si="45">(Y22-T22)/T22</f>
        <v>-1</v>
      </c>
      <c r="Z23" s="29">
        <f t="shared" ref="Z23" si="46">(Z22-U22)/U22</f>
        <v>-1</v>
      </c>
      <c r="AA23" s="40">
        <f>(AA22-V22)/V22</f>
        <v>-0.45835316515944791</v>
      </c>
    </row>
    <row r="24" spans="2:27" x14ac:dyDescent="0.25">
      <c r="B24" s="2" t="s">
        <v>141</v>
      </c>
      <c r="C24" s="13">
        <v>5.8</v>
      </c>
      <c r="D24" s="13">
        <v>4.7</v>
      </c>
      <c r="E24" s="13">
        <v>5.7</v>
      </c>
      <c r="F24" s="13">
        <v>5</v>
      </c>
      <c r="G24" s="48">
        <f>SUM(C24:F24)</f>
        <v>21.2</v>
      </c>
      <c r="H24" s="13">
        <v>5</v>
      </c>
      <c r="I24" s="13">
        <v>7.6</v>
      </c>
      <c r="J24" s="13">
        <v>8.1999999999999993</v>
      </c>
      <c r="K24" s="13">
        <v>6.8</v>
      </c>
      <c r="L24" s="48">
        <f>SUM(H24:K24)</f>
        <v>27.599999999999998</v>
      </c>
      <c r="M24" s="13">
        <v>7.6</v>
      </c>
      <c r="N24" s="13">
        <v>6.1</v>
      </c>
      <c r="O24" s="13">
        <v>9.1999999999999993</v>
      </c>
      <c r="P24" s="13">
        <v>8</v>
      </c>
      <c r="Q24" s="48">
        <f>SUM(M24:P24)</f>
        <v>30.9</v>
      </c>
      <c r="R24" s="13">
        <v>6.3</v>
      </c>
      <c r="S24" s="13">
        <v>6.5</v>
      </c>
      <c r="T24" s="13">
        <v>5.9</v>
      </c>
      <c r="U24" s="13">
        <v>6.6</v>
      </c>
      <c r="V24" s="48">
        <f>SUM(R24:U24)</f>
        <v>25.300000000000004</v>
      </c>
      <c r="W24" s="13">
        <v>4.5999999999999996</v>
      </c>
      <c r="X24" s="13">
        <v>9.6999999999999993</v>
      </c>
      <c r="Y24" s="13"/>
      <c r="Z24" s="13"/>
      <c r="AA24" s="48">
        <f>SUM(W24:Z24)</f>
        <v>14.299999999999999</v>
      </c>
    </row>
    <row r="25" spans="2:27" x14ac:dyDescent="0.25">
      <c r="B25" s="28" t="s">
        <v>144</v>
      </c>
      <c r="G25" s="36"/>
      <c r="H25" s="29">
        <f t="shared" ref="H25:K25" si="47">(H24-C24)/C24</f>
        <v>-0.13793103448275859</v>
      </c>
      <c r="I25" s="29">
        <f t="shared" si="47"/>
        <v>0.61702127659574457</v>
      </c>
      <c r="J25" s="29">
        <f t="shared" si="47"/>
        <v>0.43859649122806998</v>
      </c>
      <c r="K25" s="29">
        <f t="shared" si="47"/>
        <v>0.36</v>
      </c>
      <c r="L25" s="40">
        <f>(L24-G24)/G24</f>
        <v>0.30188679245283012</v>
      </c>
      <c r="M25" s="29">
        <f t="shared" ref="M25:P25" si="48">(M24-H24)/H24</f>
        <v>0.51999999999999991</v>
      </c>
      <c r="N25" s="29">
        <f t="shared" si="48"/>
        <v>-0.19736842105263158</v>
      </c>
      <c r="O25" s="29">
        <f t="shared" si="48"/>
        <v>0.12195121951219513</v>
      </c>
      <c r="P25" s="29">
        <f t="shared" si="48"/>
        <v>0.17647058823529416</v>
      </c>
      <c r="Q25" s="40">
        <f>(Q24-L24)/L24</f>
        <v>0.11956521739130438</v>
      </c>
      <c r="R25" s="29">
        <f t="shared" ref="R25" si="49">(R24-M24)/M24</f>
        <v>-0.17105263157894735</v>
      </c>
      <c r="S25" s="29">
        <f>(S24-N24)/N24</f>
        <v>6.5573770491803338E-2</v>
      </c>
      <c r="T25" s="29">
        <f t="shared" ref="T25:U25" si="50">(T24-O24)/O24</f>
        <v>-0.35869565217391297</v>
      </c>
      <c r="U25" s="29">
        <f t="shared" si="50"/>
        <v>-0.17500000000000004</v>
      </c>
      <c r="V25" s="40">
        <f>(V24-Q24)/Q24</f>
        <v>-0.18122977346278299</v>
      </c>
      <c r="W25" s="29">
        <f t="shared" ref="W25" si="51">(W24-R24)/R24</f>
        <v>-0.26984126984126988</v>
      </c>
      <c r="X25" s="29">
        <f>(X24-S24)/S24</f>
        <v>0.49230769230769222</v>
      </c>
      <c r="Y25" s="29">
        <f t="shared" ref="Y25" si="52">(Y24-T24)/T24</f>
        <v>-1</v>
      </c>
      <c r="Z25" s="29">
        <f t="shared" ref="Z25" si="53">(Z24-U24)/U24</f>
        <v>-1</v>
      </c>
      <c r="AA25" s="40">
        <f>(AA24-V24)/V24</f>
        <v>-0.43478260869565233</v>
      </c>
    </row>
    <row r="26" spans="2:27" x14ac:dyDescent="0.25">
      <c r="B26" s="2" t="s">
        <v>142</v>
      </c>
      <c r="C26" s="13">
        <v>4.3</v>
      </c>
      <c r="D26" s="13">
        <v>6.3</v>
      </c>
      <c r="E26" s="13">
        <v>4.4000000000000004</v>
      </c>
      <c r="F26" s="13">
        <v>4.5</v>
      </c>
      <c r="G26" s="48">
        <f>SUM(C26:F26)</f>
        <v>19.5</v>
      </c>
      <c r="H26" s="13">
        <v>4.5999999999999996</v>
      </c>
      <c r="I26" s="13">
        <v>6.9</v>
      </c>
      <c r="J26" s="13">
        <v>7.1</v>
      </c>
      <c r="K26" s="13">
        <v>5.5</v>
      </c>
      <c r="L26" s="48">
        <f>SUM(H26:K26)</f>
        <v>24.1</v>
      </c>
      <c r="M26" s="13">
        <v>6.5</v>
      </c>
      <c r="N26" s="13">
        <v>4.2</v>
      </c>
      <c r="O26" s="13">
        <v>5</v>
      </c>
      <c r="P26" s="13">
        <v>6.2</v>
      </c>
      <c r="Q26" s="48">
        <f>SUM(M26:P26)</f>
        <v>21.9</v>
      </c>
      <c r="R26" s="13">
        <v>29.5</v>
      </c>
      <c r="S26" s="13">
        <v>38</v>
      </c>
      <c r="T26" s="13">
        <v>40.1</v>
      </c>
      <c r="U26" s="13">
        <v>31.7</v>
      </c>
      <c r="V26" s="48">
        <f>SUM(R26:U26)</f>
        <v>139.29999999999998</v>
      </c>
      <c r="W26" s="13">
        <v>34</v>
      </c>
      <c r="X26" s="13">
        <v>34.4</v>
      </c>
      <c r="Y26" s="13"/>
      <c r="Z26" s="13"/>
      <c r="AA26" s="48">
        <f>SUM(W26:Z26)</f>
        <v>68.400000000000006</v>
      </c>
    </row>
    <row r="27" spans="2:27" x14ac:dyDescent="0.25">
      <c r="B27" s="28" t="s">
        <v>144</v>
      </c>
      <c r="G27" s="36"/>
      <c r="H27" s="29">
        <f t="shared" ref="H27:K27" si="54">(H26-C26)/C26</f>
        <v>6.9767441860465074E-2</v>
      </c>
      <c r="I27" s="29">
        <f t="shared" si="54"/>
        <v>9.523809523809533E-2</v>
      </c>
      <c r="J27" s="29">
        <f t="shared" si="54"/>
        <v>0.61363636363636342</v>
      </c>
      <c r="K27" s="29">
        <f t="shared" si="54"/>
        <v>0.22222222222222221</v>
      </c>
      <c r="L27" s="40">
        <f>(L26-G26)/G26</f>
        <v>0.23589743589743598</v>
      </c>
      <c r="M27" s="29">
        <f t="shared" ref="M27:P27" si="55">(M26-H26)/H26</f>
        <v>0.41304347826086968</v>
      </c>
      <c r="N27" s="29">
        <f t="shared" si="55"/>
        <v>-0.39130434782608697</v>
      </c>
      <c r="O27" s="29">
        <f t="shared" si="55"/>
        <v>-0.29577464788732388</v>
      </c>
      <c r="P27" s="29">
        <f t="shared" si="55"/>
        <v>0.12727272727272732</v>
      </c>
      <c r="Q27" s="40">
        <f>(Q26-L26)/L26</f>
        <v>-9.1286307053942015E-2</v>
      </c>
      <c r="R27" s="29">
        <f t="shared" ref="R27" si="56">(R26-M26)/M26</f>
        <v>3.5384615384615383</v>
      </c>
      <c r="S27" s="29">
        <f>(S26-N26)/N26</f>
        <v>8.0476190476190474</v>
      </c>
      <c r="T27" s="29">
        <f t="shared" ref="T27:U27" si="57">(T26-O26)/O26</f>
        <v>7.0200000000000005</v>
      </c>
      <c r="U27" s="29">
        <f t="shared" si="57"/>
        <v>4.1129032258064511</v>
      </c>
      <c r="V27" s="40">
        <f>(V26-Q26)/Q26</f>
        <v>5.3607305936073049</v>
      </c>
      <c r="W27" s="29">
        <f t="shared" ref="W27" si="58">(W26-R26)/R26</f>
        <v>0.15254237288135594</v>
      </c>
      <c r="X27" s="29">
        <f>(X26-S26)/S26</f>
        <v>-9.4736842105263189E-2</v>
      </c>
      <c r="Y27" s="29">
        <f t="shared" ref="Y27" si="59">(Y26-T26)/T26</f>
        <v>-1</v>
      </c>
      <c r="Z27" s="29">
        <f t="shared" ref="Z27" si="60">(Z26-U26)/U26</f>
        <v>-1</v>
      </c>
      <c r="AA27" s="40">
        <f>(AA26-V26)/V26</f>
        <v>-0.50897343862167976</v>
      </c>
    </row>
    <row r="28" spans="2:27" x14ac:dyDescent="0.25">
      <c r="B28" s="45" t="s">
        <v>151</v>
      </c>
      <c r="C28" s="45">
        <f t="shared" ref="C28:R28" si="61">C12+C14+C16+C18+C20+C22+C24+C26</f>
        <v>551.99999999999989</v>
      </c>
      <c r="D28" s="45">
        <f t="shared" si="61"/>
        <v>574.5</v>
      </c>
      <c r="E28" s="45">
        <f t="shared" si="61"/>
        <v>549.1</v>
      </c>
      <c r="F28" s="45">
        <f t="shared" si="61"/>
        <v>558.6</v>
      </c>
      <c r="G28" s="46">
        <f>SUM(C28:F28)</f>
        <v>2234.1999999999998</v>
      </c>
      <c r="H28" s="45">
        <f t="shared" si="61"/>
        <v>710.7</v>
      </c>
      <c r="I28" s="45">
        <f t="shared" si="61"/>
        <v>820.5</v>
      </c>
      <c r="J28" s="45">
        <f t="shared" si="61"/>
        <v>835.70000000000016</v>
      </c>
      <c r="K28" s="45">
        <f t="shared" si="61"/>
        <v>794.9</v>
      </c>
      <c r="L28" s="46">
        <f>SUM(H28:K28)</f>
        <v>3161.8</v>
      </c>
      <c r="M28" s="45">
        <f t="shared" si="61"/>
        <v>854.99999999999989</v>
      </c>
      <c r="N28" s="45">
        <f t="shared" si="61"/>
        <v>847.50000000000011</v>
      </c>
      <c r="O28" s="45">
        <f t="shared" si="61"/>
        <v>706.40000000000009</v>
      </c>
      <c r="P28" s="45">
        <f t="shared" si="61"/>
        <v>635.80000000000007</v>
      </c>
      <c r="Q28" s="46">
        <f>SUM(M28:P28)</f>
        <v>3044.7000000000003</v>
      </c>
      <c r="R28" s="45">
        <f t="shared" si="61"/>
        <v>703.5</v>
      </c>
      <c r="S28" s="45">
        <f>S12+S14+S16+S18+S20+S22+S24+S26</f>
        <v>731.8</v>
      </c>
      <c r="T28" s="45">
        <f t="shared" ref="T28:U28" si="62">T12+T14+T16+T18+T20+T22+T24+T26</f>
        <v>718.1</v>
      </c>
      <c r="U28" s="45">
        <f t="shared" si="62"/>
        <v>640.50000000000011</v>
      </c>
      <c r="V28" s="46">
        <f>SUM(R28:U28)</f>
        <v>2793.9</v>
      </c>
      <c r="W28" s="45">
        <f t="shared" ref="W28" si="63">W12+W14+W16+W18+W20+W22+W24+W26</f>
        <v>671</v>
      </c>
      <c r="X28" s="45">
        <f>X12+X14+X16+X18+X20+X22+X24+X26</f>
        <v>782.9</v>
      </c>
      <c r="Y28" s="45">
        <f t="shared" ref="Y28:Z28" si="64">Y12+Y14+Y16+Y18+Y20+Y22+Y24+Y26</f>
        <v>0</v>
      </c>
      <c r="Z28" s="45">
        <f t="shared" si="64"/>
        <v>0</v>
      </c>
      <c r="AA28" s="46">
        <f>SUM(W28:Z28)</f>
        <v>1453.9</v>
      </c>
    </row>
    <row r="30" spans="2:27" x14ac:dyDescent="0.25">
      <c r="B30" s="28"/>
      <c r="V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1054-77A7-4E46-B3E8-C8F9BB93DDDE}">
  <dimension ref="B3:AA32"/>
  <sheetViews>
    <sheetView showGridLines="0" workbookViewId="0">
      <pane xSplit="2" ySplit="3" topLeftCell="P4" activePane="bottomRight" state="frozen"/>
      <selection pane="topRight" activeCell="C1" sqref="C1"/>
      <selection pane="bottomLeft" activeCell="A4" sqref="A4"/>
      <selection pane="bottomRight" activeCell="X32" sqref="X32"/>
    </sheetView>
  </sheetViews>
  <sheetFormatPr baseColWidth="10" defaultRowHeight="16" x14ac:dyDescent="0.2"/>
  <cols>
    <col min="2" max="2" width="24.6640625" customWidth="1"/>
  </cols>
  <sheetData>
    <row r="3" spans="2:27" ht="19" x14ac:dyDescent="0.25">
      <c r="B3" s="2" t="s">
        <v>38</v>
      </c>
      <c r="C3" s="7" t="s">
        <v>3</v>
      </c>
      <c r="D3" s="7" t="s">
        <v>4</v>
      </c>
      <c r="E3" s="7" t="s">
        <v>5</v>
      </c>
      <c r="F3" s="7" t="s">
        <v>6</v>
      </c>
      <c r="G3" s="34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4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4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6">
        <v>2025</v>
      </c>
      <c r="W3" s="7" t="s">
        <v>154</v>
      </c>
      <c r="X3" s="7" t="s">
        <v>155</v>
      </c>
      <c r="Y3" s="7" t="s">
        <v>156</v>
      </c>
      <c r="Z3" s="7" t="s">
        <v>157</v>
      </c>
      <c r="AA3" s="36">
        <v>2026</v>
      </c>
    </row>
    <row r="4" spans="2:27" ht="19" x14ac:dyDescent="0.25">
      <c r="B4" s="1" t="s">
        <v>151</v>
      </c>
      <c r="C4" s="2"/>
      <c r="D4" s="2"/>
      <c r="E4" s="2"/>
      <c r="F4" s="2"/>
      <c r="G4" s="35"/>
      <c r="H4" s="2"/>
      <c r="I4" s="2"/>
      <c r="J4" s="2"/>
      <c r="K4" s="2"/>
      <c r="L4" s="35"/>
      <c r="M4" s="2"/>
      <c r="N4" s="2"/>
      <c r="O4" s="2"/>
      <c r="P4" s="2"/>
      <c r="Q4" s="35"/>
      <c r="R4" s="2"/>
      <c r="S4" s="2"/>
      <c r="T4" s="2"/>
      <c r="U4" s="2"/>
      <c r="V4" s="35"/>
      <c r="W4" s="2"/>
      <c r="X4" s="2"/>
      <c r="Y4" s="2"/>
      <c r="Z4" s="2"/>
      <c r="AA4" s="35"/>
    </row>
    <row r="5" spans="2:27" ht="19" x14ac:dyDescent="0.25">
      <c r="B5" s="2" t="s">
        <v>145</v>
      </c>
      <c r="C5" s="13">
        <v>168.9</v>
      </c>
      <c r="D5" s="13">
        <v>178.3</v>
      </c>
      <c r="E5" s="13">
        <v>180</v>
      </c>
      <c r="F5" s="13">
        <v>189.5</v>
      </c>
      <c r="G5" s="48">
        <f>SUM(C5:F5)</f>
        <v>716.7</v>
      </c>
      <c r="H5" s="13">
        <v>193.4</v>
      </c>
      <c r="I5" s="13">
        <v>191.9</v>
      </c>
      <c r="J5" s="13">
        <v>222.4</v>
      </c>
      <c r="K5" s="13">
        <v>242.7</v>
      </c>
      <c r="L5" s="48">
        <f>SUM(H5:K5)</f>
        <v>850.40000000000009</v>
      </c>
      <c r="M5" s="13">
        <v>241.7</v>
      </c>
      <c r="N5" s="13">
        <v>255.8</v>
      </c>
      <c r="O5" s="13">
        <v>225.9</v>
      </c>
      <c r="P5" s="13">
        <v>273.89999999999998</v>
      </c>
      <c r="Q5" s="48">
        <f>SUM(M5:P5)</f>
        <v>997.3</v>
      </c>
      <c r="R5" s="13">
        <v>214.5</v>
      </c>
      <c r="S5" s="13">
        <v>230.9</v>
      </c>
      <c r="T5" s="13">
        <v>279.5</v>
      </c>
      <c r="U5" s="13">
        <v>266.3</v>
      </c>
      <c r="V5" s="48">
        <f>SUM(R5:U5)</f>
        <v>991.2</v>
      </c>
      <c r="W5" s="13">
        <v>257.7</v>
      </c>
      <c r="X5" s="13">
        <v>285.2</v>
      </c>
      <c r="Y5" s="13"/>
      <c r="Z5" s="13"/>
      <c r="AA5" s="48">
        <f>SUM(W5:Z5)</f>
        <v>542.9</v>
      </c>
    </row>
    <row r="6" spans="2:27" x14ac:dyDescent="0.2">
      <c r="B6" s="28" t="s">
        <v>144</v>
      </c>
      <c r="C6" s="28"/>
      <c r="D6" s="28"/>
      <c r="E6" s="28"/>
      <c r="F6" s="28"/>
      <c r="G6" s="37"/>
      <c r="H6" s="29">
        <f t="shared" ref="H6:V6" si="0">(H5-C5)/C5</f>
        <v>0.14505624629958555</v>
      </c>
      <c r="I6" s="29">
        <f t="shared" si="0"/>
        <v>7.6275939427930414E-2</v>
      </c>
      <c r="J6" s="29">
        <f t="shared" si="0"/>
        <v>0.23555555555555557</v>
      </c>
      <c r="K6" s="29">
        <f t="shared" si="0"/>
        <v>0.28073878627968329</v>
      </c>
      <c r="L6" s="40">
        <f t="shared" si="0"/>
        <v>0.18654946281568305</v>
      </c>
      <c r="M6" s="29">
        <f t="shared" si="0"/>
        <v>0.24974146845915193</v>
      </c>
      <c r="N6" s="29">
        <f t="shared" si="0"/>
        <v>0.33298593017196459</v>
      </c>
      <c r="O6" s="29">
        <f t="shared" si="0"/>
        <v>1.5737410071942445E-2</v>
      </c>
      <c r="P6" s="29">
        <f t="shared" si="0"/>
        <v>0.12855377008652655</v>
      </c>
      <c r="Q6" s="40">
        <f t="shared" si="0"/>
        <v>0.172742238946378</v>
      </c>
      <c r="R6" s="29">
        <f t="shared" si="0"/>
        <v>-0.11253620190318572</v>
      </c>
      <c r="S6" s="29">
        <f t="shared" si="0"/>
        <v>-9.7341673182173585E-2</v>
      </c>
      <c r="T6" s="29">
        <f t="shared" si="0"/>
        <v>0.23727312970340855</v>
      </c>
      <c r="U6" s="29">
        <f t="shared" si="0"/>
        <v>-2.7747353048557747E-2</v>
      </c>
      <c r="V6" s="40">
        <f t="shared" si="0"/>
        <v>-6.1165145893912658E-3</v>
      </c>
      <c r="W6" s="29">
        <f t="shared" ref="W6" si="1">(W5-R5)/R5</f>
        <v>0.20139860139860136</v>
      </c>
      <c r="X6" s="29">
        <f t="shared" ref="X6" si="2">(X5-S5)/S5</f>
        <v>0.23516673884798606</v>
      </c>
      <c r="Y6" s="29">
        <f t="shared" ref="Y6" si="3">(Y5-T5)/T5</f>
        <v>-1</v>
      </c>
      <c r="Z6" s="29">
        <f t="shared" ref="Z6" si="4">(Z5-U5)/U5</f>
        <v>-1</v>
      </c>
      <c r="AA6" s="40">
        <f t="shared" ref="AA6" si="5">(AA5-V5)/V5</f>
        <v>-0.45228006456820019</v>
      </c>
    </row>
    <row r="7" spans="2:27" ht="19" x14ac:dyDescent="0.25">
      <c r="B7" s="2" t="s">
        <v>146</v>
      </c>
      <c r="C7" s="13">
        <v>31.3</v>
      </c>
      <c r="D7" s="13">
        <v>29.6</v>
      </c>
      <c r="E7" s="13">
        <v>24.8</v>
      </c>
      <c r="F7" s="13">
        <v>44.1</v>
      </c>
      <c r="G7" s="48">
        <f>SUM(C7:F7)</f>
        <v>129.80000000000001</v>
      </c>
      <c r="H7" s="13">
        <v>27.6</v>
      </c>
      <c r="I7" s="13">
        <v>36.200000000000003</v>
      </c>
      <c r="J7" s="13">
        <v>45</v>
      </c>
      <c r="K7" s="13">
        <v>38.200000000000003</v>
      </c>
      <c r="L7" s="48">
        <f>SUM(H7:K7)</f>
        <v>147</v>
      </c>
      <c r="M7" s="13">
        <v>39.5</v>
      </c>
      <c r="N7" s="13">
        <v>46</v>
      </c>
      <c r="O7" s="13">
        <v>32.200000000000003</v>
      </c>
      <c r="P7" s="13">
        <v>61.9</v>
      </c>
      <c r="Q7" s="48">
        <f>SUM(M7:P7)</f>
        <v>179.6</v>
      </c>
      <c r="R7" s="13">
        <v>21.2</v>
      </c>
      <c r="S7" s="13">
        <v>39.5</v>
      </c>
      <c r="T7" s="13">
        <v>41.1</v>
      </c>
      <c r="U7" s="13">
        <v>66.599999999999994</v>
      </c>
      <c r="V7" s="48">
        <f>SUM(R7:U7)</f>
        <v>168.4</v>
      </c>
      <c r="W7" s="13">
        <v>36.700000000000003</v>
      </c>
      <c r="X7" s="13">
        <v>26.2</v>
      </c>
      <c r="Y7" s="13"/>
      <c r="Z7" s="13"/>
      <c r="AA7" s="48">
        <f>SUM(W7:Z7)</f>
        <v>62.900000000000006</v>
      </c>
    </row>
    <row r="8" spans="2:27" ht="19" x14ac:dyDescent="0.25">
      <c r="B8" s="2" t="s">
        <v>147</v>
      </c>
      <c r="C8" s="13">
        <v>27.2</v>
      </c>
      <c r="D8" s="13">
        <v>25.6</v>
      </c>
      <c r="E8" s="13">
        <v>21.2</v>
      </c>
      <c r="F8" s="13">
        <v>39.799999999999997</v>
      </c>
      <c r="G8" s="48">
        <f>SUM(C8:F8)</f>
        <v>113.8</v>
      </c>
      <c r="H8" s="13">
        <v>22.5</v>
      </c>
      <c r="I8" s="13">
        <v>31.3</v>
      </c>
      <c r="J8" s="13">
        <v>40</v>
      </c>
      <c r="K8" s="13">
        <v>31.6</v>
      </c>
      <c r="L8" s="48">
        <f>SUM(H8:K8)</f>
        <v>125.4</v>
      </c>
      <c r="M8" s="13">
        <v>35.299999999999997</v>
      </c>
      <c r="N8" s="13">
        <v>39.6</v>
      </c>
      <c r="O8" s="13">
        <v>27.1</v>
      </c>
      <c r="P8" s="13">
        <v>54.9</v>
      </c>
      <c r="Q8" s="48">
        <f>SUM(M8:P8)</f>
        <v>156.9</v>
      </c>
      <c r="R8" s="13">
        <v>13.8</v>
      </c>
      <c r="S8" s="13">
        <v>32.6</v>
      </c>
      <c r="T8" s="13">
        <v>35.6</v>
      </c>
      <c r="U8" s="13">
        <v>58</v>
      </c>
      <c r="V8" s="48">
        <f>SUM(R8:U8)</f>
        <v>140</v>
      </c>
      <c r="W8" s="13">
        <v>28.9</v>
      </c>
      <c r="X8" s="13">
        <v>17.7</v>
      </c>
      <c r="Y8" s="13"/>
      <c r="Z8" s="13"/>
      <c r="AA8" s="48">
        <f>SUM(W8:Z8)</f>
        <v>46.599999999999994</v>
      </c>
    </row>
    <row r="9" spans="2:27" ht="19" x14ac:dyDescent="0.25">
      <c r="B9" s="10" t="s">
        <v>148</v>
      </c>
      <c r="C9" s="33">
        <v>0.161</v>
      </c>
      <c r="D9" s="33">
        <v>0.14399999999999999</v>
      </c>
      <c r="E9" s="33">
        <v>0.11799999999999999</v>
      </c>
      <c r="F9" s="33">
        <v>0.21</v>
      </c>
      <c r="G9" s="38">
        <f>G8/G5</f>
        <v>0.15878331240407423</v>
      </c>
      <c r="H9" s="33">
        <v>0.11600000000000001</v>
      </c>
      <c r="I9" s="33">
        <v>0.16300000000000001</v>
      </c>
      <c r="J9" s="33">
        <v>0.18</v>
      </c>
      <c r="K9" s="33">
        <v>0.13</v>
      </c>
      <c r="L9" s="38">
        <f>L8/L5</f>
        <v>0.14746001881467544</v>
      </c>
      <c r="M9" s="33">
        <v>0.14599999999999999</v>
      </c>
      <c r="N9" s="33">
        <v>0.155</v>
      </c>
      <c r="O9" s="33">
        <v>0.12</v>
      </c>
      <c r="P9" s="33">
        <v>0.2</v>
      </c>
      <c r="Q9" s="38">
        <f>Q8/Q5</f>
        <v>0.15732477689762359</v>
      </c>
      <c r="R9" s="33">
        <v>6.4000000000000001E-2</v>
      </c>
      <c r="S9" s="33">
        <v>0.14099999999999999</v>
      </c>
      <c r="T9" s="33">
        <v>0.127</v>
      </c>
      <c r="U9" s="33">
        <v>0.218</v>
      </c>
      <c r="V9" s="38">
        <f>V8/V5</f>
        <v>0.14124293785310735</v>
      </c>
      <c r="W9" s="33">
        <v>0.112</v>
      </c>
      <c r="X9" s="33">
        <v>6.2E-2</v>
      </c>
      <c r="Y9" s="33"/>
      <c r="Z9" s="33"/>
      <c r="AA9" s="38">
        <f>AA8/AA5</f>
        <v>8.5835328789832369E-2</v>
      </c>
    </row>
    <row r="10" spans="2:27" ht="19" x14ac:dyDescent="0.25">
      <c r="B10" s="2" t="s">
        <v>149</v>
      </c>
      <c r="C10" s="13">
        <v>25.8</v>
      </c>
      <c r="D10" s="13">
        <v>24.1</v>
      </c>
      <c r="E10" s="13">
        <v>20.5</v>
      </c>
      <c r="F10" s="13">
        <v>38.700000000000003</v>
      </c>
      <c r="G10" s="48">
        <f>SUM(C10:F10)</f>
        <v>109.10000000000001</v>
      </c>
      <c r="H10" s="13">
        <v>21.1</v>
      </c>
      <c r="I10" s="13">
        <v>29.9</v>
      </c>
      <c r="J10" s="13">
        <v>38.6</v>
      </c>
      <c r="K10" s="13">
        <v>30.1</v>
      </c>
      <c r="L10" s="48">
        <f>SUM(H10:K10)</f>
        <v>119.69999999999999</v>
      </c>
      <c r="M10" s="13">
        <v>34.200000000000003</v>
      </c>
      <c r="N10" s="13">
        <v>38.5</v>
      </c>
      <c r="O10" s="13">
        <v>26.1</v>
      </c>
      <c r="P10" s="13">
        <v>38.200000000000003</v>
      </c>
      <c r="Q10" s="48">
        <f>SUM(M10:P10)</f>
        <v>137</v>
      </c>
      <c r="R10" s="13">
        <v>9</v>
      </c>
      <c r="S10" s="13">
        <v>28.1</v>
      </c>
      <c r="T10" s="13">
        <v>31.1</v>
      </c>
      <c r="U10" s="13">
        <v>53.4</v>
      </c>
      <c r="V10" s="48">
        <f>SUM(R10:U10)</f>
        <v>121.6</v>
      </c>
      <c r="W10" s="13">
        <v>24.5</v>
      </c>
      <c r="X10" s="13">
        <v>13</v>
      </c>
      <c r="Y10" s="13"/>
      <c r="Z10" s="13"/>
      <c r="AA10" s="48">
        <f>SUM(W10:Z10)</f>
        <v>37.5</v>
      </c>
    </row>
    <row r="11" spans="2:27" ht="19" x14ac:dyDescent="0.25">
      <c r="B11" s="31" t="s">
        <v>44</v>
      </c>
      <c r="C11" s="32">
        <v>0.153</v>
      </c>
      <c r="D11" s="32">
        <v>0.13500000000000001</v>
      </c>
      <c r="E11" s="32">
        <v>0.114</v>
      </c>
      <c r="F11" s="32">
        <v>0.20399999999999999</v>
      </c>
      <c r="G11" s="39">
        <f>G10/G5</f>
        <v>0.15222547788474955</v>
      </c>
      <c r="H11" s="32">
        <v>0.109</v>
      </c>
      <c r="I11" s="32">
        <v>0.156</v>
      </c>
      <c r="J11" s="32">
        <v>0.17299999999999999</v>
      </c>
      <c r="K11" s="32">
        <v>0.124</v>
      </c>
      <c r="L11" s="39">
        <f>L10/L5</f>
        <v>0.14075729068673562</v>
      </c>
      <c r="M11" s="32">
        <v>0.14099999999999999</v>
      </c>
      <c r="N11" s="32">
        <v>0.15</v>
      </c>
      <c r="O11" s="32">
        <v>0.115</v>
      </c>
      <c r="P11" s="32">
        <v>0.14000000000000001</v>
      </c>
      <c r="Q11" s="39">
        <f>Q10/Q5</f>
        <v>0.13737090143387146</v>
      </c>
      <c r="R11" s="32">
        <v>4.2000000000000003E-2</v>
      </c>
      <c r="S11" s="32">
        <v>0.122</v>
      </c>
      <c r="T11" s="32">
        <v>0.111</v>
      </c>
      <c r="U11" s="32">
        <v>0.20100000000000001</v>
      </c>
      <c r="V11" s="39">
        <f>V10/V5</f>
        <v>0.12267958030669894</v>
      </c>
      <c r="W11" s="32">
        <v>9.5000000000000001E-2</v>
      </c>
      <c r="X11" s="32">
        <v>4.7E-2</v>
      </c>
      <c r="Y11" s="32"/>
      <c r="Z11" s="32"/>
      <c r="AA11" s="39">
        <f>AA10/AA5</f>
        <v>6.907349419782649E-2</v>
      </c>
    </row>
    <row r="12" spans="2:27" ht="19" x14ac:dyDescent="0.25">
      <c r="B12" s="2" t="s">
        <v>133</v>
      </c>
      <c r="C12" s="13">
        <v>0.9</v>
      </c>
      <c r="D12" s="13">
        <v>1.2</v>
      </c>
      <c r="E12" s="13">
        <v>1.1000000000000001</v>
      </c>
      <c r="F12" s="13">
        <v>0.9</v>
      </c>
      <c r="G12" s="48">
        <f>SUM(C12:F12)</f>
        <v>4.1000000000000005</v>
      </c>
      <c r="H12" s="13">
        <v>1</v>
      </c>
      <c r="I12" s="13">
        <v>1</v>
      </c>
      <c r="J12" s="13">
        <v>0.8</v>
      </c>
      <c r="K12" s="13">
        <v>1.3</v>
      </c>
      <c r="L12" s="48">
        <f>SUM(H12:K12)</f>
        <v>4.0999999999999996</v>
      </c>
      <c r="M12" s="13">
        <v>1.1000000000000001</v>
      </c>
      <c r="N12" s="13">
        <v>1.1000000000000001</v>
      </c>
      <c r="O12" s="13">
        <v>1.2</v>
      </c>
      <c r="P12" s="13">
        <v>1.5</v>
      </c>
      <c r="Q12" s="48">
        <f>SUM(M12:P12)</f>
        <v>4.9000000000000004</v>
      </c>
      <c r="R12" s="13">
        <v>1.3</v>
      </c>
      <c r="S12" s="13">
        <v>1.7</v>
      </c>
      <c r="T12" s="13">
        <v>1</v>
      </c>
      <c r="U12" s="13">
        <v>1.8</v>
      </c>
      <c r="V12" s="48">
        <f>SUM(R12:U12)</f>
        <v>5.8</v>
      </c>
      <c r="W12" s="13">
        <v>1.3</v>
      </c>
      <c r="X12" s="13">
        <v>2.1</v>
      </c>
      <c r="Y12" s="13"/>
      <c r="Z12" s="13"/>
      <c r="AA12" s="48">
        <f>SUM(W12:Z12)</f>
        <v>3.4000000000000004</v>
      </c>
    </row>
    <row r="13" spans="2:27" x14ac:dyDescent="0.2">
      <c r="B13" s="28" t="s">
        <v>144</v>
      </c>
      <c r="C13" s="28"/>
      <c r="D13" s="28"/>
      <c r="E13" s="28"/>
      <c r="F13" s="28"/>
      <c r="G13" s="37"/>
      <c r="H13" s="29">
        <f>(H12-C12)/C12</f>
        <v>0.11111111111111108</v>
      </c>
      <c r="I13" s="29">
        <f>(I12-D12)/D12</f>
        <v>-0.16666666666666663</v>
      </c>
      <c r="J13" s="29">
        <f>(J12-E12)/E12</f>
        <v>-0.27272727272727276</v>
      </c>
      <c r="K13" s="29">
        <f>(K12-F12)/F12</f>
        <v>0.44444444444444448</v>
      </c>
      <c r="L13" s="40">
        <f t="shared" ref="L13" si="6">(L12-G12)/G12</f>
        <v>-2.1662888285368905E-16</v>
      </c>
      <c r="M13" s="29">
        <f>(M12-H12)/H12</f>
        <v>0.10000000000000009</v>
      </c>
      <c r="N13" s="29">
        <f>(N12-I12)/I12</f>
        <v>0.10000000000000009</v>
      </c>
      <c r="O13" s="29">
        <f>(O12-J12)/J12</f>
        <v>0.49999999999999989</v>
      </c>
      <c r="P13" s="29">
        <f>(P12-K12)/K12</f>
        <v>0.1538461538461538</v>
      </c>
      <c r="Q13" s="40">
        <f t="shared" ref="Q13" si="7">(Q12-L12)/L12</f>
        <v>0.1951219512195124</v>
      </c>
      <c r="R13" s="29">
        <f>(R12-M12)/M12</f>
        <v>0.18181818181818177</v>
      </c>
      <c r="S13" s="29">
        <f>(S12-N12)/N12</f>
        <v>0.5454545454545453</v>
      </c>
      <c r="T13" s="29">
        <f>(T12-O12)/O12</f>
        <v>-0.16666666666666663</v>
      </c>
      <c r="U13" s="29">
        <f>(U12-P12)/P12</f>
        <v>0.20000000000000004</v>
      </c>
      <c r="V13" s="40">
        <f t="shared" ref="V13" si="8">(V12-Q12)/Q12</f>
        <v>0.18367346938775497</v>
      </c>
      <c r="W13" s="29">
        <f>(W12-R12)/R12</f>
        <v>0</v>
      </c>
      <c r="X13" s="29">
        <f>(X12-S12)/S12</f>
        <v>0.2352941176470589</v>
      </c>
      <c r="Y13" s="29">
        <f>(Y12-T12)/T12</f>
        <v>-1</v>
      </c>
      <c r="Z13" s="29">
        <f>(Z12-U12)/U12</f>
        <v>-1</v>
      </c>
      <c r="AA13" s="40">
        <f t="shared" ref="AA13" si="9">(AA12-V12)/V12</f>
        <v>-0.4137931034482758</v>
      </c>
    </row>
    <row r="14" spans="2:27" ht="19" x14ac:dyDescent="0.25">
      <c r="B14" s="2" t="s">
        <v>134</v>
      </c>
      <c r="C14" s="13">
        <v>0.7</v>
      </c>
      <c r="D14" s="13">
        <v>0.7</v>
      </c>
      <c r="E14" s="13">
        <v>0.9</v>
      </c>
      <c r="F14" s="13">
        <v>0.9</v>
      </c>
      <c r="G14" s="48">
        <f>SUM(C14:F14)</f>
        <v>3.1999999999999997</v>
      </c>
      <c r="H14" s="13">
        <v>1.5</v>
      </c>
      <c r="I14" s="13">
        <v>0.8</v>
      </c>
      <c r="J14" s="13">
        <v>1.1000000000000001</v>
      </c>
      <c r="K14" s="13">
        <v>1.3</v>
      </c>
      <c r="L14" s="48">
        <f>SUM(H14:K14)</f>
        <v>4.7</v>
      </c>
      <c r="M14" s="13">
        <v>1.3</v>
      </c>
      <c r="N14" s="13">
        <v>0.9</v>
      </c>
      <c r="O14" s="13">
        <v>1.3</v>
      </c>
      <c r="P14" s="13">
        <v>1</v>
      </c>
      <c r="Q14" s="48">
        <f>SUM(M14:P14)</f>
        <v>4.5</v>
      </c>
      <c r="R14" s="13">
        <v>0.9</v>
      </c>
      <c r="S14" s="13">
        <v>0.2</v>
      </c>
      <c r="T14" s="13">
        <v>3</v>
      </c>
      <c r="U14" s="13">
        <v>1.7</v>
      </c>
      <c r="V14" s="48">
        <f>SUM(R14:U14)</f>
        <v>5.8</v>
      </c>
      <c r="W14" s="13">
        <v>2.6</v>
      </c>
      <c r="X14" s="13">
        <v>1.8</v>
      </c>
      <c r="Y14" s="13"/>
      <c r="Z14" s="13"/>
      <c r="AA14" s="48">
        <f>SUM(W14:Z14)</f>
        <v>4.4000000000000004</v>
      </c>
    </row>
    <row r="15" spans="2:27" x14ac:dyDescent="0.2">
      <c r="B15" s="28" t="s">
        <v>144</v>
      </c>
      <c r="C15" s="28"/>
      <c r="D15" s="28"/>
      <c r="E15" s="28"/>
      <c r="F15" s="28"/>
      <c r="G15" s="37"/>
      <c r="H15" s="29">
        <f>(H14-C14)/C14</f>
        <v>1.142857142857143</v>
      </c>
      <c r="I15" s="29">
        <f>(I14-D14)/D14</f>
        <v>0.14285714285714299</v>
      </c>
      <c r="J15" s="29">
        <f>(J14-E14)/E14</f>
        <v>0.22222222222222229</v>
      </c>
      <c r="K15" s="29">
        <f>(K14-F14)/F14</f>
        <v>0.44444444444444448</v>
      </c>
      <c r="L15" s="40">
        <f t="shared" ref="L15" si="10">(L14-G14)/G14</f>
        <v>0.46875000000000017</v>
      </c>
      <c r="M15" s="29">
        <f>(M14-H14)/H14</f>
        <v>-0.1333333333333333</v>
      </c>
      <c r="N15" s="29">
        <f>(N14-I14)/I14</f>
        <v>0.12499999999999997</v>
      </c>
      <c r="O15" s="29">
        <f>(O14-J14)/J14</f>
        <v>0.18181818181818177</v>
      </c>
      <c r="P15" s="29">
        <f>(P14-K14)/K14</f>
        <v>-0.23076923076923078</v>
      </c>
      <c r="Q15" s="40">
        <f t="shared" ref="Q15" si="11">(Q14-L14)/L14</f>
        <v>-4.2553191489361736E-2</v>
      </c>
      <c r="R15" s="29">
        <f>(R14-M14)/M14</f>
        <v>-0.30769230769230771</v>
      </c>
      <c r="S15" s="29">
        <f>(S14-N14)/N14</f>
        <v>-0.77777777777777768</v>
      </c>
      <c r="T15" s="29">
        <f>(T14-O14)/O14</f>
        <v>1.3076923076923077</v>
      </c>
      <c r="U15" s="29">
        <f>(U14-P14)/P14</f>
        <v>0.7</v>
      </c>
      <c r="V15" s="40">
        <f t="shared" ref="V15" si="12">(V14-Q14)/Q14</f>
        <v>0.28888888888888886</v>
      </c>
      <c r="W15" s="29">
        <f>(W14-R14)/R14</f>
        <v>1.8888888888888891</v>
      </c>
      <c r="X15" s="29">
        <f>(X14-S14)/S14</f>
        <v>8</v>
      </c>
      <c r="Y15" s="29">
        <f>(Y14-T14)/T14</f>
        <v>-1</v>
      </c>
      <c r="Z15" s="29">
        <f>(Z14-U14)/U14</f>
        <v>-1</v>
      </c>
      <c r="AA15" s="40">
        <f t="shared" ref="AA15" si="13">(AA14-V14)/V14</f>
        <v>-0.24137931034482751</v>
      </c>
    </row>
    <row r="16" spans="2:27" ht="19" x14ac:dyDescent="0.25">
      <c r="B16" s="2" t="s">
        <v>135</v>
      </c>
      <c r="C16" s="13">
        <v>50.7</v>
      </c>
      <c r="D16" s="13">
        <v>46.6</v>
      </c>
      <c r="E16" s="13">
        <v>46.3</v>
      </c>
      <c r="F16" s="13">
        <v>46.5</v>
      </c>
      <c r="G16" s="48">
        <f>SUM(C16:F16)</f>
        <v>190.10000000000002</v>
      </c>
      <c r="H16" s="13">
        <v>51.8</v>
      </c>
      <c r="I16" s="13">
        <v>49.3</v>
      </c>
      <c r="J16" s="13">
        <v>48.8</v>
      </c>
      <c r="K16" s="13">
        <v>49.2</v>
      </c>
      <c r="L16" s="48">
        <f>SUM(H16:K16)</f>
        <v>199.09999999999997</v>
      </c>
      <c r="M16" s="13">
        <v>55.9</v>
      </c>
      <c r="N16" s="13">
        <v>48.7</v>
      </c>
      <c r="O16" s="13">
        <v>42.5</v>
      </c>
      <c r="P16" s="13">
        <v>52.7</v>
      </c>
      <c r="Q16" s="48">
        <f>SUM(M16:P16)</f>
        <v>199.8</v>
      </c>
      <c r="R16" s="13">
        <v>46.4</v>
      </c>
      <c r="S16" s="13">
        <v>43.4</v>
      </c>
      <c r="T16" s="13">
        <v>56.4</v>
      </c>
      <c r="U16" s="13">
        <v>45.7</v>
      </c>
      <c r="V16" s="48">
        <f>SUM(R16:U16)</f>
        <v>191.89999999999998</v>
      </c>
      <c r="W16" s="13">
        <v>60.9</v>
      </c>
      <c r="X16" s="13">
        <v>62.8</v>
      </c>
      <c r="Y16" s="13"/>
      <c r="Z16" s="13"/>
      <c r="AA16" s="48">
        <f>SUM(W16:Z16)</f>
        <v>123.69999999999999</v>
      </c>
    </row>
    <row r="17" spans="2:27" x14ac:dyDescent="0.2">
      <c r="B17" s="28" t="s">
        <v>144</v>
      </c>
      <c r="C17" s="28"/>
      <c r="D17" s="28"/>
      <c r="E17" s="28"/>
      <c r="F17" s="28"/>
      <c r="G17" s="37"/>
      <c r="H17" s="29">
        <f t="shared" ref="H17:L17" si="14">(H16-C16)/C16</f>
        <v>2.169625246548312E-2</v>
      </c>
      <c r="I17" s="29">
        <f t="shared" si="14"/>
        <v>5.7939914163090037E-2</v>
      </c>
      <c r="J17" s="29">
        <f t="shared" si="14"/>
        <v>5.399568034557236E-2</v>
      </c>
      <c r="K17" s="29">
        <f t="shared" si="14"/>
        <v>5.8064516129032316E-2</v>
      </c>
      <c r="L17" s="40">
        <f t="shared" si="14"/>
        <v>4.7343503419252718E-2</v>
      </c>
      <c r="M17" s="29">
        <f t="shared" ref="M17:Q17" si="15">(M16-H16)/H16</f>
        <v>7.9150579150579187E-2</v>
      </c>
      <c r="N17" s="29">
        <f t="shared" si="15"/>
        <v>-1.2170385395537411E-2</v>
      </c>
      <c r="O17" s="29">
        <f t="shared" si="15"/>
        <v>-0.12909836065573765</v>
      </c>
      <c r="P17" s="29">
        <f t="shared" si="15"/>
        <v>7.113821138211382E-2</v>
      </c>
      <c r="Q17" s="40">
        <f t="shared" si="15"/>
        <v>3.5158211953794354E-3</v>
      </c>
      <c r="R17" s="29">
        <f t="shared" ref="R17" si="16">(R16-M16)/M16</f>
        <v>-0.16994633273703041</v>
      </c>
      <c r="S17" s="29">
        <f>(S16-N16)/N16</f>
        <v>-0.10882956878850111</v>
      </c>
      <c r="T17" s="29">
        <f t="shared" ref="T17:V17" si="17">(T16-O16)/O16</f>
        <v>0.32705882352941174</v>
      </c>
      <c r="U17" s="29">
        <f t="shared" si="17"/>
        <v>-0.13282732447817835</v>
      </c>
      <c r="V17" s="40">
        <f t="shared" si="17"/>
        <v>-3.953953953953971E-2</v>
      </c>
      <c r="W17" s="29">
        <f t="shared" ref="W17" si="18">(W16-R16)/R16</f>
        <v>0.3125</v>
      </c>
      <c r="X17" s="29">
        <f>(X16-S16)/S16</f>
        <v>0.44700460829493088</v>
      </c>
      <c r="Y17" s="29">
        <f t="shared" ref="Y17" si="19">(Y16-T16)/T16</f>
        <v>-1</v>
      </c>
      <c r="Z17" s="29">
        <f t="shared" ref="Z17" si="20">(Z16-U16)/U16</f>
        <v>-1</v>
      </c>
      <c r="AA17" s="40">
        <f t="shared" ref="AA17" si="21">(AA16-V16)/V16</f>
        <v>-0.35539343408025009</v>
      </c>
    </row>
    <row r="18" spans="2:27" ht="19" x14ac:dyDescent="0.25">
      <c r="B18" s="2" t="s">
        <v>136</v>
      </c>
      <c r="C18" s="13">
        <v>17.7</v>
      </c>
      <c r="D18" s="13">
        <v>19.100000000000001</v>
      </c>
      <c r="E18" s="13">
        <v>17.7</v>
      </c>
      <c r="F18" s="13">
        <v>27.8</v>
      </c>
      <c r="G18" s="48">
        <f>SUM(C18:F18)</f>
        <v>82.3</v>
      </c>
      <c r="H18" s="13">
        <v>21.9</v>
      </c>
      <c r="I18" s="13">
        <v>24.7</v>
      </c>
      <c r="J18" s="13">
        <v>38.4</v>
      </c>
      <c r="K18" s="13">
        <v>46.5</v>
      </c>
      <c r="L18" s="48">
        <f>SUM(H18:K18)</f>
        <v>131.5</v>
      </c>
      <c r="M18" s="13">
        <v>33.9</v>
      </c>
      <c r="N18" s="13">
        <v>43.9</v>
      </c>
      <c r="O18" s="13">
        <v>17.399999999999999</v>
      </c>
      <c r="P18" s="13">
        <v>36.799999999999997</v>
      </c>
      <c r="Q18" s="48">
        <f>SUM(M18:P18)</f>
        <v>132</v>
      </c>
      <c r="R18" s="13">
        <v>21.8</v>
      </c>
      <c r="S18" s="13">
        <v>26.9</v>
      </c>
      <c r="T18" s="13">
        <v>21.3</v>
      </c>
      <c r="U18" s="13">
        <v>29</v>
      </c>
      <c r="V18" s="48">
        <f>SUM(R18:U18)</f>
        <v>99</v>
      </c>
      <c r="W18" s="13">
        <v>26.9</v>
      </c>
      <c r="X18" s="13">
        <v>34.799999999999997</v>
      </c>
      <c r="Y18" s="13"/>
      <c r="Z18" s="13"/>
      <c r="AA18" s="48">
        <f>SUM(W18:Z18)</f>
        <v>61.699999999999996</v>
      </c>
    </row>
    <row r="19" spans="2:27" x14ac:dyDescent="0.2">
      <c r="B19" s="28" t="s">
        <v>144</v>
      </c>
      <c r="C19" s="28"/>
      <c r="D19" s="28"/>
      <c r="E19" s="28"/>
      <c r="F19" s="28"/>
      <c r="G19" s="37"/>
      <c r="H19" s="29">
        <f t="shared" ref="H19:L19" si="22">(H18-C18)/C18</f>
        <v>0.23728813559322032</v>
      </c>
      <c r="I19" s="29">
        <f t="shared" si="22"/>
        <v>0.29319371727748678</v>
      </c>
      <c r="J19" s="29">
        <f t="shared" si="22"/>
        <v>1.1694915254237288</v>
      </c>
      <c r="K19" s="29">
        <f t="shared" si="22"/>
        <v>0.67266187050359705</v>
      </c>
      <c r="L19" s="40">
        <f t="shared" si="22"/>
        <v>0.59781287970838404</v>
      </c>
      <c r="M19" s="29">
        <f t="shared" ref="M19:Q19" si="23">(M18-H18)/H18</f>
        <v>0.54794520547945214</v>
      </c>
      <c r="N19" s="29">
        <f t="shared" si="23"/>
        <v>0.77732793522267207</v>
      </c>
      <c r="O19" s="29">
        <f t="shared" si="23"/>
        <v>-0.546875</v>
      </c>
      <c r="P19" s="29">
        <f t="shared" si="23"/>
        <v>-0.20860215053763448</v>
      </c>
      <c r="Q19" s="40">
        <f t="shared" si="23"/>
        <v>3.8022813688212928E-3</v>
      </c>
      <c r="R19" s="29">
        <f t="shared" ref="R19" si="24">(R18-M18)/M18</f>
        <v>-0.35693215339233031</v>
      </c>
      <c r="S19" s="29">
        <f>(S18-N18)/N18</f>
        <v>-0.38724373576309795</v>
      </c>
      <c r="T19" s="29">
        <f t="shared" ref="T19:V19" si="25">(T18-O18)/O18</f>
        <v>0.2241379310344829</v>
      </c>
      <c r="U19" s="29">
        <f t="shared" si="25"/>
        <v>-0.21195652173913038</v>
      </c>
      <c r="V19" s="40">
        <f t="shared" si="25"/>
        <v>-0.25</v>
      </c>
      <c r="W19" s="29">
        <f t="shared" ref="W19" si="26">(W18-R18)/R18</f>
        <v>0.23394495412844027</v>
      </c>
      <c r="X19" s="29">
        <f>(X18-S18)/S18</f>
        <v>0.29368029739776946</v>
      </c>
      <c r="Y19" s="29">
        <f t="shared" ref="Y19" si="27">(Y18-T18)/T18</f>
        <v>-1</v>
      </c>
      <c r="Z19" s="29">
        <f t="shared" ref="Z19" si="28">(Z18-U18)/U18</f>
        <v>-1</v>
      </c>
      <c r="AA19" s="40">
        <f t="shared" ref="AA19" si="29">(AA18-V18)/V18</f>
        <v>-0.37676767676767681</v>
      </c>
    </row>
    <row r="20" spans="2:27" ht="19" x14ac:dyDescent="0.25">
      <c r="B20" s="2" t="s">
        <v>137</v>
      </c>
      <c r="C20" s="13">
        <v>49.9</v>
      </c>
      <c r="D20" s="13">
        <v>47.9</v>
      </c>
      <c r="E20" s="13">
        <v>48.6</v>
      </c>
      <c r="F20" s="13">
        <v>42</v>
      </c>
      <c r="G20" s="48">
        <f>SUM(C20:F20)</f>
        <v>188.4</v>
      </c>
      <c r="H20" s="13">
        <v>53.2</v>
      </c>
      <c r="I20" s="13">
        <v>48.9</v>
      </c>
      <c r="J20" s="13">
        <v>51.8</v>
      </c>
      <c r="K20" s="13">
        <v>49</v>
      </c>
      <c r="L20" s="48">
        <f>SUM(H20:K20)</f>
        <v>202.89999999999998</v>
      </c>
      <c r="M20" s="13">
        <v>48.6</v>
      </c>
      <c r="N20" s="13">
        <v>51.7</v>
      </c>
      <c r="O20" s="13">
        <v>51.5</v>
      </c>
      <c r="P20" s="13">
        <v>70.5</v>
      </c>
      <c r="Q20" s="48">
        <f>SUM(M20:P20)</f>
        <v>222.3</v>
      </c>
      <c r="R20" s="13">
        <v>48.4</v>
      </c>
      <c r="S20" s="13">
        <v>57.6</v>
      </c>
      <c r="T20" s="13">
        <v>66.099999999999994</v>
      </c>
      <c r="U20" s="13">
        <v>63.9</v>
      </c>
      <c r="V20" s="48">
        <f>SUM(R20:U20)</f>
        <v>236</v>
      </c>
      <c r="W20" s="13">
        <v>55.7</v>
      </c>
      <c r="X20" s="13">
        <v>63.6</v>
      </c>
      <c r="Y20" s="13"/>
      <c r="Z20" s="13"/>
      <c r="AA20" s="48">
        <f>SUM(W20:Z20)</f>
        <v>119.30000000000001</v>
      </c>
    </row>
    <row r="21" spans="2:27" x14ac:dyDescent="0.2">
      <c r="B21" s="28" t="s">
        <v>144</v>
      </c>
      <c r="C21" s="28"/>
      <c r="D21" s="28"/>
      <c r="E21" s="28"/>
      <c r="F21" s="28"/>
      <c r="G21" s="37"/>
      <c r="H21" s="29">
        <f t="shared" ref="H21:L21" si="30">(H20-C20)/C20</f>
        <v>6.613226452905821E-2</v>
      </c>
      <c r="I21" s="29">
        <f t="shared" si="30"/>
        <v>2.0876826722338204E-2</v>
      </c>
      <c r="J21" s="29">
        <f t="shared" si="30"/>
        <v>6.5843621399176863E-2</v>
      </c>
      <c r="K21" s="29">
        <f t="shared" si="30"/>
        <v>0.16666666666666666</v>
      </c>
      <c r="L21" s="40">
        <f t="shared" si="30"/>
        <v>7.6963906581740821E-2</v>
      </c>
      <c r="M21" s="29">
        <f t="shared" ref="M21:Q21" si="31">(M20-H20)/H20</f>
        <v>-8.6466165413533858E-2</v>
      </c>
      <c r="N21" s="29">
        <f t="shared" si="31"/>
        <v>5.7259713701431583E-2</v>
      </c>
      <c r="O21" s="29">
        <f t="shared" si="31"/>
        <v>-5.7915057915057366E-3</v>
      </c>
      <c r="P21" s="29">
        <f t="shared" si="31"/>
        <v>0.43877551020408162</v>
      </c>
      <c r="Q21" s="40">
        <f t="shared" si="31"/>
        <v>9.5613602759980459E-2</v>
      </c>
      <c r="R21" s="29">
        <f t="shared" ref="R21" si="32">(R20-M20)/M20</f>
        <v>-4.1152263374486181E-3</v>
      </c>
      <c r="S21" s="29">
        <f>(S20-N20)/N20</f>
        <v>0.11411992263056089</v>
      </c>
      <c r="T21" s="29">
        <f t="shared" ref="T21:V21" si="33">(T20-O20)/O20</f>
        <v>0.28349514563106787</v>
      </c>
      <c r="U21" s="29">
        <f t="shared" si="33"/>
        <v>-9.3617021276595769E-2</v>
      </c>
      <c r="V21" s="40">
        <f t="shared" si="33"/>
        <v>6.1628430049482624E-2</v>
      </c>
      <c r="W21" s="29">
        <f t="shared" ref="W21" si="34">(W20-R20)/R20</f>
        <v>0.15082644628099182</v>
      </c>
      <c r="X21" s="29">
        <f>(X20-S20)/S20</f>
        <v>0.10416666666666666</v>
      </c>
      <c r="Y21" s="29">
        <f t="shared" ref="Y21" si="35">(Y20-T20)/T20</f>
        <v>-1</v>
      </c>
      <c r="Z21" s="29">
        <f t="shared" ref="Z21" si="36">(Z20-U20)/U20</f>
        <v>-1</v>
      </c>
      <c r="AA21" s="40">
        <f t="shared" ref="AA21" si="37">(AA20-V20)/V20</f>
        <v>-0.49449152542372876</v>
      </c>
    </row>
    <row r="22" spans="2:27" ht="19" x14ac:dyDescent="0.25">
      <c r="B22" s="2" t="s">
        <v>138</v>
      </c>
      <c r="C22" s="13">
        <v>1.4</v>
      </c>
      <c r="D22" s="13">
        <v>1.1000000000000001</v>
      </c>
      <c r="E22" s="13">
        <v>1.3</v>
      </c>
      <c r="F22" s="13">
        <v>1.9</v>
      </c>
      <c r="G22" s="48">
        <f>SUM(C22:F22)</f>
        <v>5.6999999999999993</v>
      </c>
      <c r="H22" s="13">
        <v>2.7</v>
      </c>
      <c r="I22" s="13">
        <v>2.2000000000000002</v>
      </c>
      <c r="J22" s="13">
        <v>2.2999999999999998</v>
      </c>
      <c r="K22" s="13">
        <v>2.2999999999999998</v>
      </c>
      <c r="L22" s="48">
        <f>SUM(H22:K22)</f>
        <v>9.5</v>
      </c>
      <c r="M22" s="13">
        <v>1.4</v>
      </c>
      <c r="N22" s="13">
        <v>1.8</v>
      </c>
      <c r="O22" s="13">
        <v>2.2000000000000002</v>
      </c>
      <c r="P22" s="13">
        <v>2.4</v>
      </c>
      <c r="Q22" s="48">
        <f>SUM(M22:P22)</f>
        <v>7.8000000000000007</v>
      </c>
      <c r="R22" s="13">
        <v>2.2999999999999998</v>
      </c>
      <c r="S22" s="13">
        <v>2.8</v>
      </c>
      <c r="T22" s="11">
        <v>1.6</v>
      </c>
      <c r="U22" s="11">
        <v>5.7</v>
      </c>
      <c r="V22" s="48">
        <f>SUM(R22:U22)</f>
        <v>12.399999999999999</v>
      </c>
      <c r="W22" s="13">
        <v>1.7</v>
      </c>
      <c r="X22" s="13">
        <v>4.0999999999999996</v>
      </c>
      <c r="Y22" s="11"/>
      <c r="Z22" s="11"/>
      <c r="AA22" s="48">
        <f>SUM(W22:Z22)</f>
        <v>5.8</v>
      </c>
    </row>
    <row r="23" spans="2:27" ht="19" x14ac:dyDescent="0.25">
      <c r="B23" s="28" t="s">
        <v>144</v>
      </c>
      <c r="C23" s="28"/>
      <c r="D23" s="28"/>
      <c r="E23" s="28"/>
      <c r="F23" s="28"/>
      <c r="G23" s="36"/>
      <c r="H23" s="29">
        <f t="shared" ref="H23:L23" si="38">(H22-C22)/C22</f>
        <v>0.92857142857142883</v>
      </c>
      <c r="I23" s="29">
        <f t="shared" si="38"/>
        <v>1</v>
      </c>
      <c r="J23" s="29">
        <f t="shared" si="38"/>
        <v>0.76923076923076905</v>
      </c>
      <c r="K23" s="29">
        <f t="shared" si="38"/>
        <v>0.21052631578947364</v>
      </c>
      <c r="L23" s="40">
        <f t="shared" si="38"/>
        <v>0.66666666666666685</v>
      </c>
      <c r="M23" s="29">
        <f t="shared" ref="M23:Q23" si="39">(M22-H22)/H22</f>
        <v>-0.48148148148148157</v>
      </c>
      <c r="N23" s="29">
        <f t="shared" si="39"/>
        <v>-0.18181818181818185</v>
      </c>
      <c r="O23" s="29">
        <f t="shared" si="39"/>
        <v>-4.3478260869565064E-2</v>
      </c>
      <c r="P23" s="29">
        <f t="shared" si="39"/>
        <v>4.3478260869565258E-2</v>
      </c>
      <c r="Q23" s="40">
        <f t="shared" si="39"/>
        <v>-0.17894736842105255</v>
      </c>
      <c r="R23" s="29">
        <f t="shared" ref="R23" si="40">(R22-M22)/M22</f>
        <v>0.64285714285714279</v>
      </c>
      <c r="S23" s="29">
        <f>(S22-N22)/N22</f>
        <v>0.55555555555555547</v>
      </c>
      <c r="T23" s="29">
        <f t="shared" ref="T23:V23" si="41">(T22-O22)/O22</f>
        <v>-0.27272727272727276</v>
      </c>
      <c r="U23" s="29">
        <f t="shared" si="41"/>
        <v>1.3750000000000002</v>
      </c>
      <c r="V23" s="40">
        <f t="shared" si="41"/>
        <v>0.58974358974358942</v>
      </c>
      <c r="W23" s="29">
        <f t="shared" ref="W23" si="42">(W22-R22)/R22</f>
        <v>-0.26086956521739124</v>
      </c>
      <c r="X23" s="29">
        <f>(X22-S22)/S22</f>
        <v>0.46428571428571425</v>
      </c>
      <c r="Y23" s="29">
        <f t="shared" ref="Y23" si="43">(Y22-T22)/T22</f>
        <v>-1</v>
      </c>
      <c r="Z23" s="29">
        <f t="shared" ref="Z23" si="44">(Z22-U22)/U22</f>
        <v>-1</v>
      </c>
      <c r="AA23" s="40">
        <f t="shared" ref="AA23" si="45">(AA22-V22)/V22</f>
        <v>-0.532258064516129</v>
      </c>
    </row>
    <row r="24" spans="2:27" ht="19" x14ac:dyDescent="0.25">
      <c r="B24" s="2" t="s">
        <v>139</v>
      </c>
      <c r="C24" s="13">
        <v>21.1</v>
      </c>
      <c r="D24" s="13">
        <v>30.7</v>
      </c>
      <c r="E24" s="13">
        <v>28.4</v>
      </c>
      <c r="F24" s="13">
        <v>26.1</v>
      </c>
      <c r="G24" s="48">
        <f>SUM(C24:F24)</f>
        <v>106.29999999999998</v>
      </c>
      <c r="H24" s="13">
        <v>27.3</v>
      </c>
      <c r="I24" s="13">
        <v>35.9</v>
      </c>
      <c r="J24" s="13">
        <v>38.299999999999997</v>
      </c>
      <c r="K24" s="13">
        <v>35.299999999999997</v>
      </c>
      <c r="L24" s="48">
        <f>SUM(H24:K24)</f>
        <v>136.80000000000001</v>
      </c>
      <c r="M24" s="13">
        <v>31.1</v>
      </c>
      <c r="N24" s="13">
        <v>33.799999999999997</v>
      </c>
      <c r="O24" s="13">
        <v>32.200000000000003</v>
      </c>
      <c r="P24" s="13">
        <v>26</v>
      </c>
      <c r="Q24" s="48">
        <f>SUM(M24:P24)</f>
        <v>123.10000000000001</v>
      </c>
      <c r="R24" s="13">
        <v>28.7</v>
      </c>
      <c r="S24" s="13">
        <v>33.799999999999997</v>
      </c>
      <c r="T24" s="13">
        <v>34.4</v>
      </c>
      <c r="U24" s="13">
        <v>31.4</v>
      </c>
      <c r="V24" s="48">
        <f>SUM(R24:U24)</f>
        <v>128.30000000000001</v>
      </c>
      <c r="W24" s="13">
        <v>28.1</v>
      </c>
      <c r="X24" s="13">
        <v>33.799999999999997</v>
      </c>
      <c r="Y24" s="13"/>
      <c r="Z24" s="13"/>
      <c r="AA24" s="48">
        <f>SUM(W24:Z24)</f>
        <v>61.9</v>
      </c>
    </row>
    <row r="25" spans="2:27" x14ac:dyDescent="0.2">
      <c r="B25" s="28" t="s">
        <v>144</v>
      </c>
      <c r="C25" s="28"/>
      <c r="D25" s="28"/>
      <c r="E25" s="28"/>
      <c r="F25" s="28"/>
      <c r="G25" s="37"/>
      <c r="H25" s="29">
        <f t="shared" ref="H25:L25" si="46">(H24-C24)/C24</f>
        <v>0.29383886255924163</v>
      </c>
      <c r="I25" s="29">
        <f t="shared" si="46"/>
        <v>0.16938110749185667</v>
      </c>
      <c r="J25" s="29">
        <f t="shared" si="46"/>
        <v>0.34859154929577463</v>
      </c>
      <c r="K25" s="29">
        <f t="shared" si="46"/>
        <v>0.35249042145593851</v>
      </c>
      <c r="L25" s="40">
        <f t="shared" si="46"/>
        <v>0.28692380056444056</v>
      </c>
      <c r="M25" s="29">
        <f t="shared" ref="M25:Q25" si="47">(M24-H24)/H24</f>
        <v>0.13919413919413923</v>
      </c>
      <c r="N25" s="29">
        <f t="shared" si="47"/>
        <v>-5.8495821727019538E-2</v>
      </c>
      <c r="O25" s="29">
        <f t="shared" si="47"/>
        <v>-0.1592689295039163</v>
      </c>
      <c r="P25" s="29">
        <f t="shared" si="47"/>
        <v>-0.26345609065155801</v>
      </c>
      <c r="Q25" s="40">
        <f t="shared" si="47"/>
        <v>-0.10014619883040937</v>
      </c>
      <c r="R25" s="29">
        <f t="shared" ref="R25" si="48">(R24-M24)/M24</f>
        <v>-7.717041800643093E-2</v>
      </c>
      <c r="S25" s="29">
        <f>(S24-N24)/N24</f>
        <v>0</v>
      </c>
      <c r="T25" s="29">
        <f t="shared" ref="T25:V25" si="49">(T24-O24)/O24</f>
        <v>6.8322981366459493E-2</v>
      </c>
      <c r="U25" s="29">
        <f t="shared" si="49"/>
        <v>0.20769230769230765</v>
      </c>
      <c r="V25" s="40">
        <f t="shared" si="49"/>
        <v>4.2242079610073133E-2</v>
      </c>
      <c r="W25" s="29">
        <f t="shared" ref="W25" si="50">(W24-R24)/R24</f>
        <v>-2.0905923344947661E-2</v>
      </c>
      <c r="X25" s="29">
        <f>(X24-S24)/S24</f>
        <v>0</v>
      </c>
      <c r="Y25" s="29">
        <f t="shared" ref="Y25" si="51">(Y24-T24)/T24</f>
        <v>-1</v>
      </c>
      <c r="Z25" s="29">
        <f t="shared" ref="Z25" si="52">(Z24-U24)/U24</f>
        <v>-1</v>
      </c>
      <c r="AA25" s="40">
        <f t="shared" ref="AA25" si="53">(AA24-V24)/V24</f>
        <v>-0.51753702260327361</v>
      </c>
    </row>
    <row r="26" spans="2:27" ht="19" x14ac:dyDescent="0.25">
      <c r="B26" s="2" t="s">
        <v>140</v>
      </c>
      <c r="C26" s="13">
        <v>5.4</v>
      </c>
      <c r="D26" s="13">
        <v>4.0999999999999996</v>
      </c>
      <c r="E26" s="13">
        <v>3.4</v>
      </c>
      <c r="F26" s="13">
        <v>4</v>
      </c>
      <c r="G26" s="48">
        <f>SUM(C26:F26)</f>
        <v>16.899999999999999</v>
      </c>
      <c r="H26" s="13">
        <v>6.5</v>
      </c>
      <c r="I26" s="13">
        <v>3.3</v>
      </c>
      <c r="J26" s="13">
        <v>8.9</v>
      </c>
      <c r="K26" s="13">
        <v>8.9</v>
      </c>
      <c r="L26" s="48">
        <f>SUM(H26:K26)</f>
        <v>27.6</v>
      </c>
      <c r="M26" s="13">
        <v>12.1</v>
      </c>
      <c r="N26" s="13">
        <v>14.3</v>
      </c>
      <c r="O26" s="13">
        <v>16.8</v>
      </c>
      <c r="P26" s="13">
        <v>23.8</v>
      </c>
      <c r="Q26" s="48">
        <f>SUM(M26:P26)</f>
        <v>67</v>
      </c>
      <c r="R26" s="13">
        <v>12.9</v>
      </c>
      <c r="S26" s="13">
        <v>10.9</v>
      </c>
      <c r="T26" s="13">
        <v>14.3</v>
      </c>
      <c r="U26" s="13">
        <v>12.1</v>
      </c>
      <c r="V26" s="48">
        <f>SUM(R26:U26)</f>
        <v>50.2</v>
      </c>
      <c r="W26" s="13">
        <v>10</v>
      </c>
      <c r="X26" s="13">
        <v>10.5</v>
      </c>
      <c r="Y26" s="13"/>
      <c r="Z26" s="13"/>
      <c r="AA26" s="48">
        <f>SUM(W26:Z26)</f>
        <v>20.5</v>
      </c>
    </row>
    <row r="27" spans="2:27" x14ac:dyDescent="0.2">
      <c r="B27" s="28" t="s">
        <v>144</v>
      </c>
      <c r="C27" s="28"/>
      <c r="D27" s="28"/>
      <c r="E27" s="28"/>
      <c r="F27" s="28"/>
      <c r="G27" s="37"/>
      <c r="H27" s="29">
        <f t="shared" ref="H27:L27" si="54">(H26-C26)/C26</f>
        <v>0.20370370370370364</v>
      </c>
      <c r="I27" s="29">
        <f t="shared" si="54"/>
        <v>-0.19512195121951217</v>
      </c>
      <c r="J27" s="29">
        <f t="shared" si="54"/>
        <v>1.6176470588235294</v>
      </c>
      <c r="K27" s="29">
        <f t="shared" si="54"/>
        <v>1.2250000000000001</v>
      </c>
      <c r="L27" s="40">
        <f t="shared" si="54"/>
        <v>0.63313609467455645</v>
      </c>
      <c r="M27" s="29">
        <f t="shared" ref="M27:Q27" si="55">(M26-H26)/H26</f>
        <v>0.86153846153846148</v>
      </c>
      <c r="N27" s="29">
        <f t="shared" si="55"/>
        <v>3.3333333333333335</v>
      </c>
      <c r="O27" s="29">
        <f t="shared" si="55"/>
        <v>0.88764044943820231</v>
      </c>
      <c r="P27" s="29">
        <f t="shared" si="55"/>
        <v>1.6741573033707864</v>
      </c>
      <c r="Q27" s="40">
        <f t="shared" si="55"/>
        <v>1.4275362318840579</v>
      </c>
      <c r="R27" s="29">
        <f t="shared" ref="R27" si="56">(R26-M26)/M26</f>
        <v>6.61157024793389E-2</v>
      </c>
      <c r="S27" s="29">
        <f>(S26-N26)/N26</f>
        <v>-0.23776223776223779</v>
      </c>
      <c r="T27" s="29">
        <f t="shared" ref="T27:V27" si="57">(T26-O26)/O26</f>
        <v>-0.14880952380952381</v>
      </c>
      <c r="U27" s="29">
        <f t="shared" si="57"/>
        <v>-0.49159663865546221</v>
      </c>
      <c r="V27" s="40">
        <f t="shared" si="57"/>
        <v>-0.2507462686567164</v>
      </c>
      <c r="W27" s="29">
        <f t="shared" ref="W27" si="58">(W26-R26)/R26</f>
        <v>-0.22480620155038761</v>
      </c>
      <c r="X27" s="29">
        <f>(X26-S26)/S26</f>
        <v>-3.6697247706422048E-2</v>
      </c>
      <c r="Y27" s="29">
        <f t="shared" ref="Y27" si="59">(Y26-T26)/T26</f>
        <v>-1</v>
      </c>
      <c r="Z27" s="29">
        <f t="shared" ref="Z27" si="60">(Z26-U26)/U26</f>
        <v>-1</v>
      </c>
      <c r="AA27" s="40">
        <f t="shared" ref="AA27" si="61">(AA26-V26)/V26</f>
        <v>-0.5916334661354582</v>
      </c>
    </row>
    <row r="28" spans="2:27" ht="19" x14ac:dyDescent="0.25">
      <c r="B28" s="2" t="s">
        <v>141</v>
      </c>
      <c r="C28" s="13">
        <v>4.9000000000000004</v>
      </c>
      <c r="D28" s="13">
        <v>6.4</v>
      </c>
      <c r="E28" s="13">
        <v>13.6</v>
      </c>
      <c r="F28" s="13">
        <v>18.8</v>
      </c>
      <c r="G28" s="48">
        <f>SUM(C28:F28)</f>
        <v>43.7</v>
      </c>
      <c r="H28" s="13">
        <v>5.4</v>
      </c>
      <c r="I28" s="13">
        <v>6.6</v>
      </c>
      <c r="J28" s="13">
        <v>10.4</v>
      </c>
      <c r="K28" s="13">
        <v>7.3</v>
      </c>
      <c r="L28" s="48">
        <f>SUM(H28:K28)</f>
        <v>29.7</v>
      </c>
      <c r="M28" s="13">
        <v>5.4</v>
      </c>
      <c r="N28" s="13">
        <v>8.4</v>
      </c>
      <c r="O28" s="13">
        <v>6.3</v>
      </c>
      <c r="P28" s="13">
        <v>6.5</v>
      </c>
      <c r="Q28" s="48">
        <f>SUM(M28:P28)</f>
        <v>26.6</v>
      </c>
      <c r="R28" s="13">
        <v>5.9</v>
      </c>
      <c r="S28" s="13">
        <v>6.2</v>
      </c>
      <c r="T28" s="13">
        <v>25.5</v>
      </c>
      <c r="U28" s="13">
        <v>15.4</v>
      </c>
      <c r="V28" s="48">
        <f>SUM(R28:U28)</f>
        <v>53</v>
      </c>
      <c r="W28" s="13">
        <v>21</v>
      </c>
      <c r="X28" s="13">
        <v>11.4</v>
      </c>
      <c r="Y28" s="13"/>
      <c r="Z28" s="13"/>
      <c r="AA28" s="48">
        <f>SUM(W28:Z28)</f>
        <v>32.4</v>
      </c>
    </row>
    <row r="29" spans="2:27" x14ac:dyDescent="0.2">
      <c r="B29" s="28" t="s">
        <v>144</v>
      </c>
      <c r="C29" s="28"/>
      <c r="D29" s="28"/>
      <c r="E29" s="28"/>
      <c r="F29" s="28"/>
      <c r="G29" s="37"/>
      <c r="H29" s="29">
        <f t="shared" ref="H29:L29" si="62">(H28-C28)/C28</f>
        <v>0.1020408163265306</v>
      </c>
      <c r="I29" s="29">
        <f t="shared" si="62"/>
        <v>3.1249999999999889E-2</v>
      </c>
      <c r="J29" s="29">
        <f t="shared" si="62"/>
        <v>-0.23529411764705876</v>
      </c>
      <c r="K29" s="29">
        <f t="shared" si="62"/>
        <v>-0.61170212765957444</v>
      </c>
      <c r="L29" s="40">
        <f t="shared" si="62"/>
        <v>-0.32036613272311221</v>
      </c>
      <c r="M29" s="29">
        <f t="shared" ref="M29:Q29" si="63">(M28-H28)/H28</f>
        <v>0</v>
      </c>
      <c r="N29" s="29">
        <f t="shared" si="63"/>
        <v>0.27272727272727287</v>
      </c>
      <c r="O29" s="29">
        <f t="shared" si="63"/>
        <v>-0.39423076923076927</v>
      </c>
      <c r="P29" s="29">
        <f t="shared" si="63"/>
        <v>-0.10958904109589039</v>
      </c>
      <c r="Q29" s="40">
        <f t="shared" si="63"/>
        <v>-0.1043771043771043</v>
      </c>
      <c r="R29" s="29">
        <f t="shared" ref="R29" si="64">(R28-M28)/M28</f>
        <v>9.2592592592592587E-2</v>
      </c>
      <c r="S29" s="29">
        <f>(S28-N28)/N28</f>
        <v>-0.26190476190476192</v>
      </c>
      <c r="T29" s="29">
        <f t="shared" ref="T29:V29" si="65">(T28-O28)/O28</f>
        <v>3.0476190476190474</v>
      </c>
      <c r="U29" s="29">
        <f t="shared" si="65"/>
        <v>1.3692307692307693</v>
      </c>
      <c r="V29" s="40">
        <f t="shared" si="65"/>
        <v>0.99248120300751874</v>
      </c>
      <c r="W29" s="29">
        <f t="shared" ref="W29" si="66">(W28-R28)/R28</f>
        <v>2.5593220338983049</v>
      </c>
      <c r="X29" s="29">
        <f>(X28-S28)/S28</f>
        <v>0.83870967741935487</v>
      </c>
      <c r="Y29" s="29">
        <f t="shared" ref="Y29" si="67">(Y28-T28)/T28</f>
        <v>-1</v>
      </c>
      <c r="Z29" s="29">
        <f t="shared" ref="Z29" si="68">(Z28-U28)/U28</f>
        <v>-1</v>
      </c>
      <c r="AA29" s="40">
        <f t="shared" ref="AA29" si="69">(AA28-V28)/V28</f>
        <v>-0.38867924528301889</v>
      </c>
    </row>
    <row r="30" spans="2:27" ht="19" x14ac:dyDescent="0.25">
      <c r="B30" s="2" t="s">
        <v>142</v>
      </c>
      <c r="C30" s="13">
        <v>16.100000000000001</v>
      </c>
      <c r="D30" s="13">
        <v>20.399999999999999</v>
      </c>
      <c r="E30" s="13">
        <v>18.7</v>
      </c>
      <c r="F30" s="13">
        <v>20.6</v>
      </c>
      <c r="G30" s="48">
        <f>SUM(C30:F30)</f>
        <v>75.800000000000011</v>
      </c>
      <c r="H30" s="13">
        <v>22.2</v>
      </c>
      <c r="I30" s="13">
        <v>19.100000000000001</v>
      </c>
      <c r="J30" s="13">
        <v>21.5</v>
      </c>
      <c r="K30" s="13">
        <v>41.6</v>
      </c>
      <c r="L30" s="48">
        <f>SUM(H30:K30)</f>
        <v>104.4</v>
      </c>
      <c r="M30" s="13">
        <v>51</v>
      </c>
      <c r="N30" s="13">
        <v>51.1</v>
      </c>
      <c r="O30" s="13">
        <v>54.6</v>
      </c>
      <c r="P30" s="13">
        <v>62.7</v>
      </c>
      <c r="Q30" s="48">
        <f>SUM(M30:P30)</f>
        <v>219.39999999999998</v>
      </c>
      <c r="R30" s="13">
        <v>46</v>
      </c>
      <c r="S30" s="13">
        <v>47.3</v>
      </c>
      <c r="T30" s="13">
        <v>56</v>
      </c>
      <c r="U30" s="13">
        <v>59.7</v>
      </c>
      <c r="V30" s="48">
        <f>SUM(R30:U30)</f>
        <v>209</v>
      </c>
      <c r="W30" s="13">
        <v>49.4</v>
      </c>
      <c r="X30" s="13">
        <v>60.3</v>
      </c>
      <c r="Y30" s="13"/>
      <c r="Z30" s="13"/>
      <c r="AA30" s="48">
        <f>SUM(W30:Z30)</f>
        <v>109.69999999999999</v>
      </c>
    </row>
    <row r="31" spans="2:27" x14ac:dyDescent="0.2">
      <c r="B31" s="28" t="s">
        <v>144</v>
      </c>
      <c r="C31" s="28"/>
      <c r="D31" s="28"/>
      <c r="E31" s="28"/>
      <c r="F31" s="28"/>
      <c r="G31" s="42"/>
      <c r="H31" s="29">
        <f t="shared" ref="H31:I31" si="70">(H30-C30)/C30</f>
        <v>0.37888198757763958</v>
      </c>
      <c r="I31" s="29">
        <f t="shared" si="70"/>
        <v>-6.3725490196078302E-2</v>
      </c>
      <c r="J31" s="29">
        <f>(J30-E30)/E30</f>
        <v>0.14973262032085566</v>
      </c>
      <c r="K31" s="29">
        <f t="shared" ref="K31:L31" si="71">(K30-F30)/F30</f>
        <v>1.0194174757281553</v>
      </c>
      <c r="L31" s="40">
        <f t="shared" si="71"/>
        <v>0.37730870712401043</v>
      </c>
      <c r="M31" s="29">
        <f t="shared" ref="M31:P31" si="72">(M30-H30)/H30</f>
        <v>1.2972972972972974</v>
      </c>
      <c r="N31" s="29">
        <f t="shared" si="72"/>
        <v>1.6753926701570678</v>
      </c>
      <c r="O31" s="29">
        <f t="shared" si="72"/>
        <v>1.5395348837209304</v>
      </c>
      <c r="P31" s="29">
        <f t="shared" si="72"/>
        <v>0.50721153846153844</v>
      </c>
      <c r="Q31" s="40">
        <f>(Q30-L30)/L30</f>
        <v>1.1015325670498082</v>
      </c>
      <c r="R31" s="29">
        <f t="shared" ref="R31" si="73">(R30-M30)/M30</f>
        <v>-9.8039215686274508E-2</v>
      </c>
      <c r="S31" s="29">
        <f>(S30-N30)/N30</f>
        <v>-7.4363992172211429E-2</v>
      </c>
      <c r="T31" s="29">
        <f t="shared" ref="T31:V31" si="74">(T30-O30)/O30</f>
        <v>2.5641025641025616E-2</v>
      </c>
      <c r="U31" s="29">
        <f t="shared" si="74"/>
        <v>-4.784688995215311E-2</v>
      </c>
      <c r="V31" s="40">
        <f t="shared" si="74"/>
        <v>-4.740200546946207E-2</v>
      </c>
      <c r="W31" s="29">
        <f t="shared" ref="W31" si="75">(W30-R30)/R30</f>
        <v>7.3913043478260845E-2</v>
      </c>
      <c r="X31" s="29">
        <f>(X30-S30)/S30</f>
        <v>0.27484143763213531</v>
      </c>
      <c r="Y31" s="29">
        <f t="shared" ref="Y31" si="76">(Y30-T30)/T30</f>
        <v>-1</v>
      </c>
      <c r="Z31" s="29">
        <f t="shared" ref="Z31" si="77">(Z30-U30)/U30</f>
        <v>-1</v>
      </c>
      <c r="AA31" s="40">
        <f t="shared" ref="AA31" si="78">(AA30-V30)/V30</f>
        <v>-0.47511961722488044</v>
      </c>
    </row>
    <row r="32" spans="2:27" ht="19" x14ac:dyDescent="0.25">
      <c r="B32" s="30" t="s">
        <v>143</v>
      </c>
      <c r="C32" s="45">
        <f t="shared" ref="C32:R32" si="79">C12+C14+C16+C18+C20+C22+C24+C26+C28+C30</f>
        <v>168.8</v>
      </c>
      <c r="D32" s="45">
        <f t="shared" si="79"/>
        <v>178.2</v>
      </c>
      <c r="E32" s="45">
        <f t="shared" si="79"/>
        <v>179.99999999999997</v>
      </c>
      <c r="F32" s="45">
        <f t="shared" si="79"/>
        <v>189.5</v>
      </c>
      <c r="G32" s="46">
        <f>SUM(C32:F32)</f>
        <v>716.5</v>
      </c>
      <c r="H32" s="45">
        <f t="shared" si="79"/>
        <v>193.49999999999997</v>
      </c>
      <c r="I32" s="45">
        <f t="shared" si="79"/>
        <v>191.79999999999998</v>
      </c>
      <c r="J32" s="45">
        <f t="shared" si="79"/>
        <v>222.3</v>
      </c>
      <c r="K32" s="45">
        <f t="shared" si="79"/>
        <v>242.70000000000005</v>
      </c>
      <c r="L32" s="46">
        <f>SUM(H32:K32)</f>
        <v>850.3</v>
      </c>
      <c r="M32" s="45">
        <f t="shared" si="79"/>
        <v>241.79999999999998</v>
      </c>
      <c r="N32" s="45">
        <f t="shared" si="79"/>
        <v>255.70000000000005</v>
      </c>
      <c r="O32" s="45">
        <f t="shared" si="79"/>
        <v>226.00000000000003</v>
      </c>
      <c r="P32" s="45">
        <f t="shared" si="79"/>
        <v>283.90000000000003</v>
      </c>
      <c r="Q32" s="46">
        <f>SUM(M32:P32)</f>
        <v>1007.4000000000001</v>
      </c>
      <c r="R32" s="45">
        <f t="shared" si="79"/>
        <v>214.60000000000002</v>
      </c>
      <c r="S32" s="45">
        <f>S12+S14+S16+S18+S20+S22+S24+S26+S28+S30</f>
        <v>230.79999999999995</v>
      </c>
      <c r="T32" s="45">
        <f t="shared" ref="T32:U32" si="80">T12+T14+T16+T18+T20+T22+T24+T26+T28+T30</f>
        <v>279.60000000000002</v>
      </c>
      <c r="U32" s="45">
        <f t="shared" si="80"/>
        <v>266.39999999999998</v>
      </c>
      <c r="V32" s="46">
        <f>SUM(R32:U32)</f>
        <v>991.4</v>
      </c>
      <c r="W32" s="45">
        <f t="shared" ref="W32" si="81">W12+W14+W16+W18+W20+W22+W24+W26+W28+W30</f>
        <v>257.59999999999997</v>
      </c>
      <c r="X32" s="45">
        <f>X12+X14+X16+X18+X20+X22+X24+X26+X28+X30</f>
        <v>285.2</v>
      </c>
      <c r="Y32" s="45">
        <f t="shared" ref="Y32:Z32" si="82">Y12+Y14+Y16+Y18+Y20+Y22+Y24+Y26+Y28+Y30</f>
        <v>0</v>
      </c>
      <c r="Z32" s="45">
        <f t="shared" si="82"/>
        <v>0</v>
      </c>
      <c r="AA32" s="46">
        <f>SUM(W32:Z32)</f>
        <v>542.79999999999995</v>
      </c>
    </row>
  </sheetData>
  <pageMargins left="0.7" right="0.7" top="0.75" bottom="0.75" header="0.3" footer="0.3"/>
  <ignoredErrors>
    <ignoredError sqref="V6 V9 V13 V17 V19 V21 V23 V25 V27 V29 V31:V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6A85-6B8F-C643-8532-50B55F2F5B3C}">
  <dimension ref="B3:AA24"/>
  <sheetViews>
    <sheetView showGridLines="0" zoomScaleNormal="100" workbookViewId="0">
      <pane xSplit="2" ySplit="3" topLeftCell="S4" activePane="bottomRight" state="frozen"/>
      <selection pane="topRight" activeCell="C1" sqref="C1"/>
      <selection pane="bottomLeft" activeCell="A4" sqref="A4"/>
      <selection pane="bottomRight" activeCell="V28" sqref="V28"/>
    </sheetView>
  </sheetViews>
  <sheetFormatPr baseColWidth="10" defaultRowHeight="19" x14ac:dyDescent="0.25"/>
  <cols>
    <col min="1" max="1" width="10.83203125" style="2"/>
    <col min="2" max="2" width="25.33203125" style="2" customWidth="1"/>
    <col min="3" max="16384" width="10.83203125" style="2"/>
  </cols>
  <sheetData>
    <row r="3" spans="2:27" x14ac:dyDescent="0.25">
      <c r="B3" s="2" t="s">
        <v>38</v>
      </c>
      <c r="C3" s="7" t="s">
        <v>3</v>
      </c>
      <c r="D3" s="7" t="s">
        <v>4</v>
      </c>
      <c r="E3" s="7" t="s">
        <v>5</v>
      </c>
      <c r="F3" s="7" t="s">
        <v>6</v>
      </c>
      <c r="G3" s="34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4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4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6">
        <v>2025</v>
      </c>
      <c r="W3" s="7" t="s">
        <v>154</v>
      </c>
      <c r="X3" s="7" t="s">
        <v>155</v>
      </c>
      <c r="Y3" s="7" t="s">
        <v>156</v>
      </c>
      <c r="Z3" s="7" t="s">
        <v>157</v>
      </c>
      <c r="AA3" s="36">
        <v>2026</v>
      </c>
    </row>
    <row r="4" spans="2:27" x14ac:dyDescent="0.25">
      <c r="B4" s="2" t="s">
        <v>133</v>
      </c>
      <c r="C4" s="13">
        <v>88.1</v>
      </c>
      <c r="D4" s="13">
        <v>87.5</v>
      </c>
      <c r="E4" s="13">
        <v>64.900000000000006</v>
      </c>
      <c r="F4" s="13">
        <v>83.3</v>
      </c>
      <c r="G4" s="48">
        <f>SUM(C4:F4)</f>
        <v>323.8</v>
      </c>
      <c r="H4" s="13">
        <v>100.1</v>
      </c>
      <c r="I4" s="13">
        <v>87.3</v>
      </c>
      <c r="J4" s="13">
        <v>56.9</v>
      </c>
      <c r="K4" s="13">
        <v>81.5</v>
      </c>
      <c r="L4" s="48">
        <f>SUM(H4:K4)</f>
        <v>325.79999999999995</v>
      </c>
      <c r="M4" s="13">
        <v>95.4</v>
      </c>
      <c r="N4" s="13">
        <v>79.8</v>
      </c>
      <c r="O4" s="13">
        <v>61.8</v>
      </c>
      <c r="P4" s="13">
        <v>72.900000000000006</v>
      </c>
      <c r="Q4" s="48">
        <f>SUM(M4:P4)</f>
        <v>309.89999999999998</v>
      </c>
      <c r="R4" s="13">
        <v>91.1</v>
      </c>
      <c r="S4" s="13">
        <v>80.2</v>
      </c>
      <c r="T4" s="13">
        <v>85.7</v>
      </c>
      <c r="U4" s="13">
        <v>105.6</v>
      </c>
      <c r="V4" s="48">
        <f>SUM(R4:U4)</f>
        <v>362.6</v>
      </c>
      <c r="W4" s="13"/>
      <c r="X4" s="13"/>
      <c r="Y4" s="13"/>
      <c r="Z4" s="13"/>
      <c r="AA4" s="48">
        <f>SUM(W4:Z4)</f>
        <v>0</v>
      </c>
    </row>
    <row r="5" spans="2:27" x14ac:dyDescent="0.25">
      <c r="B5" s="28" t="s">
        <v>144</v>
      </c>
      <c r="C5" s="28"/>
      <c r="D5" s="28"/>
      <c r="E5" s="28"/>
      <c r="F5" s="28"/>
      <c r="G5" s="37"/>
      <c r="H5" s="29">
        <f t="shared" ref="H5" si="0">(H4-C4)/C4</f>
        <v>0.1362088535754824</v>
      </c>
      <c r="I5" s="29">
        <f t="shared" ref="I5" si="1">(I4-D4)/D4</f>
        <v>-2.2857142857143184E-3</v>
      </c>
      <c r="J5" s="29">
        <f t="shared" ref="J5" si="2">(J4-E4)/E4</f>
        <v>-0.12326656394453014</v>
      </c>
      <c r="K5" s="29">
        <f t="shared" ref="K5" si="3">(K4-F4)/F4</f>
        <v>-2.160864345738292E-2</v>
      </c>
      <c r="L5" s="41">
        <f>(L4-G4)/G4</f>
        <v>6.1766522544778974E-3</v>
      </c>
      <c r="M5" s="29">
        <f t="shared" ref="M5" si="4">(M4-H4)/H4</f>
        <v>-4.6953046953046841E-2</v>
      </c>
      <c r="N5" s="29">
        <f t="shared" ref="N5" si="5">(N4-I4)/I4</f>
        <v>-8.5910652920962199E-2</v>
      </c>
      <c r="O5" s="29">
        <f t="shared" ref="O5" si="6">(O4-J4)/J4</f>
        <v>8.6115992970122998E-2</v>
      </c>
      <c r="P5" s="29">
        <f t="shared" ref="P5" si="7">(P4-K4)/K4</f>
        <v>-0.10552147239263797</v>
      </c>
      <c r="Q5" s="41">
        <f>(Q4-L4)/L4</f>
        <v>-4.8802946593001779E-2</v>
      </c>
      <c r="R5" s="29">
        <f t="shared" ref="R5" si="8">(R4-M4)/M4</f>
        <v>-4.5073375262054627E-2</v>
      </c>
      <c r="S5" s="29">
        <f>(S4-N4)/N4</f>
        <v>5.0125313283208737E-3</v>
      </c>
      <c r="T5" s="29">
        <f t="shared" ref="T5" si="9">(T4-O4)/O4</f>
        <v>0.38673139158576064</v>
      </c>
      <c r="U5" s="29">
        <f t="shared" ref="U5" si="10">(U4-P4)/P4</f>
        <v>0.44855967078189279</v>
      </c>
      <c r="V5" s="41">
        <f>(V4-Q4)/Q4</f>
        <v>0.17005485640529219</v>
      </c>
      <c r="W5" s="29">
        <f t="shared" ref="W5" si="11">(W4-R4)/R4</f>
        <v>-1</v>
      </c>
      <c r="X5" s="29">
        <f>(X4-S4)/S4</f>
        <v>-1</v>
      </c>
      <c r="Y5" s="29">
        <f t="shared" ref="Y5" si="12">(Y4-T4)/T4</f>
        <v>-1</v>
      </c>
      <c r="Z5" s="29">
        <f t="shared" ref="Z5" si="13">(Z4-U4)/U4</f>
        <v>-1</v>
      </c>
      <c r="AA5" s="41">
        <f>(AA4-V4)/V4</f>
        <v>-1</v>
      </c>
    </row>
    <row r="6" spans="2:27" x14ac:dyDescent="0.25">
      <c r="B6" s="2" t="s">
        <v>134</v>
      </c>
      <c r="C6" s="13">
        <v>65.7</v>
      </c>
      <c r="D6" s="13">
        <v>62.8</v>
      </c>
      <c r="E6" s="13">
        <v>60.2</v>
      </c>
      <c r="F6" s="13">
        <v>59.7</v>
      </c>
      <c r="G6" s="48">
        <f>SUM(C6:F6)</f>
        <v>248.39999999999998</v>
      </c>
      <c r="H6" s="13">
        <v>75.3</v>
      </c>
      <c r="I6" s="13">
        <v>69.2</v>
      </c>
      <c r="J6" s="13">
        <v>59.4</v>
      </c>
      <c r="K6" s="13">
        <v>66.900000000000006</v>
      </c>
      <c r="L6" s="48">
        <f>SUM(H6:K6)</f>
        <v>270.8</v>
      </c>
      <c r="M6" s="13">
        <v>73.3</v>
      </c>
      <c r="N6" s="13">
        <v>66.5</v>
      </c>
      <c r="O6" s="13">
        <v>59.4</v>
      </c>
      <c r="P6" s="13">
        <v>67.2</v>
      </c>
      <c r="Q6" s="48">
        <f>SUM(M6:P6)</f>
        <v>266.40000000000003</v>
      </c>
      <c r="R6" s="13">
        <v>78.5</v>
      </c>
      <c r="S6" s="13">
        <v>60.2</v>
      </c>
      <c r="T6" s="13">
        <v>56.9</v>
      </c>
      <c r="U6" s="13">
        <v>69.5</v>
      </c>
      <c r="V6" s="48">
        <f>SUM(R6:U6)</f>
        <v>265.10000000000002</v>
      </c>
      <c r="W6" s="13"/>
      <c r="X6" s="13"/>
      <c r="Y6" s="13"/>
      <c r="Z6" s="13"/>
      <c r="AA6" s="48">
        <f>SUM(W6:Z6)</f>
        <v>0</v>
      </c>
    </row>
    <row r="7" spans="2:27" x14ac:dyDescent="0.25">
      <c r="B7" s="28" t="s">
        <v>144</v>
      </c>
      <c r="C7" s="28"/>
      <c r="D7" s="28"/>
      <c r="E7" s="28"/>
      <c r="F7" s="28"/>
      <c r="G7" s="37"/>
      <c r="H7" s="29">
        <f t="shared" ref="H7" si="14">(H6-C6)/C6</f>
        <v>0.14611872146118712</v>
      </c>
      <c r="I7" s="29">
        <f t="shared" ref="I7" si="15">(I6-D6)/D6</f>
        <v>0.1019108280254778</v>
      </c>
      <c r="J7" s="29">
        <f t="shared" ref="J7" si="16">(J6-E6)/E6</f>
        <v>-1.3289036544850568E-2</v>
      </c>
      <c r="K7" s="29">
        <f t="shared" ref="K7" si="17">(K6-F6)/F6</f>
        <v>0.12060301507537692</v>
      </c>
      <c r="L7" s="41">
        <f>(L6-G6)/G6</f>
        <v>9.0177133655394676E-2</v>
      </c>
      <c r="M7" s="29">
        <f t="shared" ref="M7" si="18">(M6-H6)/H6</f>
        <v>-2.6560424966799469E-2</v>
      </c>
      <c r="N7" s="29">
        <f t="shared" ref="N7" si="19">(N6-I6)/I6</f>
        <v>-3.9017341040462464E-2</v>
      </c>
      <c r="O7" s="29">
        <f t="shared" ref="O7" si="20">(O6-J6)/J6</f>
        <v>0</v>
      </c>
      <c r="P7" s="29">
        <f t="shared" ref="P7" si="21">(P6-K6)/K6</f>
        <v>4.4843049327353834E-3</v>
      </c>
      <c r="Q7" s="41">
        <f>(Q6-L6)/L6</f>
        <v>-1.6248153618906858E-2</v>
      </c>
      <c r="R7" s="29">
        <f t="shared" ref="R7" si="22">(R6-M6)/M6</f>
        <v>7.094133697135066E-2</v>
      </c>
      <c r="S7" s="29">
        <f>(S6-N6)/N6</f>
        <v>-9.4736842105263119E-2</v>
      </c>
      <c r="T7" s="29">
        <f t="shared" ref="T7" si="23">(T6-O6)/O6</f>
        <v>-4.208754208754209E-2</v>
      </c>
      <c r="U7" s="29">
        <f t="shared" ref="U7" si="24">(U6-P6)/P6</f>
        <v>3.4226190476190431E-2</v>
      </c>
      <c r="V7" s="41">
        <f>(V6-Q6)/Q6</f>
        <v>-4.8798798798799217E-3</v>
      </c>
      <c r="W7" s="29">
        <f t="shared" ref="W7" si="25">(W6-R6)/R6</f>
        <v>-1</v>
      </c>
      <c r="X7" s="29">
        <f>(X6-S6)/S6</f>
        <v>-1</v>
      </c>
      <c r="Y7" s="29">
        <f t="shared" ref="Y7" si="26">(Y6-T6)/T6</f>
        <v>-1</v>
      </c>
      <c r="Z7" s="29">
        <f t="shared" ref="Z7" si="27">(Z6-U6)/U6</f>
        <v>-1</v>
      </c>
      <c r="AA7" s="41">
        <f>(AA6-V6)/V6</f>
        <v>-1</v>
      </c>
    </row>
    <row r="8" spans="2:27" x14ac:dyDescent="0.25">
      <c r="B8" s="2" t="s">
        <v>135</v>
      </c>
      <c r="C8" s="13">
        <v>159.9</v>
      </c>
      <c r="D8" s="13">
        <v>146</v>
      </c>
      <c r="E8" s="13">
        <v>136.9</v>
      </c>
      <c r="F8" s="13">
        <v>146.5</v>
      </c>
      <c r="G8" s="48">
        <f>SUM(C8:F8)</f>
        <v>589.29999999999995</v>
      </c>
      <c r="H8" s="13">
        <v>165.5</v>
      </c>
      <c r="I8" s="13">
        <v>133.19999999999999</v>
      </c>
      <c r="J8" s="13">
        <v>132.9</v>
      </c>
      <c r="K8" s="13">
        <v>121.3</v>
      </c>
      <c r="L8" s="48">
        <f>SUM(H8:K8)</f>
        <v>552.9</v>
      </c>
      <c r="M8" s="13">
        <v>154.5</v>
      </c>
      <c r="N8" s="13">
        <v>132.69999999999999</v>
      </c>
      <c r="O8" s="13">
        <v>112.1</v>
      </c>
      <c r="P8" s="13">
        <v>123.9</v>
      </c>
      <c r="Q8" s="48">
        <f>SUM(M8:P8)</f>
        <v>523.19999999999993</v>
      </c>
      <c r="R8" s="13">
        <v>124.1</v>
      </c>
      <c r="S8" s="13">
        <v>114.5</v>
      </c>
      <c r="T8" s="13">
        <v>135</v>
      </c>
      <c r="U8" s="13">
        <v>113.2</v>
      </c>
      <c r="V8" s="48">
        <f>SUM(R8:U8)</f>
        <v>486.8</v>
      </c>
      <c r="W8" s="13"/>
      <c r="X8" s="13"/>
      <c r="Y8" s="13"/>
      <c r="Z8" s="13"/>
      <c r="AA8" s="48">
        <f>SUM(W8:Z8)</f>
        <v>0</v>
      </c>
    </row>
    <row r="9" spans="2:27" x14ac:dyDescent="0.25">
      <c r="B9" s="28" t="s">
        <v>144</v>
      </c>
      <c r="C9" s="28"/>
      <c r="D9" s="28"/>
      <c r="E9" s="28"/>
      <c r="F9" s="28"/>
      <c r="G9" s="37"/>
      <c r="H9" s="29">
        <f t="shared" ref="H9" si="28">(H8-C8)/C8</f>
        <v>3.5021888680425231E-2</v>
      </c>
      <c r="I9" s="29">
        <f t="shared" ref="I9" si="29">(I8-D8)/D8</f>
        <v>-8.7671232876712413E-2</v>
      </c>
      <c r="J9" s="29">
        <f t="shared" ref="J9" si="30">(J8-E8)/E8</f>
        <v>-2.9218407596785973E-2</v>
      </c>
      <c r="K9" s="29">
        <f t="shared" ref="K9" si="31">(K8-F8)/F8</f>
        <v>-0.17201365187713313</v>
      </c>
      <c r="L9" s="41">
        <f>(L8-G8)/G8</f>
        <v>-6.1768199558798538E-2</v>
      </c>
      <c r="M9" s="29">
        <f t="shared" ref="M9" si="32">(M8-H8)/H8</f>
        <v>-6.6465256797583083E-2</v>
      </c>
      <c r="N9" s="29">
        <f t="shared" ref="N9" si="33">(N8-I8)/I8</f>
        <v>-3.7537537537537542E-3</v>
      </c>
      <c r="O9" s="29">
        <f t="shared" ref="O9" si="34">(O8-J8)/J8</f>
        <v>-0.15650865312264869</v>
      </c>
      <c r="P9" s="29">
        <f t="shared" ref="P9" si="35">(P8-K8)/K8</f>
        <v>2.1434460016488115E-2</v>
      </c>
      <c r="Q9" s="41">
        <f>(Q8-L8)/L8</f>
        <v>-5.371676614215961E-2</v>
      </c>
      <c r="R9" s="29">
        <f t="shared" ref="R9" si="36">(R8-M8)/M8</f>
        <v>-0.19676375404530749</v>
      </c>
      <c r="S9" s="29">
        <f>(S8-N8)/N8</f>
        <v>-0.13715146948003007</v>
      </c>
      <c r="T9" s="29">
        <f t="shared" ref="T9" si="37">(T8-O8)/O8</f>
        <v>0.20428189116859952</v>
      </c>
      <c r="U9" s="29">
        <f t="shared" ref="U9" si="38">(U8-P8)/P8</f>
        <v>-8.6359967715899932E-2</v>
      </c>
      <c r="V9" s="41">
        <f>(V8-Q8)/Q8</f>
        <v>-6.9571865443424932E-2</v>
      </c>
      <c r="W9" s="29">
        <f t="shared" ref="W9" si="39">(W8-R8)/R8</f>
        <v>-1</v>
      </c>
      <c r="X9" s="29">
        <f>(X8-S8)/S8</f>
        <v>-1</v>
      </c>
      <c r="Y9" s="29">
        <f t="shared" ref="Y9" si="40">(Y8-T8)/T8</f>
        <v>-1</v>
      </c>
      <c r="Z9" s="29">
        <f t="shared" ref="Z9" si="41">(Z8-U8)/U8</f>
        <v>-1</v>
      </c>
      <c r="AA9" s="41">
        <f>(AA8-V8)/V8</f>
        <v>-1</v>
      </c>
    </row>
    <row r="10" spans="2:27" x14ac:dyDescent="0.25">
      <c r="B10" s="2" t="s">
        <v>136</v>
      </c>
      <c r="C10" s="13">
        <v>205.7</v>
      </c>
      <c r="D10" s="13">
        <v>186.5</v>
      </c>
      <c r="E10" s="13">
        <v>179.8</v>
      </c>
      <c r="F10" s="13">
        <v>210.1</v>
      </c>
      <c r="G10" s="48">
        <f>SUM(C10:F10)</f>
        <v>782.1</v>
      </c>
      <c r="H10" s="13">
        <v>251</v>
      </c>
      <c r="I10" s="13">
        <v>237.6</v>
      </c>
      <c r="J10" s="13">
        <v>227</v>
      </c>
      <c r="K10" s="13">
        <v>233.8</v>
      </c>
      <c r="L10" s="48">
        <f>SUM(H10:K10)</f>
        <v>949.40000000000009</v>
      </c>
      <c r="M10" s="13">
        <v>226.4</v>
      </c>
      <c r="N10" s="13">
        <v>216.1</v>
      </c>
      <c r="O10" s="13">
        <v>167</v>
      </c>
      <c r="P10" s="13">
        <v>177.4</v>
      </c>
      <c r="Q10" s="48">
        <f>SUM(M10:P10)</f>
        <v>786.9</v>
      </c>
      <c r="R10" s="13">
        <v>190.3</v>
      </c>
      <c r="S10" s="13">
        <v>203.7</v>
      </c>
      <c r="T10" s="13">
        <v>177.5</v>
      </c>
      <c r="U10" s="13">
        <v>178.1</v>
      </c>
      <c r="V10" s="48">
        <f>SUM(R10:U10)</f>
        <v>749.6</v>
      </c>
      <c r="W10" s="13"/>
      <c r="X10" s="13"/>
      <c r="Y10" s="13"/>
      <c r="Z10" s="13"/>
      <c r="AA10" s="48">
        <f>SUM(W10:Z10)</f>
        <v>0</v>
      </c>
    </row>
    <row r="11" spans="2:27" x14ac:dyDescent="0.25">
      <c r="B11" s="28" t="s">
        <v>144</v>
      </c>
      <c r="C11" s="28"/>
      <c r="D11" s="28"/>
      <c r="E11" s="28"/>
      <c r="F11" s="28"/>
      <c r="G11" s="37"/>
      <c r="H11" s="29">
        <f t="shared" ref="H11" si="42">(H10-C10)/C10</f>
        <v>0.220223626640739</v>
      </c>
      <c r="I11" s="29">
        <f t="shared" ref="I11" si="43">(I10-D10)/D10</f>
        <v>0.27399463806970509</v>
      </c>
      <c r="J11" s="29">
        <f t="shared" ref="J11" si="44">(J10-E10)/E10</f>
        <v>0.26251390433815341</v>
      </c>
      <c r="K11" s="29">
        <f t="shared" ref="K11" si="45">(K10-F10)/F10</f>
        <v>0.11280342693955268</v>
      </c>
      <c r="L11" s="41">
        <f>(L10-G10)/G10</f>
        <v>0.21391126454417603</v>
      </c>
      <c r="M11" s="29">
        <f t="shared" ref="M11" si="46">(M10-H10)/H10</f>
        <v>-9.8007968127490019E-2</v>
      </c>
      <c r="N11" s="29">
        <f t="shared" ref="N11" si="47">(N10-I10)/I10</f>
        <v>-9.0488215488215493E-2</v>
      </c>
      <c r="O11" s="29">
        <f t="shared" ref="O11" si="48">(O10-J10)/J10</f>
        <v>-0.26431718061674009</v>
      </c>
      <c r="P11" s="29">
        <f t="shared" ref="P11" si="49">(P10-K10)/K10</f>
        <v>-0.24123182207014543</v>
      </c>
      <c r="Q11" s="41">
        <f>(Q10-L10)/L10</f>
        <v>-0.17116073309458615</v>
      </c>
      <c r="R11" s="29">
        <f t="shared" ref="R11" si="50">(R10-M10)/M10</f>
        <v>-0.15945229681978795</v>
      </c>
      <c r="S11" s="29">
        <f>(S10-N10)/N10</f>
        <v>-5.7380842202683968E-2</v>
      </c>
      <c r="T11" s="29">
        <f t="shared" ref="T11" si="51">(T10-O10)/O10</f>
        <v>6.2874251497005984E-2</v>
      </c>
      <c r="U11" s="29">
        <f t="shared" ref="U11" si="52">(U10-P10)/P10</f>
        <v>3.9458850056369142E-3</v>
      </c>
      <c r="V11" s="41">
        <f>(V10-Q10)/Q10</f>
        <v>-4.7401194560935257E-2</v>
      </c>
      <c r="W11" s="29">
        <f t="shared" ref="W11" si="53">(W10-R10)/R10</f>
        <v>-1</v>
      </c>
      <c r="X11" s="29">
        <f>(X10-S10)/S10</f>
        <v>-1</v>
      </c>
      <c r="Y11" s="29">
        <f t="shared" ref="Y11" si="54">(Y10-T10)/T10</f>
        <v>-1</v>
      </c>
      <c r="Z11" s="29">
        <f t="shared" ref="Z11" si="55">(Z10-U10)/U10</f>
        <v>-1</v>
      </c>
      <c r="AA11" s="41">
        <f>(AA10-V10)/V10</f>
        <v>-1</v>
      </c>
    </row>
    <row r="12" spans="2:27" x14ac:dyDescent="0.25">
      <c r="B12" s="2" t="s">
        <v>137</v>
      </c>
      <c r="C12" s="13">
        <v>458.9</v>
      </c>
      <c r="D12" s="13">
        <v>458.9</v>
      </c>
      <c r="E12" s="13">
        <v>446.8</v>
      </c>
      <c r="F12" s="13">
        <v>476</v>
      </c>
      <c r="G12" s="48">
        <f>SUM(C12:F12)</f>
        <v>1840.6</v>
      </c>
      <c r="H12" s="13">
        <v>575.1</v>
      </c>
      <c r="I12" s="13">
        <v>643</v>
      </c>
      <c r="J12" s="13">
        <v>671</v>
      </c>
      <c r="K12" s="13">
        <v>663.9</v>
      </c>
      <c r="L12" s="48">
        <f>SUM(H12:K12)</f>
        <v>2553</v>
      </c>
      <c r="M12" s="13">
        <v>657.8</v>
      </c>
      <c r="N12" s="13">
        <v>637.4</v>
      </c>
      <c r="O12" s="13">
        <v>533.5</v>
      </c>
      <c r="P12" s="13">
        <v>524.29999999999995</v>
      </c>
      <c r="Q12" s="48">
        <f>SUM(M12:P12)</f>
        <v>2353</v>
      </c>
      <c r="R12" s="13">
        <v>538.79999999999995</v>
      </c>
      <c r="S12" s="13">
        <v>518.20000000000005</v>
      </c>
      <c r="T12" s="13">
        <v>547.1</v>
      </c>
      <c r="U12" s="13">
        <v>489.5</v>
      </c>
      <c r="V12" s="48">
        <f>SUM(R12:U12)</f>
        <v>2093.6</v>
      </c>
      <c r="W12" s="13"/>
      <c r="X12" s="13"/>
      <c r="Y12" s="13"/>
      <c r="Z12" s="13"/>
      <c r="AA12" s="48">
        <f>SUM(W12:Z12)</f>
        <v>0</v>
      </c>
    </row>
    <row r="13" spans="2:27" x14ac:dyDescent="0.25">
      <c r="B13" s="28" t="s">
        <v>144</v>
      </c>
      <c r="C13" s="28"/>
      <c r="D13" s="28"/>
      <c r="E13" s="28"/>
      <c r="F13" s="28"/>
      <c r="G13" s="37"/>
      <c r="H13" s="29">
        <f t="shared" ref="H13" si="56">(H12-C12)/C12</f>
        <v>0.25321420788842897</v>
      </c>
      <c r="I13" s="29">
        <f t="shared" ref="I13" si="57">(I12-D12)/D12</f>
        <v>0.40117672695576384</v>
      </c>
      <c r="J13" s="29">
        <f t="shared" ref="J13" si="58">(J12-E12)/E12</f>
        <v>0.5017905102954342</v>
      </c>
      <c r="K13" s="29">
        <f t="shared" ref="K13" si="59">(K12-F12)/F12</f>
        <v>0.3947478991596638</v>
      </c>
      <c r="L13" s="41">
        <f>(L12-G12)/G12</f>
        <v>0.38704770183635778</v>
      </c>
      <c r="M13" s="29">
        <f t="shared" ref="M13" si="60">(M12-H12)/H12</f>
        <v>0.14380107807337841</v>
      </c>
      <c r="N13" s="29">
        <f t="shared" ref="N13" si="61">(N12-I12)/I12</f>
        <v>-8.7091757387247632E-3</v>
      </c>
      <c r="O13" s="29">
        <f t="shared" ref="O13" si="62">(O12-J12)/J12</f>
        <v>-0.20491803278688525</v>
      </c>
      <c r="P13" s="29">
        <f t="shared" ref="P13" si="63">(P12-K12)/K12</f>
        <v>-0.21027263142039468</v>
      </c>
      <c r="Q13" s="41">
        <f>(Q12-L12)/L12</f>
        <v>-7.8339208773991378E-2</v>
      </c>
      <c r="R13" s="29">
        <f t="shared" ref="R13" si="64">(R12-M12)/M12</f>
        <v>-0.18090605047126787</v>
      </c>
      <c r="S13" s="29">
        <f>(S12-N12)/N12</f>
        <v>-0.18700972701600241</v>
      </c>
      <c r="T13" s="29">
        <f t="shared" ref="T13" si="65">(T12-O12)/O12</f>
        <v>2.5492033739456462E-2</v>
      </c>
      <c r="U13" s="29">
        <f t="shared" ref="U13" si="66">(U12-P12)/P12</f>
        <v>-6.6374213236696469E-2</v>
      </c>
      <c r="V13" s="41">
        <f>(V12-Q12)/Q12</f>
        <v>-0.11024224394390145</v>
      </c>
      <c r="W13" s="29">
        <f t="shared" ref="W13" si="67">(W12-R12)/R12</f>
        <v>-1</v>
      </c>
      <c r="X13" s="29">
        <f>(X12-S12)/S12</f>
        <v>-1</v>
      </c>
      <c r="Y13" s="29">
        <f t="shared" ref="Y13" si="68">(Y12-T12)/T12</f>
        <v>-1</v>
      </c>
      <c r="Z13" s="29">
        <f t="shared" ref="Z13" si="69">(Z12-U12)/U12</f>
        <v>-1</v>
      </c>
      <c r="AA13" s="41">
        <f>(AA12-V12)/V12</f>
        <v>-1</v>
      </c>
    </row>
    <row r="14" spans="2:27" x14ac:dyDescent="0.25">
      <c r="B14" s="2" t="s">
        <v>138</v>
      </c>
      <c r="C14" s="13">
        <v>90.3</v>
      </c>
      <c r="D14" s="13">
        <v>90.3</v>
      </c>
      <c r="E14" s="13">
        <v>101</v>
      </c>
      <c r="F14" s="13">
        <v>86.1</v>
      </c>
      <c r="G14" s="48">
        <f>SUM(C14:F14)</f>
        <v>367.70000000000005</v>
      </c>
      <c r="H14" s="13">
        <v>132.1</v>
      </c>
      <c r="I14" s="13">
        <v>158.6</v>
      </c>
      <c r="J14" s="13">
        <v>159.9</v>
      </c>
      <c r="K14" s="13">
        <v>140.19999999999999</v>
      </c>
      <c r="L14" s="48">
        <f>SUM(H14:K14)</f>
        <v>590.79999999999995</v>
      </c>
      <c r="M14" s="13">
        <v>180.2</v>
      </c>
      <c r="N14" s="13">
        <v>189.7</v>
      </c>
      <c r="O14" s="13">
        <v>170.8</v>
      </c>
      <c r="P14" s="13">
        <v>146.69999999999999</v>
      </c>
      <c r="Q14" s="48">
        <f>SUM(M14:P14)</f>
        <v>687.40000000000009</v>
      </c>
      <c r="R14" s="13">
        <v>141.30000000000001</v>
      </c>
      <c r="S14" s="13">
        <v>186.6</v>
      </c>
      <c r="T14" s="13">
        <v>162.5</v>
      </c>
      <c r="U14" s="13">
        <v>159.6</v>
      </c>
      <c r="V14" s="48">
        <f>SUM(R14:U14)</f>
        <v>650</v>
      </c>
      <c r="W14" s="13"/>
      <c r="X14" s="13"/>
      <c r="Y14" s="13"/>
      <c r="Z14" s="13"/>
      <c r="AA14" s="48">
        <f>SUM(W14:Z14)</f>
        <v>0</v>
      </c>
    </row>
    <row r="15" spans="2:27" x14ac:dyDescent="0.25">
      <c r="B15" s="28" t="s">
        <v>144</v>
      </c>
      <c r="C15" s="28"/>
      <c r="D15" s="28"/>
      <c r="E15" s="28"/>
      <c r="F15" s="28"/>
      <c r="G15" s="37"/>
      <c r="H15" s="29">
        <f t="shared" ref="H15" si="70">(H14-C14)/C14</f>
        <v>0.46290143964562569</v>
      </c>
      <c r="I15" s="29">
        <f t="shared" ref="I15" si="71">(I14-D14)/D14</f>
        <v>0.75636766334440753</v>
      </c>
      <c r="J15" s="29">
        <f t="shared" ref="J15" si="72">(J14-E14)/E14</f>
        <v>0.58316831683168324</v>
      </c>
      <c r="K15" s="29">
        <f t="shared" ref="K15" si="73">(K14-F14)/F14</f>
        <v>0.62833914053426243</v>
      </c>
      <c r="L15" s="41">
        <f>(L14-G14)/G14</f>
        <v>0.60674462877345625</v>
      </c>
      <c r="M15" s="29">
        <f t="shared" ref="M15" si="74">(M14-H14)/H14</f>
        <v>0.36411809235427706</v>
      </c>
      <c r="N15" s="29">
        <f t="shared" ref="N15" si="75">(N14-I14)/I14</f>
        <v>0.19609079445145017</v>
      </c>
      <c r="O15" s="29">
        <f t="shared" ref="O15" si="76">(O14-J14)/J14</f>
        <v>6.8167604752970637E-2</v>
      </c>
      <c r="P15" s="29">
        <f t="shared" ref="P15" si="77">(P14-K14)/K14</f>
        <v>4.6362339514978604E-2</v>
      </c>
      <c r="Q15" s="41">
        <f>(Q14-L14)/L14</f>
        <v>0.16350710900473958</v>
      </c>
      <c r="R15" s="29">
        <f t="shared" ref="R15" si="78">(R14-M14)/M14</f>
        <v>-0.21587125416204206</v>
      </c>
      <c r="S15" s="29">
        <f>(S14-N14)/N14</f>
        <v>-1.6341591987348417E-2</v>
      </c>
      <c r="T15" s="29">
        <f t="shared" ref="T15" si="79">(T14-O14)/O14</f>
        <v>-4.8594847775175705E-2</v>
      </c>
      <c r="U15" s="29">
        <f t="shared" ref="U15" si="80">(U14-P14)/P14</f>
        <v>8.7934560327198416E-2</v>
      </c>
      <c r="V15" s="41">
        <f>(V14-Q14)/Q14</f>
        <v>-5.4407913878382438E-2</v>
      </c>
      <c r="W15" s="29">
        <f t="shared" ref="W15" si="81">(W14-R14)/R14</f>
        <v>-1</v>
      </c>
      <c r="X15" s="29">
        <f>(X14-S14)/S14</f>
        <v>-1</v>
      </c>
      <c r="Y15" s="29">
        <f t="shared" ref="Y15" si="82">(Y14-T14)/T14</f>
        <v>-1</v>
      </c>
      <c r="Z15" s="29">
        <f t="shared" ref="Z15" si="83">(Z14-U14)/U14</f>
        <v>-1</v>
      </c>
      <c r="AA15" s="41">
        <f>(AA14-V14)/V14</f>
        <v>-1</v>
      </c>
    </row>
    <row r="16" spans="2:27" x14ac:dyDescent="0.25">
      <c r="B16" s="2" t="s">
        <v>139</v>
      </c>
      <c r="C16" s="13">
        <v>34.700000000000003</v>
      </c>
      <c r="D16" s="13">
        <v>34.700000000000003</v>
      </c>
      <c r="E16" s="13">
        <v>30.9</v>
      </c>
      <c r="F16" s="13">
        <v>29.4</v>
      </c>
      <c r="G16" s="48">
        <f>SUM(C16:F16)</f>
        <v>129.70000000000002</v>
      </c>
      <c r="H16" s="13">
        <v>29.2</v>
      </c>
      <c r="I16" s="13">
        <v>39</v>
      </c>
      <c r="J16" s="13">
        <v>40.299999999999997</v>
      </c>
      <c r="K16" s="13">
        <v>37</v>
      </c>
      <c r="L16" s="48">
        <f>SUM(H16:K16)</f>
        <v>145.5</v>
      </c>
      <c r="M16" s="13">
        <v>32.9</v>
      </c>
      <c r="N16" s="13">
        <v>35.1</v>
      </c>
      <c r="O16" s="13">
        <v>33.6</v>
      </c>
      <c r="P16" s="13">
        <v>26.8</v>
      </c>
      <c r="Q16" s="48">
        <f>SUM(M16:P16)</f>
        <v>128.4</v>
      </c>
      <c r="R16" s="13">
        <v>52</v>
      </c>
      <c r="S16" s="13">
        <v>63.3</v>
      </c>
      <c r="T16" s="13">
        <v>69.099999999999994</v>
      </c>
      <c r="U16" s="13">
        <v>58.7</v>
      </c>
      <c r="V16" s="48">
        <f>SUM(R16:U16)</f>
        <v>243.09999999999997</v>
      </c>
      <c r="W16" s="13"/>
      <c r="X16" s="13"/>
      <c r="Y16" s="13"/>
      <c r="Z16" s="13"/>
      <c r="AA16" s="48">
        <f>SUM(W16:Z16)</f>
        <v>0</v>
      </c>
    </row>
    <row r="17" spans="2:27" x14ac:dyDescent="0.25">
      <c r="B17" s="28" t="s">
        <v>144</v>
      </c>
      <c r="C17" s="28"/>
      <c r="D17" s="28"/>
      <c r="E17" s="28"/>
      <c r="F17" s="28"/>
      <c r="G17" s="37"/>
      <c r="H17" s="29">
        <f t="shared" ref="H17" si="84">(H16-C16)/C16</f>
        <v>-0.15850144092219029</v>
      </c>
      <c r="I17" s="29">
        <f t="shared" ref="I17" si="85">(I16-D16)/D16</f>
        <v>0.12391930835734861</v>
      </c>
      <c r="J17" s="29">
        <f t="shared" ref="J17" si="86">(J16-E16)/E16</f>
        <v>0.30420711974110032</v>
      </c>
      <c r="K17" s="29">
        <f t="shared" ref="K17" si="87">(K16-F16)/F16</f>
        <v>0.25850340136054428</v>
      </c>
      <c r="L17" s="41">
        <f>(L16-G16)/G16</f>
        <v>0.12181958365458737</v>
      </c>
      <c r="M17" s="29">
        <f t="shared" ref="M17" si="88">(M16-H16)/H16</f>
        <v>0.12671232876712327</v>
      </c>
      <c r="N17" s="29">
        <f t="shared" ref="N17" si="89">(N16-I16)/I16</f>
        <v>-9.9999999999999964E-2</v>
      </c>
      <c r="O17" s="29">
        <f t="shared" ref="O17" si="90">(O16-J16)/J16</f>
        <v>-0.16625310173697261</v>
      </c>
      <c r="P17" s="29">
        <f t="shared" ref="P17" si="91">(P16-K16)/K16</f>
        <v>-0.27567567567567564</v>
      </c>
      <c r="Q17" s="41">
        <f>(Q16-L16)/L16</f>
        <v>-0.11752577319587625</v>
      </c>
      <c r="R17" s="29">
        <f t="shared" ref="R17" si="92">(R16-M16)/M16</f>
        <v>0.58054711246200619</v>
      </c>
      <c r="S17" s="29">
        <f>(S16-N16)/N16</f>
        <v>0.80341880341880323</v>
      </c>
      <c r="T17" s="29">
        <f t="shared" ref="T17" si="93">(T16-O16)/O16</f>
        <v>1.0565476190476188</v>
      </c>
      <c r="U17" s="29">
        <f t="shared" ref="U17" si="94">(U16-P16)/P16</f>
        <v>1.1902985074626866</v>
      </c>
      <c r="V17" s="41">
        <f>(V16-Q16)/Q16</f>
        <v>0.89330218068535794</v>
      </c>
      <c r="W17" s="29">
        <f t="shared" ref="W17" si="95">(W16-R16)/R16</f>
        <v>-1</v>
      </c>
      <c r="X17" s="29">
        <f>(X16-S16)/S16</f>
        <v>-1</v>
      </c>
      <c r="Y17" s="29">
        <f t="shared" ref="Y17" si="96">(Y16-T16)/T16</f>
        <v>-1</v>
      </c>
      <c r="Z17" s="29">
        <f t="shared" ref="Z17" si="97">(Z16-U16)/U16</f>
        <v>-1</v>
      </c>
      <c r="AA17" s="41">
        <f>(AA16-V16)/V16</f>
        <v>-1</v>
      </c>
    </row>
    <row r="18" spans="2:27" x14ac:dyDescent="0.25">
      <c r="B18" s="2" t="s">
        <v>140</v>
      </c>
      <c r="C18" s="13">
        <v>29</v>
      </c>
      <c r="D18" s="13">
        <v>29</v>
      </c>
      <c r="E18" s="13">
        <v>22.6</v>
      </c>
      <c r="F18" s="13">
        <v>44.8</v>
      </c>
      <c r="G18" s="48">
        <f>SUM(C18:F18)</f>
        <v>125.39999999999999</v>
      </c>
      <c r="H18" s="13">
        <v>31.6</v>
      </c>
      <c r="I18" s="13">
        <v>35.9</v>
      </c>
      <c r="J18" s="13">
        <v>39.1</v>
      </c>
      <c r="K18" s="13">
        <v>35.9</v>
      </c>
      <c r="L18" s="48">
        <f>SUM(H18:K18)</f>
        <v>142.5</v>
      </c>
      <c r="M18" s="13">
        <v>40.299999999999997</v>
      </c>
      <c r="N18" s="13">
        <v>53.3</v>
      </c>
      <c r="O18" s="13">
        <v>40.9</v>
      </c>
      <c r="P18" s="13">
        <v>40.5</v>
      </c>
      <c r="Q18" s="48">
        <f>SUM(M18:P18)</f>
        <v>175</v>
      </c>
      <c r="R18" s="13">
        <v>57.6</v>
      </c>
      <c r="S18" s="13">
        <v>43.7</v>
      </c>
      <c r="T18" s="13">
        <v>34.1</v>
      </c>
      <c r="U18" s="13">
        <v>47.4</v>
      </c>
      <c r="V18" s="48">
        <f>SUM(R18:U18)</f>
        <v>182.8</v>
      </c>
      <c r="W18" s="13"/>
      <c r="X18" s="13"/>
      <c r="Y18" s="13"/>
      <c r="Z18" s="13"/>
      <c r="AA18" s="48">
        <f>SUM(W18:Z18)</f>
        <v>0</v>
      </c>
    </row>
    <row r="19" spans="2:27" x14ac:dyDescent="0.25">
      <c r="B19" s="28" t="s">
        <v>144</v>
      </c>
      <c r="C19" s="28"/>
      <c r="D19" s="28"/>
      <c r="E19" s="28"/>
      <c r="F19" s="28"/>
      <c r="G19" s="37"/>
      <c r="H19" s="29">
        <f t="shared" ref="H19" si="98">(H18-C18)/C18</f>
        <v>8.9655172413793158E-2</v>
      </c>
      <c r="I19" s="29">
        <f t="shared" ref="I19" si="99">(I18-D18)/D18</f>
        <v>0.23793103448275857</v>
      </c>
      <c r="J19" s="29">
        <f t="shared" ref="J19" si="100">(J18-E18)/E18</f>
        <v>0.73008849557522115</v>
      </c>
      <c r="K19" s="29">
        <f t="shared" ref="K19" si="101">(K18-F18)/F18</f>
        <v>-0.19866071428571427</v>
      </c>
      <c r="L19" s="41">
        <f>(L18-G18)/G18</f>
        <v>0.13636363636363644</v>
      </c>
      <c r="M19" s="29">
        <f t="shared" ref="M19" si="102">(M18-H18)/H18</f>
        <v>0.27531645569620239</v>
      </c>
      <c r="N19" s="29">
        <f t="shared" ref="N19" si="103">(N18-I18)/I18</f>
        <v>0.48467966573816151</v>
      </c>
      <c r="O19" s="29">
        <f t="shared" ref="O19" si="104">(O18-J18)/J18</f>
        <v>4.603580562659839E-2</v>
      </c>
      <c r="P19" s="29">
        <f t="shared" ref="P19" si="105">(P18-K18)/K18</f>
        <v>0.12813370473537608</v>
      </c>
      <c r="Q19" s="41">
        <f>(Q18-L18)/L18</f>
        <v>0.22807017543859648</v>
      </c>
      <c r="R19" s="29">
        <f t="shared" ref="R19" si="106">(R18-M18)/M18</f>
        <v>0.42928039702233262</v>
      </c>
      <c r="S19" s="29">
        <f>(S18-N18)/N18</f>
        <v>-0.18011257035647271</v>
      </c>
      <c r="T19" s="29">
        <f t="shared" ref="T19" si="107">(T18-O18)/O18</f>
        <v>-0.16625916870415641</v>
      </c>
      <c r="U19" s="29">
        <f t="shared" ref="U19" si="108">(U18-P18)/P18</f>
        <v>0.17037037037037034</v>
      </c>
      <c r="V19" s="41">
        <f>(V18-Q18)/Q18</f>
        <v>4.4571428571428637E-2</v>
      </c>
      <c r="W19" s="29">
        <f t="shared" ref="W19" si="109">(W18-R18)/R18</f>
        <v>-1</v>
      </c>
      <c r="X19" s="29">
        <f>(X18-S18)/S18</f>
        <v>-1</v>
      </c>
      <c r="Y19" s="29">
        <f t="shared" ref="Y19" si="110">(Y18-T18)/T18</f>
        <v>-1</v>
      </c>
      <c r="Z19" s="29">
        <f t="shared" ref="Z19" si="111">(Z18-U18)/U18</f>
        <v>-1</v>
      </c>
      <c r="AA19" s="41">
        <f>(AA18-V18)/V18</f>
        <v>-1</v>
      </c>
    </row>
    <row r="20" spans="2:27" x14ac:dyDescent="0.25">
      <c r="B20" s="2" t="s">
        <v>141</v>
      </c>
      <c r="C20" s="13">
        <v>12.9</v>
      </c>
      <c r="D20" s="13">
        <v>12.9</v>
      </c>
      <c r="E20" s="13">
        <v>20.5</v>
      </c>
      <c r="F20" s="13">
        <v>25.5</v>
      </c>
      <c r="G20" s="48">
        <f>SUM(C20:F20)</f>
        <v>71.8</v>
      </c>
      <c r="H20" s="13">
        <v>10.5</v>
      </c>
      <c r="I20" s="13">
        <v>14.3</v>
      </c>
      <c r="J20" s="13">
        <v>18.600000000000001</v>
      </c>
      <c r="K20" s="13">
        <v>14.2</v>
      </c>
      <c r="L20" s="48">
        <f>SUM(H20:K20)</f>
        <v>57.600000000000009</v>
      </c>
      <c r="M20" s="13">
        <v>13</v>
      </c>
      <c r="N20" s="13">
        <v>20.6</v>
      </c>
      <c r="O20" s="13">
        <v>27.4</v>
      </c>
      <c r="P20" s="13">
        <v>25.8</v>
      </c>
      <c r="Q20" s="48">
        <f>SUM(M20:P20)</f>
        <v>86.8</v>
      </c>
      <c r="R20" s="13">
        <v>19.7</v>
      </c>
      <c r="S20" s="13">
        <v>30.8</v>
      </c>
      <c r="T20" s="13">
        <v>31.5</v>
      </c>
      <c r="U20" s="13">
        <v>22.3</v>
      </c>
      <c r="V20" s="48">
        <f>SUM(R20:U20)</f>
        <v>104.3</v>
      </c>
      <c r="W20" s="13"/>
      <c r="X20" s="13"/>
      <c r="Y20" s="13"/>
      <c r="Z20" s="13"/>
      <c r="AA20" s="48">
        <f>SUM(W20:Z20)</f>
        <v>0</v>
      </c>
    </row>
    <row r="21" spans="2:27" x14ac:dyDescent="0.25">
      <c r="B21" s="28" t="s">
        <v>144</v>
      </c>
      <c r="C21" s="28"/>
      <c r="D21" s="28"/>
      <c r="E21" s="28"/>
      <c r="F21" s="28"/>
      <c r="G21" s="37"/>
      <c r="H21" s="29">
        <f t="shared" ref="H21" si="112">(H20-C20)/C20</f>
        <v>-0.186046511627907</v>
      </c>
      <c r="I21" s="29">
        <f t="shared" ref="I21" si="113">(I20-D20)/D20</f>
        <v>0.10852713178294576</v>
      </c>
      <c r="J21" s="29">
        <f t="shared" ref="J21" si="114">(J20-E20)/E20</f>
        <v>-9.2682926829268222E-2</v>
      </c>
      <c r="K21" s="29">
        <f t="shared" ref="K21" si="115">(K20-F20)/F20</f>
        <v>-0.44313725490196082</v>
      </c>
      <c r="L21" s="41">
        <f>(L20-G20)/G20</f>
        <v>-0.19777158774373244</v>
      </c>
      <c r="M21" s="29">
        <f t="shared" ref="M21" si="116">(M20-H20)/H20</f>
        <v>0.23809523809523808</v>
      </c>
      <c r="N21" s="29">
        <f t="shared" ref="N21" si="117">(N20-I20)/I20</f>
        <v>0.44055944055944057</v>
      </c>
      <c r="O21" s="29">
        <f t="shared" ref="O21" si="118">(O20-J20)/J20</f>
        <v>0.47311827956989227</v>
      </c>
      <c r="P21" s="29">
        <f t="shared" ref="P21" si="119">(P20-K20)/K20</f>
        <v>0.81690140845070436</v>
      </c>
      <c r="Q21" s="41">
        <f>(Q20-L20)/L20</f>
        <v>0.5069444444444442</v>
      </c>
      <c r="R21" s="29">
        <f t="shared" ref="R21" si="120">(R20-M20)/M20</f>
        <v>0.51538461538461533</v>
      </c>
      <c r="S21" s="29">
        <f>(S20-N20)/N20</f>
        <v>0.49514563106796111</v>
      </c>
      <c r="T21" s="29">
        <f t="shared" ref="T21" si="121">(T20-O20)/O20</f>
        <v>0.14963503649635043</v>
      </c>
      <c r="U21" s="29">
        <f t="shared" ref="U21" si="122">(U20-P20)/P20</f>
        <v>-0.13565891472868216</v>
      </c>
      <c r="V21" s="41">
        <f>(V20-Q20)/Q20</f>
        <v>0.20161290322580647</v>
      </c>
      <c r="W21" s="29">
        <f t="shared" ref="W21" si="123">(W20-R20)/R20</f>
        <v>-1</v>
      </c>
      <c r="X21" s="29">
        <f>(X20-S20)/S20</f>
        <v>-1</v>
      </c>
      <c r="Y21" s="29">
        <f t="shared" ref="Y21" si="124">(Y20-T20)/T20</f>
        <v>-1</v>
      </c>
      <c r="Z21" s="29">
        <f t="shared" ref="Z21" si="125">(Z20-U20)/U20</f>
        <v>-1</v>
      </c>
      <c r="AA21" s="41">
        <f>(AA20-V20)/V20</f>
        <v>-1</v>
      </c>
    </row>
    <row r="22" spans="2:27" x14ac:dyDescent="0.25">
      <c r="B22" s="2" t="s">
        <v>142</v>
      </c>
      <c r="C22" s="13">
        <v>32.799999999999997</v>
      </c>
      <c r="D22" s="13">
        <v>32.799999999999997</v>
      </c>
      <c r="E22" s="13">
        <v>28.1</v>
      </c>
      <c r="F22" s="13">
        <v>30.2</v>
      </c>
      <c r="G22" s="48">
        <f>SUM(C22:F22)</f>
        <v>123.89999999999999</v>
      </c>
      <c r="H22" s="13">
        <v>29</v>
      </c>
      <c r="I22" s="13">
        <v>32.200000000000003</v>
      </c>
      <c r="J22" s="13">
        <v>34.700000000000003</v>
      </c>
      <c r="K22" s="13">
        <v>55.2</v>
      </c>
      <c r="L22" s="48">
        <f>SUM(H22:K22)</f>
        <v>151.10000000000002</v>
      </c>
      <c r="M22" s="13">
        <v>61.2</v>
      </c>
      <c r="N22" s="13">
        <v>63.1</v>
      </c>
      <c r="O22" s="13">
        <v>66.5</v>
      </c>
      <c r="P22" s="13">
        <v>71.2</v>
      </c>
      <c r="Q22" s="48">
        <f>SUM(M22:P22)</f>
        <v>262</v>
      </c>
      <c r="R22" s="13">
        <v>57.8</v>
      </c>
      <c r="S22" s="13">
        <v>61.3</v>
      </c>
      <c r="T22" s="13">
        <v>68.5</v>
      </c>
      <c r="U22" s="13">
        <v>68.5</v>
      </c>
      <c r="V22" s="48">
        <f>SUM(R22:U22)</f>
        <v>256.10000000000002</v>
      </c>
      <c r="W22" s="13"/>
      <c r="X22" s="13"/>
      <c r="Y22" s="13"/>
      <c r="Z22" s="13"/>
      <c r="AA22" s="48">
        <f>SUM(W22:Z22)</f>
        <v>0</v>
      </c>
    </row>
    <row r="23" spans="2:27" x14ac:dyDescent="0.25">
      <c r="B23" s="28" t="s">
        <v>144</v>
      </c>
      <c r="C23" s="28"/>
      <c r="D23" s="28"/>
      <c r="E23" s="28"/>
      <c r="F23" s="28"/>
      <c r="G23" s="42"/>
      <c r="H23" s="29">
        <f t="shared" ref="H23" si="126">(H22-C22)/C22</f>
        <v>-0.11585365853658529</v>
      </c>
      <c r="I23" s="29">
        <f t="shared" ref="I23" si="127">(I22-D22)/D22</f>
        <v>-1.8292682926829097E-2</v>
      </c>
      <c r="J23" s="29">
        <f>(J22-E22)/E22</f>
        <v>0.2348754448398577</v>
      </c>
      <c r="K23" s="29">
        <f t="shared" ref="K23" si="128">(K22-F22)/F22</f>
        <v>0.82781456953642396</v>
      </c>
      <c r="L23" s="41">
        <f>(L22-G22)/G22</f>
        <v>0.21953188054882997</v>
      </c>
      <c r="M23" s="29">
        <f t="shared" ref="M23" si="129">(M22-H22)/H22</f>
        <v>1.1103448275862069</v>
      </c>
      <c r="N23" s="29">
        <f t="shared" ref="N23" si="130">(N22-I22)/I22</f>
        <v>0.95962732919254645</v>
      </c>
      <c r="O23" s="29">
        <f t="shared" ref="O23" si="131">(O22-J22)/J22</f>
        <v>0.91642651296829958</v>
      </c>
      <c r="P23" s="29">
        <f t="shared" ref="P23" si="132">(P22-K22)/K22</f>
        <v>0.28985507246376813</v>
      </c>
      <c r="Q23" s="41">
        <f>(Q22-L22)/L22</f>
        <v>0.73395102581072114</v>
      </c>
      <c r="R23" s="29">
        <f t="shared" ref="R23" si="133">(R22-M22)/M22</f>
        <v>-5.5555555555555643E-2</v>
      </c>
      <c r="S23" s="29">
        <f>(S22-N22)/N22</f>
        <v>-2.8526148969889132E-2</v>
      </c>
      <c r="T23" s="29">
        <f t="shared" ref="T23" si="134">(T22-O22)/O22</f>
        <v>3.007518796992481E-2</v>
      </c>
      <c r="U23" s="29">
        <f t="shared" ref="U23" si="135">(U22-P22)/P22</f>
        <v>-3.7921348314606779E-2</v>
      </c>
      <c r="V23" s="41">
        <f>(V22-Q22)/Q22</f>
        <v>-2.2519083969465562E-2</v>
      </c>
      <c r="W23" s="29">
        <f t="shared" ref="W23" si="136">(W22-R22)/R22</f>
        <v>-1</v>
      </c>
      <c r="X23" s="29">
        <f>(X22-S22)/S22</f>
        <v>-1</v>
      </c>
      <c r="Y23" s="29">
        <f t="shared" ref="Y23" si="137">(Y22-T22)/T22</f>
        <v>-1</v>
      </c>
      <c r="Z23" s="29">
        <f t="shared" ref="Z23" si="138">(Z22-U22)/U22</f>
        <v>-1</v>
      </c>
      <c r="AA23" s="41">
        <f>(AA22-V22)/V22</f>
        <v>-1</v>
      </c>
    </row>
    <row r="24" spans="2:27" x14ac:dyDescent="0.25">
      <c r="B24" s="30" t="s">
        <v>143</v>
      </c>
      <c r="C24" s="45">
        <f t="shared" ref="C24:R24" si="139">C4+C6+C8+C10+C12+C14+C16+C18+C20+C22</f>
        <v>1178.0000000000002</v>
      </c>
      <c r="D24" s="45">
        <f t="shared" si="139"/>
        <v>1141.4000000000001</v>
      </c>
      <c r="E24" s="45">
        <f t="shared" si="139"/>
        <v>1091.6999999999998</v>
      </c>
      <c r="F24" s="45">
        <f t="shared" si="139"/>
        <v>1191.6000000000001</v>
      </c>
      <c r="G24" s="46">
        <f>SUM(C24:F24)</f>
        <v>4602.7000000000007</v>
      </c>
      <c r="H24" s="45">
        <f t="shared" si="139"/>
        <v>1399.3999999999999</v>
      </c>
      <c r="I24" s="45">
        <f t="shared" si="139"/>
        <v>1450.3</v>
      </c>
      <c r="J24" s="45">
        <f t="shared" si="139"/>
        <v>1439.8</v>
      </c>
      <c r="K24" s="45">
        <f t="shared" si="139"/>
        <v>1449.9000000000003</v>
      </c>
      <c r="L24" s="46">
        <f>SUM(H24:K24)</f>
        <v>5739.4000000000005</v>
      </c>
      <c r="M24" s="45">
        <f t="shared" si="139"/>
        <v>1535.0000000000002</v>
      </c>
      <c r="N24" s="45">
        <f t="shared" si="139"/>
        <v>1494.2999999999997</v>
      </c>
      <c r="O24" s="45">
        <f t="shared" si="139"/>
        <v>1273</v>
      </c>
      <c r="P24" s="45">
        <f t="shared" si="139"/>
        <v>1276.6999999999998</v>
      </c>
      <c r="Q24" s="46">
        <f>SUM(M24:P24)</f>
        <v>5579</v>
      </c>
      <c r="R24" s="45">
        <f t="shared" si="139"/>
        <v>1351.1999999999998</v>
      </c>
      <c r="S24" s="45">
        <f>S4+S6+S8+S10+S12+S14+S16+S18+S20+S22</f>
        <v>1362.5</v>
      </c>
      <c r="T24" s="45">
        <f>T4+T6+T8+T10+T12+T14+T16+T18+T20+T22</f>
        <v>1367.8999999999999</v>
      </c>
      <c r="U24" s="45">
        <f>U4+U6+U8+U10+U12+U14+U16+U18+U20+U22</f>
        <v>1312.4</v>
      </c>
      <c r="V24" s="46">
        <f>SUM(R24:U24)</f>
        <v>5394</v>
      </c>
      <c r="W24" s="45">
        <f t="shared" ref="W24" si="140">W4+W6+W8+W10+W12+W14+W16+W18+W20+W22</f>
        <v>0</v>
      </c>
      <c r="X24" s="45">
        <f>X4+X6+X8+X10+X12+X14+X16+X18+X20+X22</f>
        <v>0</v>
      </c>
      <c r="Y24" s="45">
        <f>Y4+Y6+Y8+Y10+Y12+Y14+Y16+Y18+Y20+Y22</f>
        <v>0</v>
      </c>
      <c r="Z24" s="47"/>
      <c r="AA24" s="46">
        <f>SUM(W24:Z24)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D1C9-4374-B04E-A3D0-82D6C0D7A750}">
  <dimension ref="A6:G64"/>
  <sheetViews>
    <sheetView showGridLines="0" workbookViewId="0">
      <selection activeCell="K13" sqref="K13"/>
    </sheetView>
  </sheetViews>
  <sheetFormatPr baseColWidth="10" defaultRowHeight="24" x14ac:dyDescent="0.3"/>
  <cols>
    <col min="1" max="2" width="10.83203125" style="52"/>
    <col min="3" max="3" width="29.5" style="52" customWidth="1"/>
    <col min="4" max="4" width="14" style="52" customWidth="1"/>
    <col min="5" max="5" width="12.33203125" style="52" customWidth="1"/>
    <col min="6" max="6" width="10.83203125" style="52"/>
    <col min="7" max="7" width="15" style="52" customWidth="1"/>
    <col min="8" max="16384" width="10.83203125" style="52"/>
  </cols>
  <sheetData>
    <row r="6" spans="3:7" x14ac:dyDescent="0.3">
      <c r="C6" s="54" t="s">
        <v>160</v>
      </c>
      <c r="D6" s="54" t="s">
        <v>161</v>
      </c>
      <c r="E6" s="54" t="s">
        <v>29</v>
      </c>
      <c r="F6" s="54" t="s">
        <v>162</v>
      </c>
      <c r="G6" s="54" t="s">
        <v>163</v>
      </c>
    </row>
    <row r="7" spans="3:7" x14ac:dyDescent="0.3">
      <c r="C7" s="55" t="s">
        <v>164</v>
      </c>
      <c r="D7" s="55">
        <v>335</v>
      </c>
      <c r="E7" s="55">
        <v>15</v>
      </c>
      <c r="F7" s="56">
        <f>D7*E7</f>
        <v>5025</v>
      </c>
      <c r="G7" s="57">
        <f>F7/Modell!$B$5</f>
        <v>200.97588289405272</v>
      </c>
    </row>
    <row r="8" spans="3:7" x14ac:dyDescent="0.3">
      <c r="C8" s="55" t="s">
        <v>165</v>
      </c>
      <c r="D8" s="55">
        <v>300</v>
      </c>
      <c r="E8" s="55">
        <v>5</v>
      </c>
      <c r="F8" s="56">
        <f t="shared" ref="F8:F9" si="0">D8*E8</f>
        <v>1500</v>
      </c>
      <c r="G8" s="57">
        <f>F8/Modell!$B$5</f>
        <v>59.992800863896335</v>
      </c>
    </row>
    <row r="9" spans="3:7" x14ac:dyDescent="0.3">
      <c r="C9" s="55" t="s">
        <v>166</v>
      </c>
      <c r="D9" s="55">
        <v>130</v>
      </c>
      <c r="E9" s="55">
        <v>10</v>
      </c>
      <c r="F9" s="56">
        <f t="shared" si="0"/>
        <v>1300</v>
      </c>
      <c r="G9" s="57">
        <f>F9/Modell!$B$5</f>
        <v>51.993760748710152</v>
      </c>
    </row>
    <row r="10" spans="3:7" x14ac:dyDescent="0.3">
      <c r="C10" s="54" t="s">
        <v>169</v>
      </c>
      <c r="D10" s="54"/>
      <c r="E10" s="54"/>
      <c r="F10" s="61"/>
      <c r="G10" s="60">
        <f>SUM(G7:G9)</f>
        <v>312.96244450665921</v>
      </c>
    </row>
    <row r="11" spans="3:7" x14ac:dyDescent="0.3">
      <c r="C11" s="58"/>
      <c r="D11" s="58"/>
      <c r="E11" s="58"/>
      <c r="F11" s="58"/>
      <c r="G11" s="58"/>
    </row>
    <row r="12" spans="3:7" x14ac:dyDescent="0.3">
      <c r="C12" s="55" t="s">
        <v>103</v>
      </c>
      <c r="D12" s="55"/>
      <c r="E12" s="55"/>
      <c r="F12" s="56">
        <f>Modell!B7</f>
        <v>984</v>
      </c>
      <c r="G12" s="57">
        <f>F12/Modell!$B$5</f>
        <v>39.355277366715995</v>
      </c>
    </row>
    <row r="13" spans="3:7" x14ac:dyDescent="0.3">
      <c r="C13" s="55" t="s">
        <v>167</v>
      </c>
      <c r="D13" s="55"/>
      <c r="E13" s="55"/>
      <c r="F13" s="56">
        <f>Modell!B8</f>
        <v>1480.2</v>
      </c>
      <c r="G13" s="57">
        <f>-F13/Modell!$B$5</f>
        <v>-59.200895892492902</v>
      </c>
    </row>
    <row r="14" spans="3:7" x14ac:dyDescent="0.3">
      <c r="C14" s="58"/>
      <c r="D14" s="58"/>
      <c r="E14" s="58"/>
      <c r="F14" s="58"/>
      <c r="G14" s="58"/>
    </row>
    <row r="15" spans="3:7" x14ac:dyDescent="0.3">
      <c r="C15" s="54" t="s">
        <v>168</v>
      </c>
      <c r="D15" s="54"/>
      <c r="E15" s="54"/>
      <c r="F15" s="54"/>
      <c r="G15" s="60">
        <f>SUM(G10:G13)</f>
        <v>293.11682598088231</v>
      </c>
    </row>
    <row r="56" spans="1:2" x14ac:dyDescent="0.3">
      <c r="A56" s="52" t="s">
        <v>164</v>
      </c>
      <c r="B56" s="53">
        <f>G7</f>
        <v>200.97588289405272</v>
      </c>
    </row>
    <row r="57" spans="1:2" x14ac:dyDescent="0.3">
      <c r="A57" s="52" t="s">
        <v>165</v>
      </c>
      <c r="B57" s="53">
        <f t="shared" ref="B57:B58" si="1">G8</f>
        <v>59.992800863896335</v>
      </c>
    </row>
    <row r="58" spans="1:2" x14ac:dyDescent="0.3">
      <c r="A58" s="52" t="s">
        <v>166</v>
      </c>
      <c r="B58" s="53">
        <f t="shared" si="1"/>
        <v>51.993760748710152</v>
      </c>
    </row>
    <row r="59" spans="1:2" x14ac:dyDescent="0.3">
      <c r="A59" s="52" t="s">
        <v>170</v>
      </c>
      <c r="B59" s="53">
        <f>G10</f>
        <v>312.96244450665921</v>
      </c>
    </row>
    <row r="60" spans="1:2" x14ac:dyDescent="0.3">
      <c r="A60" s="59"/>
      <c r="B60" s="53"/>
    </row>
    <row r="61" spans="1:2" x14ac:dyDescent="0.3">
      <c r="A61" s="52" t="s">
        <v>103</v>
      </c>
      <c r="B61" s="53">
        <f>G12</f>
        <v>39.355277366715995</v>
      </c>
    </row>
    <row r="62" spans="1:2" x14ac:dyDescent="0.3">
      <c r="A62" s="52" t="s">
        <v>167</v>
      </c>
      <c r="B62" s="53">
        <f>G13</f>
        <v>-59.200895892492902</v>
      </c>
    </row>
    <row r="63" spans="1:2" x14ac:dyDescent="0.3">
      <c r="A63" s="59"/>
      <c r="B63" s="53"/>
    </row>
    <row r="64" spans="1:2" x14ac:dyDescent="0.3">
      <c r="A64" s="52" t="s">
        <v>168</v>
      </c>
      <c r="B64" s="53">
        <f>G15</f>
        <v>293.11682598088231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tabSelected="1" workbookViewId="0">
      <selection activeCell="E14" sqref="E14"/>
    </sheetView>
  </sheetViews>
  <sheetFormatPr baseColWidth="10" defaultRowHeight="16" x14ac:dyDescent="0.2"/>
  <cols>
    <col min="3" max="3" width="29.5" bestFit="1" customWidth="1"/>
    <col min="4" max="4" width="28.5" bestFit="1" customWidth="1"/>
    <col min="5" max="6" width="28.33203125" bestFit="1" customWidth="1"/>
    <col min="7" max="7" width="21" customWidth="1"/>
  </cols>
  <sheetData>
    <row r="4" spans="3:6" ht="62" x14ac:dyDescent="0.7">
      <c r="C4" s="23"/>
      <c r="D4" s="23">
        <v>2026</v>
      </c>
      <c r="E4" s="23">
        <v>2027</v>
      </c>
      <c r="F4" s="23">
        <v>2028</v>
      </c>
    </row>
    <row r="5" spans="3:6" ht="62" x14ac:dyDescent="0.7">
      <c r="C5" s="23" t="s">
        <v>29</v>
      </c>
      <c r="D5" s="24">
        <f>Modell!$B$9/Modell!AJ13</f>
        <v>12.103543745052871</v>
      </c>
      <c r="E5" s="24">
        <f>Modell!$B$9/Modell!AK13</f>
        <v>11.527184519097954</v>
      </c>
      <c r="F5" s="24">
        <f>Modell!$B$9/Modell!AL13</f>
        <v>10.978270970569492</v>
      </c>
    </row>
    <row r="6" spans="3:6" ht="62" x14ac:dyDescent="0.7">
      <c r="C6" s="23" t="s">
        <v>30</v>
      </c>
      <c r="D6" s="24">
        <f>Modell!$B$4/Modell!AJ19</f>
        <v>15.46464085638061</v>
      </c>
      <c r="E6" s="24">
        <f>Modell!$B$4/Modell!AK19</f>
        <v>14.67216663861416</v>
      </c>
      <c r="F6" s="24">
        <f>Modell!$B$4/Modell!AL19</f>
        <v>13.923018012627796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FD4E-2386-044A-A8A9-8324D86DB357}">
  <dimension ref="A3:XEL25"/>
  <sheetViews>
    <sheetView showGridLines="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U27" sqref="U27"/>
    </sheetView>
  </sheetViews>
  <sheetFormatPr baseColWidth="10" defaultRowHeight="16" x14ac:dyDescent="0.2"/>
  <cols>
    <col min="2" max="2" width="20.6640625" style="43" customWidth="1"/>
    <col min="3" max="3" width="24.5" customWidth="1"/>
    <col min="27" max="27" width="13.33203125" bestFit="1" customWidth="1"/>
  </cols>
  <sheetData>
    <row r="3" spans="1:16366" ht="19" x14ac:dyDescent="0.25">
      <c r="D3" s="7" t="s">
        <v>124</v>
      </c>
      <c r="E3" s="7" t="s">
        <v>125</v>
      </c>
      <c r="F3" s="7" t="s">
        <v>122</v>
      </c>
      <c r="G3" s="7" t="s">
        <v>123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6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</row>
    <row r="4" spans="1:16366" ht="19" x14ac:dyDescent="0.25">
      <c r="A4" s="1" t="s">
        <v>153</v>
      </c>
      <c r="C4" s="1" t="s">
        <v>47</v>
      </c>
      <c r="D4" s="11">
        <v>1315.3</v>
      </c>
      <c r="E4" s="11">
        <v>1543.9</v>
      </c>
      <c r="F4" s="11">
        <v>3002.0450000000001</v>
      </c>
      <c r="G4" s="11">
        <v>3492.4490000000001</v>
      </c>
      <c r="H4" s="11">
        <v>3725.442</v>
      </c>
      <c r="I4" s="11">
        <v>3147.1570000000002</v>
      </c>
      <c r="J4" s="11">
        <v>3611.2240000000002</v>
      </c>
      <c r="K4" s="11">
        <v>4579.9780000000001</v>
      </c>
      <c r="L4" s="11">
        <v>5739.7560000000003</v>
      </c>
      <c r="M4" s="11">
        <v>5578.8590000000004</v>
      </c>
      <c r="N4" s="12">
        <f>M4*0.9</f>
        <v>5020.9731000000002</v>
      </c>
      <c r="O4" s="11">
        <f>N4*1</f>
        <v>5020.9731000000002</v>
      </c>
      <c r="P4" s="11">
        <f t="shared" ref="P4:X4" si="0">O4*1</f>
        <v>5020.9731000000002</v>
      </c>
      <c r="Q4" s="11">
        <f t="shared" si="0"/>
        <v>5020.9731000000002</v>
      </c>
      <c r="R4" s="11">
        <f t="shared" si="0"/>
        <v>5020.9731000000002</v>
      </c>
      <c r="S4" s="11">
        <f t="shared" si="0"/>
        <v>5020.9731000000002</v>
      </c>
      <c r="T4" s="11">
        <f t="shared" si="0"/>
        <v>5020.9731000000002</v>
      </c>
      <c r="U4" s="11">
        <f t="shared" si="0"/>
        <v>5020.9731000000002</v>
      </c>
      <c r="V4" s="11">
        <f t="shared" si="0"/>
        <v>5020.9731000000002</v>
      </c>
      <c r="W4" s="11">
        <f t="shared" si="0"/>
        <v>5020.9731000000002</v>
      </c>
      <c r="X4" s="11">
        <f t="shared" si="0"/>
        <v>5020.9731000000002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</row>
    <row r="5" spans="1:16366" ht="19" x14ac:dyDescent="0.25">
      <c r="A5" s="44">
        <f>AA24</f>
        <v>220.82564964572092</v>
      </c>
      <c r="C5" s="2" t="s">
        <v>48</v>
      </c>
      <c r="D5" s="13"/>
      <c r="E5" s="13"/>
      <c r="F5" s="13">
        <v>-1934.143</v>
      </c>
      <c r="G5" s="13">
        <v>-2301.5720000000001</v>
      </c>
      <c r="H5" s="13">
        <v>-2471.5500000000002</v>
      </c>
      <c r="I5" s="13">
        <v>-2083.607</v>
      </c>
      <c r="J5" s="13">
        <v>-2446.404</v>
      </c>
      <c r="K5" s="13">
        <v>-3232.6909999999998</v>
      </c>
      <c r="L5" s="13">
        <v>-3980.7640000000001</v>
      </c>
      <c r="M5" s="13">
        <v>-3773.1819999999998</v>
      </c>
      <c r="N5" s="14">
        <f>N4*-0.67</f>
        <v>-3364.0519770000005</v>
      </c>
      <c r="O5" s="13">
        <f>O4*-0.69</f>
        <v>-3464.4714389999999</v>
      </c>
      <c r="P5" s="13">
        <f t="shared" ref="P5:X5" si="1">P4*-0.69</f>
        <v>-3464.4714389999999</v>
      </c>
      <c r="Q5" s="13">
        <f t="shared" si="1"/>
        <v>-3464.4714389999999</v>
      </c>
      <c r="R5" s="13">
        <f t="shared" si="1"/>
        <v>-3464.4714389999999</v>
      </c>
      <c r="S5" s="13">
        <f t="shared" si="1"/>
        <v>-3464.4714389999999</v>
      </c>
      <c r="T5" s="13">
        <f t="shared" si="1"/>
        <v>-3464.4714389999999</v>
      </c>
      <c r="U5" s="13">
        <f t="shared" si="1"/>
        <v>-3464.4714389999999</v>
      </c>
      <c r="V5" s="13">
        <f t="shared" si="1"/>
        <v>-3464.4714389999999</v>
      </c>
      <c r="W5" s="13">
        <f t="shared" si="1"/>
        <v>-3464.4714389999999</v>
      </c>
      <c r="X5" s="13">
        <f t="shared" si="1"/>
        <v>-3464.4714389999999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</row>
    <row r="6" spans="1:16366" ht="19" x14ac:dyDescent="0.25">
      <c r="A6" s="17">
        <f>AA25</f>
        <v>-0.27834755017738261</v>
      </c>
      <c r="C6" s="2" t="s">
        <v>49</v>
      </c>
      <c r="D6" s="13"/>
      <c r="E6" s="13"/>
      <c r="F6" s="13">
        <f t="shared" ref="F6:X6" si="2">SUM(F4:F5)</f>
        <v>1067.902</v>
      </c>
      <c r="G6" s="13">
        <f t="shared" si="2"/>
        <v>1190.877</v>
      </c>
      <c r="H6" s="13">
        <f t="shared" si="2"/>
        <v>1253.8919999999998</v>
      </c>
      <c r="I6" s="13">
        <f t="shared" si="2"/>
        <v>1063.5500000000002</v>
      </c>
      <c r="J6" s="13">
        <f t="shared" si="2"/>
        <v>1164.8200000000002</v>
      </c>
      <c r="K6" s="13">
        <f t="shared" si="2"/>
        <v>1347.2870000000003</v>
      </c>
      <c r="L6" s="13">
        <f t="shared" si="2"/>
        <v>1758.9920000000002</v>
      </c>
      <c r="M6" s="13">
        <f t="shared" si="2"/>
        <v>1805.6770000000006</v>
      </c>
      <c r="N6" s="14">
        <f t="shared" si="2"/>
        <v>1656.9211229999996</v>
      </c>
      <c r="O6" s="13">
        <f t="shared" si="2"/>
        <v>1556.5016610000002</v>
      </c>
      <c r="P6" s="13">
        <f t="shared" si="2"/>
        <v>1556.5016610000002</v>
      </c>
      <c r="Q6" s="13">
        <f t="shared" si="2"/>
        <v>1556.5016610000002</v>
      </c>
      <c r="R6" s="13">
        <f t="shared" si="2"/>
        <v>1556.5016610000002</v>
      </c>
      <c r="S6" s="13">
        <f t="shared" si="2"/>
        <v>1556.5016610000002</v>
      </c>
      <c r="T6" s="13">
        <f t="shared" si="2"/>
        <v>1556.5016610000002</v>
      </c>
      <c r="U6" s="13">
        <f t="shared" si="2"/>
        <v>1556.5016610000002</v>
      </c>
      <c r="V6" s="13">
        <f t="shared" si="2"/>
        <v>1556.5016610000002</v>
      </c>
      <c r="W6" s="13">
        <f t="shared" si="2"/>
        <v>1556.5016610000002</v>
      </c>
      <c r="X6" s="13">
        <f t="shared" si="2"/>
        <v>1556.5016610000002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</row>
    <row r="7" spans="1:16366" ht="19" x14ac:dyDescent="0.25">
      <c r="C7" s="2" t="s">
        <v>50</v>
      </c>
      <c r="D7" s="13"/>
      <c r="E7" s="13"/>
      <c r="F7" s="13">
        <v>-332.08199999999999</v>
      </c>
      <c r="G7" s="13">
        <v>-381.68</v>
      </c>
      <c r="H7" s="13">
        <v>-380</v>
      </c>
      <c r="I7" s="13">
        <v>-321.72000000000003</v>
      </c>
      <c r="J7" s="13">
        <v>-315.24299999999999</v>
      </c>
      <c r="K7" s="13">
        <v>-392.50900000000001</v>
      </c>
      <c r="L7" s="13">
        <v>-428.40499999999997</v>
      </c>
      <c r="M7" s="13">
        <v>-458.87099999999998</v>
      </c>
      <c r="N7" s="14">
        <f>M7*1</f>
        <v>-458.87099999999998</v>
      </c>
      <c r="O7" s="13">
        <f>N7*0.98</f>
        <v>-449.69358</v>
      </c>
      <c r="P7" s="13">
        <f t="shared" ref="P7:X7" si="3">O7</f>
        <v>-449.69358</v>
      </c>
      <c r="Q7" s="13">
        <f t="shared" si="3"/>
        <v>-449.69358</v>
      </c>
      <c r="R7" s="13">
        <f t="shared" si="3"/>
        <v>-449.69358</v>
      </c>
      <c r="S7" s="13">
        <f t="shared" si="3"/>
        <v>-449.69358</v>
      </c>
      <c r="T7" s="13">
        <f t="shared" si="3"/>
        <v>-449.69358</v>
      </c>
      <c r="U7" s="13">
        <f t="shared" si="3"/>
        <v>-449.69358</v>
      </c>
      <c r="V7" s="13">
        <f t="shared" si="3"/>
        <v>-449.69358</v>
      </c>
      <c r="W7" s="13">
        <f t="shared" si="3"/>
        <v>-449.69358</v>
      </c>
      <c r="X7" s="13">
        <f t="shared" si="3"/>
        <v>-449.69358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</row>
    <row r="8" spans="1:16366" ht="19" x14ac:dyDescent="0.25">
      <c r="C8" s="2" t="s">
        <v>51</v>
      </c>
      <c r="D8" s="13"/>
      <c r="E8" s="13"/>
      <c r="F8" s="13">
        <v>-253.46700000000001</v>
      </c>
      <c r="G8" s="13">
        <v>-264.959</v>
      </c>
      <c r="H8" s="13">
        <v>-274.94600000000003</v>
      </c>
      <c r="I8" s="13">
        <v>-242.57400000000001</v>
      </c>
      <c r="J8" s="13">
        <v>-269.31700000000001</v>
      </c>
      <c r="K8" s="13">
        <v>-336.66399999999999</v>
      </c>
      <c r="L8" s="13">
        <v>-369.21</v>
      </c>
      <c r="M8" s="13">
        <v>-419.99400000000003</v>
      </c>
      <c r="N8" s="14">
        <f t="shared" ref="N8:N11" si="4">M8*1</f>
        <v>-419.99400000000003</v>
      </c>
      <c r="O8" s="13">
        <f t="shared" ref="O8:X11" si="5">N8</f>
        <v>-419.99400000000003</v>
      </c>
      <c r="P8" s="13">
        <f t="shared" si="5"/>
        <v>-419.99400000000003</v>
      </c>
      <c r="Q8" s="13">
        <f t="shared" si="5"/>
        <v>-419.99400000000003</v>
      </c>
      <c r="R8" s="13">
        <f t="shared" si="5"/>
        <v>-419.99400000000003</v>
      </c>
      <c r="S8" s="13">
        <f t="shared" si="5"/>
        <v>-419.99400000000003</v>
      </c>
      <c r="T8" s="13">
        <f t="shared" si="5"/>
        <v>-419.99400000000003</v>
      </c>
      <c r="U8" s="13">
        <f t="shared" si="5"/>
        <v>-419.99400000000003</v>
      </c>
      <c r="V8" s="13">
        <f t="shared" si="5"/>
        <v>-419.99400000000003</v>
      </c>
      <c r="W8" s="13">
        <f t="shared" si="5"/>
        <v>-419.99400000000003</v>
      </c>
      <c r="X8" s="13">
        <f t="shared" si="5"/>
        <v>-419.99400000000003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</row>
    <row r="9" spans="1:16366" ht="19" x14ac:dyDescent="0.25">
      <c r="C9" s="2" t="s">
        <v>52</v>
      </c>
      <c r="D9" s="13"/>
      <c r="E9" s="13"/>
      <c r="F9" s="13">
        <v>-106.39400000000001</v>
      </c>
      <c r="G9" s="13">
        <v>-136.40299999999999</v>
      </c>
      <c r="H9" s="13">
        <v>-136.66800000000001</v>
      </c>
      <c r="I9" s="13">
        <v>-113.634</v>
      </c>
      <c r="J9" s="13">
        <v>-109.994</v>
      </c>
      <c r="K9" s="13">
        <v>-134.38</v>
      </c>
      <c r="L9" s="13">
        <v>-141.93799999999999</v>
      </c>
      <c r="M9" s="13">
        <v>-162.875</v>
      </c>
      <c r="N9" s="14">
        <f t="shared" si="4"/>
        <v>-162.875</v>
      </c>
      <c r="O9" s="13">
        <f t="shared" si="5"/>
        <v>-162.875</v>
      </c>
      <c r="P9" s="13">
        <f t="shared" si="5"/>
        <v>-162.875</v>
      </c>
      <c r="Q9" s="13">
        <f t="shared" si="5"/>
        <v>-162.875</v>
      </c>
      <c r="R9" s="13">
        <f t="shared" si="5"/>
        <v>-162.875</v>
      </c>
      <c r="S9" s="13">
        <f t="shared" si="5"/>
        <v>-162.875</v>
      </c>
      <c r="T9" s="13">
        <f t="shared" si="5"/>
        <v>-162.875</v>
      </c>
      <c r="U9" s="13">
        <f t="shared" si="5"/>
        <v>-162.875</v>
      </c>
      <c r="V9" s="13">
        <f t="shared" si="5"/>
        <v>-162.875</v>
      </c>
      <c r="W9" s="13">
        <f t="shared" si="5"/>
        <v>-162.875</v>
      </c>
      <c r="X9" s="13">
        <f t="shared" si="5"/>
        <v>-162.875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</row>
    <row r="10" spans="1:16366" ht="19" x14ac:dyDescent="0.25">
      <c r="C10" s="2" t="s">
        <v>53</v>
      </c>
      <c r="D10" s="13"/>
      <c r="E10" s="13"/>
      <c r="F10" s="13">
        <v>3.4329999999999998</v>
      </c>
      <c r="G10" s="13">
        <v>25.547999999999998</v>
      </c>
      <c r="H10" s="13">
        <v>8.6999999999999993</v>
      </c>
      <c r="I10" s="13">
        <v>7.89</v>
      </c>
      <c r="J10" s="13">
        <v>9.5</v>
      </c>
      <c r="K10" s="13">
        <v>74.739000000000004</v>
      </c>
      <c r="L10" s="13">
        <v>22.364999999999998</v>
      </c>
      <c r="M10" s="13">
        <v>33</v>
      </c>
      <c r="N10" s="14">
        <f t="shared" si="4"/>
        <v>33</v>
      </c>
      <c r="O10" s="13">
        <f t="shared" si="5"/>
        <v>33</v>
      </c>
      <c r="P10" s="13">
        <f t="shared" si="5"/>
        <v>33</v>
      </c>
      <c r="Q10" s="13">
        <f t="shared" si="5"/>
        <v>33</v>
      </c>
      <c r="R10" s="13">
        <f t="shared" si="5"/>
        <v>33</v>
      </c>
      <c r="S10" s="13">
        <f t="shared" si="5"/>
        <v>33</v>
      </c>
      <c r="T10" s="13">
        <f t="shared" si="5"/>
        <v>33</v>
      </c>
      <c r="U10" s="13">
        <f t="shared" si="5"/>
        <v>33</v>
      </c>
      <c r="V10" s="13">
        <f t="shared" si="5"/>
        <v>33</v>
      </c>
      <c r="W10" s="13">
        <f t="shared" si="5"/>
        <v>33</v>
      </c>
      <c r="X10" s="13">
        <f t="shared" si="5"/>
        <v>33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</row>
    <row r="11" spans="1:16366" ht="19" x14ac:dyDescent="0.25">
      <c r="C11" s="2" t="s">
        <v>54</v>
      </c>
      <c r="D11" s="13"/>
      <c r="E11" s="13"/>
      <c r="F11" s="13">
        <v>-28.295999999999999</v>
      </c>
      <c r="G11" s="13">
        <v>-15.836</v>
      </c>
      <c r="H11" s="13">
        <v>-35.938000000000002</v>
      </c>
      <c r="I11" s="13">
        <v>-40.14</v>
      </c>
      <c r="J11" s="13">
        <v>-23.81</v>
      </c>
      <c r="K11" s="13">
        <v>-31.254999999999999</v>
      </c>
      <c r="L11" s="13">
        <v>-14.244999999999999</v>
      </c>
      <c r="M11" s="13">
        <v>-1.1000000000000001</v>
      </c>
      <c r="N11" s="14">
        <f t="shared" si="4"/>
        <v>-1.1000000000000001</v>
      </c>
      <c r="O11" s="13">
        <f t="shared" si="5"/>
        <v>-1.1000000000000001</v>
      </c>
      <c r="P11" s="13">
        <f t="shared" si="5"/>
        <v>-1.1000000000000001</v>
      </c>
      <c r="Q11" s="13">
        <f t="shared" si="5"/>
        <v>-1.1000000000000001</v>
      </c>
      <c r="R11" s="13">
        <f t="shared" si="5"/>
        <v>-1.1000000000000001</v>
      </c>
      <c r="S11" s="13">
        <f t="shared" si="5"/>
        <v>-1.1000000000000001</v>
      </c>
      <c r="T11" s="13">
        <f t="shared" si="5"/>
        <v>-1.1000000000000001</v>
      </c>
      <c r="U11" s="13">
        <f t="shared" si="5"/>
        <v>-1.1000000000000001</v>
      </c>
      <c r="V11" s="13">
        <f t="shared" si="5"/>
        <v>-1.1000000000000001</v>
      </c>
      <c r="W11" s="13">
        <f t="shared" si="5"/>
        <v>-1.1000000000000001</v>
      </c>
      <c r="X11" s="13">
        <f t="shared" si="5"/>
        <v>-1.1000000000000001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</row>
    <row r="12" spans="1:16366" ht="19" x14ac:dyDescent="0.25">
      <c r="C12" s="2" t="s">
        <v>55</v>
      </c>
      <c r="D12" s="13">
        <f>D13-D4</f>
        <v>-1180.5999999999999</v>
      </c>
      <c r="E12" s="13">
        <f>E13-E4</f>
        <v>-1347.7</v>
      </c>
      <c r="F12" s="13">
        <f t="shared" ref="F12:X12" si="6">F5+F7+F8+F9+F10+F11</f>
        <v>-2650.9490000000001</v>
      </c>
      <c r="G12" s="13">
        <f t="shared" si="6"/>
        <v>-3074.9019999999996</v>
      </c>
      <c r="H12" s="13">
        <f t="shared" si="6"/>
        <v>-3290.4020000000005</v>
      </c>
      <c r="I12" s="13">
        <f t="shared" si="6"/>
        <v>-2793.7850000000003</v>
      </c>
      <c r="J12" s="13">
        <f t="shared" si="6"/>
        <v>-3155.268</v>
      </c>
      <c r="K12" s="13">
        <f t="shared" si="6"/>
        <v>-4052.7599999999998</v>
      </c>
      <c r="L12" s="13">
        <f t="shared" si="6"/>
        <v>-4912.1970000000001</v>
      </c>
      <c r="M12" s="13">
        <f t="shared" si="6"/>
        <v>-4783.0219999999999</v>
      </c>
      <c r="N12" s="14">
        <f t="shared" si="6"/>
        <v>-4373.8919770000011</v>
      </c>
      <c r="O12" s="13">
        <f t="shared" si="6"/>
        <v>-4465.1340190000001</v>
      </c>
      <c r="P12" s="13">
        <f t="shared" si="6"/>
        <v>-4465.1340190000001</v>
      </c>
      <c r="Q12" s="13">
        <f t="shared" si="6"/>
        <v>-4465.1340190000001</v>
      </c>
      <c r="R12" s="13">
        <f t="shared" si="6"/>
        <v>-4465.1340190000001</v>
      </c>
      <c r="S12" s="13">
        <f t="shared" si="6"/>
        <v>-4465.1340190000001</v>
      </c>
      <c r="T12" s="13">
        <f t="shared" si="6"/>
        <v>-4465.1340190000001</v>
      </c>
      <c r="U12" s="13">
        <f t="shared" si="6"/>
        <v>-4465.1340190000001</v>
      </c>
      <c r="V12" s="13">
        <f t="shared" si="6"/>
        <v>-4465.1340190000001</v>
      </c>
      <c r="W12" s="13">
        <f t="shared" si="6"/>
        <v>-4465.1340190000001</v>
      </c>
      <c r="X12" s="13">
        <f t="shared" si="6"/>
        <v>-4465.1340190000001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</row>
    <row r="13" spans="1:16366" ht="19" x14ac:dyDescent="0.25">
      <c r="C13" s="1" t="s">
        <v>56</v>
      </c>
      <c r="D13" s="11">
        <v>134.69999999999999</v>
      </c>
      <c r="E13" s="11">
        <v>196.2</v>
      </c>
      <c r="F13" s="11">
        <f t="shared" ref="F13:X13" si="7">F4+F12</f>
        <v>351.096</v>
      </c>
      <c r="G13" s="11">
        <f t="shared" si="7"/>
        <v>417.54700000000048</v>
      </c>
      <c r="H13" s="11">
        <f t="shared" si="7"/>
        <v>435.03999999999951</v>
      </c>
      <c r="I13" s="11">
        <f t="shared" si="7"/>
        <v>353.37199999999984</v>
      </c>
      <c r="J13" s="11">
        <f t="shared" si="7"/>
        <v>455.95600000000013</v>
      </c>
      <c r="K13" s="11">
        <f t="shared" si="7"/>
        <v>527.2180000000003</v>
      </c>
      <c r="L13" s="11">
        <f t="shared" si="7"/>
        <v>827.5590000000002</v>
      </c>
      <c r="M13" s="11">
        <f t="shared" si="7"/>
        <v>795.83700000000044</v>
      </c>
      <c r="N13" s="12">
        <f t="shared" si="7"/>
        <v>647.08112299999902</v>
      </c>
      <c r="O13" s="11">
        <f t="shared" si="7"/>
        <v>555.83908100000008</v>
      </c>
      <c r="P13" s="11">
        <f t="shared" si="7"/>
        <v>555.83908100000008</v>
      </c>
      <c r="Q13" s="11">
        <f t="shared" si="7"/>
        <v>555.83908100000008</v>
      </c>
      <c r="R13" s="11">
        <f t="shared" si="7"/>
        <v>555.83908100000008</v>
      </c>
      <c r="S13" s="11">
        <f t="shared" si="7"/>
        <v>555.83908100000008</v>
      </c>
      <c r="T13" s="11">
        <f t="shared" si="7"/>
        <v>555.83908100000008</v>
      </c>
      <c r="U13" s="11">
        <f t="shared" si="7"/>
        <v>555.83908100000008</v>
      </c>
      <c r="V13" s="11">
        <f t="shared" si="7"/>
        <v>555.83908100000008</v>
      </c>
      <c r="W13" s="11">
        <f t="shared" si="7"/>
        <v>555.83908100000008</v>
      </c>
      <c r="X13" s="11">
        <f t="shared" si="7"/>
        <v>555.83908100000008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</row>
    <row r="14" spans="1:16366" ht="19" x14ac:dyDescent="0.25">
      <c r="C14" s="2" t="s">
        <v>57</v>
      </c>
      <c r="D14" s="13"/>
      <c r="E14" s="13"/>
      <c r="F14" s="13">
        <v>-35.488999999999997</v>
      </c>
      <c r="G14" s="13">
        <v>-44.5</v>
      </c>
      <c r="H14" s="13">
        <v>-38.011000000000003</v>
      </c>
      <c r="I14" s="13">
        <v>-26.9</v>
      </c>
      <c r="J14" s="13">
        <v>-14.561</v>
      </c>
      <c r="K14" s="13">
        <v>-39.421999999999997</v>
      </c>
      <c r="L14" s="13">
        <v>-61.273000000000003</v>
      </c>
      <c r="M14" s="13">
        <v>-13.724</v>
      </c>
      <c r="N14" s="14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</row>
    <row r="15" spans="1:16366" ht="19" x14ac:dyDescent="0.25">
      <c r="C15" s="2" t="s">
        <v>58</v>
      </c>
      <c r="D15" s="13"/>
      <c r="E15" s="13"/>
      <c r="F15" s="13">
        <f t="shared" ref="F15:X15" si="8">SUM(F13:F14)</f>
        <v>315.60700000000003</v>
      </c>
      <c r="G15" s="13">
        <f t="shared" si="8"/>
        <v>373.04700000000048</v>
      </c>
      <c r="H15" s="13">
        <f t="shared" si="8"/>
        <v>397.02899999999948</v>
      </c>
      <c r="I15" s="13">
        <f t="shared" si="8"/>
        <v>326.47199999999987</v>
      </c>
      <c r="J15" s="13">
        <f t="shared" si="8"/>
        <v>441.39500000000015</v>
      </c>
      <c r="K15" s="13">
        <f t="shared" si="8"/>
        <v>487.79600000000028</v>
      </c>
      <c r="L15" s="13">
        <f t="shared" si="8"/>
        <v>766.28600000000017</v>
      </c>
      <c r="M15" s="13">
        <f t="shared" si="8"/>
        <v>782.1130000000004</v>
      </c>
      <c r="N15" s="14">
        <f t="shared" si="8"/>
        <v>647.08112299999902</v>
      </c>
      <c r="O15" s="13">
        <f t="shared" si="8"/>
        <v>555.83908100000008</v>
      </c>
      <c r="P15" s="13">
        <f t="shared" si="8"/>
        <v>555.83908100000008</v>
      </c>
      <c r="Q15" s="13">
        <f t="shared" si="8"/>
        <v>555.83908100000008</v>
      </c>
      <c r="R15" s="13">
        <f t="shared" si="8"/>
        <v>555.83908100000008</v>
      </c>
      <c r="S15" s="13">
        <f t="shared" si="8"/>
        <v>555.83908100000008</v>
      </c>
      <c r="T15" s="13">
        <f t="shared" si="8"/>
        <v>555.83908100000008</v>
      </c>
      <c r="U15" s="13">
        <f t="shared" si="8"/>
        <v>555.83908100000008</v>
      </c>
      <c r="V15" s="13">
        <f t="shared" si="8"/>
        <v>555.83908100000008</v>
      </c>
      <c r="W15" s="13">
        <f t="shared" si="8"/>
        <v>555.83908100000008</v>
      </c>
      <c r="X15" s="13">
        <f t="shared" si="8"/>
        <v>555.83908100000008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</row>
    <row r="16" spans="1:16366" ht="19" x14ac:dyDescent="0.25">
      <c r="C16" s="2" t="s">
        <v>59</v>
      </c>
      <c r="D16" s="13"/>
      <c r="E16" s="13"/>
      <c r="F16" s="13">
        <v>-95.114999999999995</v>
      </c>
      <c r="G16" s="13">
        <v>-100.17700000000001</v>
      </c>
      <c r="H16" s="13">
        <v>-97.489000000000004</v>
      </c>
      <c r="I16" s="13">
        <v>-99.759</v>
      </c>
      <c r="J16" s="13">
        <v>-104.324</v>
      </c>
      <c r="K16" s="13">
        <v>-119.523</v>
      </c>
      <c r="L16" s="13">
        <v>-194.21100000000001</v>
      </c>
      <c r="M16" s="13">
        <v>-194</v>
      </c>
      <c r="N16" s="14">
        <f>N15*-0.206</f>
        <v>-133.2987113379998</v>
      </c>
      <c r="O16" s="13">
        <f t="shared" ref="O16:X16" si="9">O15*-0.206</f>
        <v>-114.50285068600002</v>
      </c>
      <c r="P16" s="13">
        <f t="shared" si="9"/>
        <v>-114.50285068600002</v>
      </c>
      <c r="Q16" s="13">
        <f t="shared" si="9"/>
        <v>-114.50285068600002</v>
      </c>
      <c r="R16" s="13">
        <f t="shared" si="9"/>
        <v>-114.50285068600002</v>
      </c>
      <c r="S16" s="13">
        <f t="shared" si="9"/>
        <v>-114.50285068600002</v>
      </c>
      <c r="T16" s="13">
        <f t="shared" si="9"/>
        <v>-114.50285068600002</v>
      </c>
      <c r="U16" s="13">
        <f t="shared" si="9"/>
        <v>-114.50285068600002</v>
      </c>
      <c r="V16" s="13">
        <f t="shared" si="9"/>
        <v>-114.50285068600002</v>
      </c>
      <c r="W16" s="13">
        <f t="shared" si="9"/>
        <v>-114.50285068600002</v>
      </c>
      <c r="X16" s="13">
        <f t="shared" si="9"/>
        <v>-114.50285068600002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</row>
    <row r="17" spans="3:16366" ht="19" x14ac:dyDescent="0.25">
      <c r="C17" s="1" t="s">
        <v>60</v>
      </c>
      <c r="D17" s="11">
        <v>95.5</v>
      </c>
      <c r="E17" s="11">
        <v>120.8</v>
      </c>
      <c r="F17" s="11">
        <f t="shared" ref="F17:X17" si="10">SUM(F15:F16)</f>
        <v>220.49200000000002</v>
      </c>
      <c r="G17" s="11">
        <f t="shared" si="10"/>
        <v>272.87000000000046</v>
      </c>
      <c r="H17" s="11">
        <f t="shared" si="10"/>
        <v>299.53999999999951</v>
      </c>
      <c r="I17" s="11">
        <f t="shared" si="10"/>
        <v>226.71299999999985</v>
      </c>
      <c r="J17" s="11">
        <f t="shared" si="10"/>
        <v>337.07100000000014</v>
      </c>
      <c r="K17" s="11">
        <f t="shared" si="10"/>
        <v>368.27300000000025</v>
      </c>
      <c r="L17" s="11">
        <f t="shared" si="10"/>
        <v>572.07500000000016</v>
      </c>
      <c r="M17" s="11">
        <f t="shared" si="10"/>
        <v>588.1130000000004</v>
      </c>
      <c r="N17" s="12">
        <f t="shared" si="10"/>
        <v>513.78241166199928</v>
      </c>
      <c r="O17" s="11">
        <f t="shared" si="10"/>
        <v>441.33623031400009</v>
      </c>
      <c r="P17" s="11">
        <f t="shared" si="10"/>
        <v>441.33623031400009</v>
      </c>
      <c r="Q17" s="11">
        <f t="shared" si="10"/>
        <v>441.33623031400009</v>
      </c>
      <c r="R17" s="11">
        <f t="shared" si="10"/>
        <v>441.33623031400009</v>
      </c>
      <c r="S17" s="11">
        <f t="shared" si="10"/>
        <v>441.33623031400009</v>
      </c>
      <c r="T17" s="11">
        <f t="shared" si="10"/>
        <v>441.33623031400009</v>
      </c>
      <c r="U17" s="11">
        <f t="shared" si="10"/>
        <v>441.33623031400009</v>
      </c>
      <c r="V17" s="11">
        <f t="shared" si="10"/>
        <v>441.33623031400009</v>
      </c>
      <c r="W17" s="11">
        <f t="shared" si="10"/>
        <v>441.33623031400009</v>
      </c>
      <c r="X17" s="11">
        <f t="shared" si="10"/>
        <v>441.33623031400009</v>
      </c>
      <c r="Y17" s="11">
        <f>X17*(1+$AA$21)</f>
        <v>436.9228680108601</v>
      </c>
      <c r="Z17" s="11">
        <f t="shared" ref="Z17:CK17" si="11">Y17*(1+$AA$21)</f>
        <v>432.55363933075148</v>
      </c>
      <c r="AA17" s="11">
        <f t="shared" si="11"/>
        <v>428.22810293744396</v>
      </c>
      <c r="AB17" s="11">
        <f t="shared" si="11"/>
        <v>423.94582190806955</v>
      </c>
      <c r="AC17" s="11">
        <f t="shared" si="11"/>
        <v>419.70636368898886</v>
      </c>
      <c r="AD17" s="11">
        <f t="shared" si="11"/>
        <v>415.50930005209898</v>
      </c>
      <c r="AE17" s="11">
        <f t="shared" si="11"/>
        <v>411.35420705157799</v>
      </c>
      <c r="AF17" s="11">
        <f t="shared" si="11"/>
        <v>407.2406649810622</v>
      </c>
      <c r="AG17" s="11">
        <f t="shared" si="11"/>
        <v>403.16825833125159</v>
      </c>
      <c r="AH17" s="11">
        <f t="shared" si="11"/>
        <v>399.13657574793905</v>
      </c>
      <c r="AI17" s="11">
        <f t="shared" si="11"/>
        <v>395.14520999045965</v>
      </c>
      <c r="AJ17" s="11">
        <f t="shared" si="11"/>
        <v>391.19375789055505</v>
      </c>
      <c r="AK17" s="11">
        <f t="shared" si="11"/>
        <v>387.28182031164948</v>
      </c>
      <c r="AL17" s="11">
        <f t="shared" si="11"/>
        <v>383.409002108533</v>
      </c>
      <c r="AM17" s="11">
        <f t="shared" si="11"/>
        <v>379.57491208744767</v>
      </c>
      <c r="AN17" s="11">
        <f t="shared" si="11"/>
        <v>375.77916296657321</v>
      </c>
      <c r="AO17" s="11">
        <f t="shared" si="11"/>
        <v>372.02137133690746</v>
      </c>
      <c r="AP17" s="11">
        <f t="shared" si="11"/>
        <v>368.30115762353836</v>
      </c>
      <c r="AQ17" s="11">
        <f t="shared" si="11"/>
        <v>364.61814604730296</v>
      </c>
      <c r="AR17" s="11">
        <f t="shared" si="11"/>
        <v>360.97196458682993</v>
      </c>
      <c r="AS17" s="11">
        <f t="shared" si="11"/>
        <v>357.3622449409616</v>
      </c>
      <c r="AT17" s="11">
        <f t="shared" si="11"/>
        <v>353.78862249155196</v>
      </c>
      <c r="AU17" s="11">
        <f t="shared" si="11"/>
        <v>350.25073626663647</v>
      </c>
      <c r="AV17" s="11">
        <f t="shared" si="11"/>
        <v>346.74822890397007</v>
      </c>
      <c r="AW17" s="11">
        <f t="shared" si="11"/>
        <v>343.28074661493037</v>
      </c>
      <c r="AX17" s="11">
        <f t="shared" si="11"/>
        <v>339.84793914878105</v>
      </c>
      <c r="AY17" s="11">
        <f t="shared" si="11"/>
        <v>336.44945975729325</v>
      </c>
      <c r="AZ17" s="11">
        <f t="shared" si="11"/>
        <v>333.0849651597203</v>
      </c>
      <c r="BA17" s="11">
        <f t="shared" si="11"/>
        <v>329.75411550812311</v>
      </c>
      <c r="BB17" s="11">
        <f t="shared" si="11"/>
        <v>326.45657435304184</v>
      </c>
      <c r="BC17" s="11">
        <f t="shared" si="11"/>
        <v>323.19200860951145</v>
      </c>
      <c r="BD17" s="11">
        <f t="shared" si="11"/>
        <v>319.96008852341635</v>
      </c>
      <c r="BE17" s="11">
        <f t="shared" si="11"/>
        <v>316.76048763818216</v>
      </c>
      <c r="BF17" s="11">
        <f t="shared" si="11"/>
        <v>313.59288276180035</v>
      </c>
      <c r="BG17" s="11">
        <f t="shared" si="11"/>
        <v>310.45695393418237</v>
      </c>
      <c r="BH17" s="11">
        <f t="shared" si="11"/>
        <v>307.35238439484056</v>
      </c>
      <c r="BI17" s="11">
        <f t="shared" si="11"/>
        <v>304.27886055089215</v>
      </c>
      <c r="BJ17" s="11">
        <f t="shared" si="11"/>
        <v>301.23607194538323</v>
      </c>
      <c r="BK17" s="11">
        <f t="shared" si="11"/>
        <v>298.22371122592938</v>
      </c>
      <c r="BL17" s="11">
        <f t="shared" si="11"/>
        <v>295.24147411367011</v>
      </c>
      <c r="BM17" s="11">
        <f t="shared" si="11"/>
        <v>292.28905937253342</v>
      </c>
      <c r="BN17" s="11">
        <f t="shared" si="11"/>
        <v>289.36616877880806</v>
      </c>
      <c r="BO17" s="11">
        <f t="shared" si="11"/>
        <v>286.47250709101996</v>
      </c>
      <c r="BP17" s="11">
        <f t="shared" si="11"/>
        <v>283.60778202010977</v>
      </c>
      <c r="BQ17" s="11">
        <f t="shared" si="11"/>
        <v>280.77170419990864</v>
      </c>
      <c r="BR17" s="11">
        <f t="shared" si="11"/>
        <v>277.96398715790957</v>
      </c>
      <c r="BS17" s="11">
        <f t="shared" si="11"/>
        <v>275.18434728633048</v>
      </c>
      <c r="BT17" s="11">
        <f t="shared" si="11"/>
        <v>272.43250381346718</v>
      </c>
      <c r="BU17" s="11">
        <f t="shared" si="11"/>
        <v>269.7081787753325</v>
      </c>
      <c r="BV17" s="11">
        <f t="shared" si="11"/>
        <v>267.01109698757915</v>
      </c>
      <c r="BW17" s="11">
        <f t="shared" si="11"/>
        <v>264.34098601770336</v>
      </c>
      <c r="BX17" s="11">
        <f t="shared" si="11"/>
        <v>261.69757615752633</v>
      </c>
      <c r="BY17" s="11">
        <f t="shared" si="11"/>
        <v>259.08060039595108</v>
      </c>
      <c r="BZ17" s="11">
        <f t="shared" si="11"/>
        <v>256.48979439199155</v>
      </c>
      <c r="CA17" s="11">
        <f t="shared" si="11"/>
        <v>253.92489644807162</v>
      </c>
      <c r="CB17" s="11">
        <f t="shared" si="11"/>
        <v>251.3856474835909</v>
      </c>
      <c r="CC17" s="11">
        <f t="shared" si="11"/>
        <v>248.871791008755</v>
      </c>
      <c r="CD17" s="11">
        <f t="shared" si="11"/>
        <v>246.38307309866744</v>
      </c>
      <c r="CE17" s="11">
        <f t="shared" si="11"/>
        <v>243.91924236768077</v>
      </c>
      <c r="CF17" s="11">
        <f t="shared" si="11"/>
        <v>241.48004994400395</v>
      </c>
      <c r="CG17" s="11">
        <f t="shared" si="11"/>
        <v>239.0652494445639</v>
      </c>
      <c r="CH17" s="11">
        <f t="shared" si="11"/>
        <v>236.67459695011826</v>
      </c>
      <c r="CI17" s="11">
        <f t="shared" si="11"/>
        <v>234.30785098061708</v>
      </c>
      <c r="CJ17" s="11">
        <f t="shared" si="11"/>
        <v>231.96477247081091</v>
      </c>
      <c r="CK17" s="11">
        <f t="shared" si="11"/>
        <v>229.64512474610279</v>
      </c>
      <c r="CL17" s="11">
        <f t="shared" ref="CL17:DF17" si="12">CK17*(1+$AA$21)</f>
        <v>227.34867349864177</v>
      </c>
      <c r="CM17" s="11">
        <f t="shared" si="12"/>
        <v>225.07518676365535</v>
      </c>
      <c r="CN17" s="11">
        <f t="shared" si="12"/>
        <v>222.8244348960188</v>
      </c>
      <c r="CO17" s="11">
        <f t="shared" si="12"/>
        <v>220.5961905470586</v>
      </c>
      <c r="CP17" s="11">
        <f t="shared" si="12"/>
        <v>218.39022864158801</v>
      </c>
      <c r="CQ17" s="11">
        <f t="shared" si="12"/>
        <v>216.20632635517214</v>
      </c>
      <c r="CR17" s="11">
        <f t="shared" si="12"/>
        <v>214.04426309162042</v>
      </c>
      <c r="CS17" s="11">
        <f t="shared" si="12"/>
        <v>211.90382046070422</v>
      </c>
      <c r="CT17" s="11">
        <f t="shared" si="12"/>
        <v>209.78478225609717</v>
      </c>
      <c r="CU17" s="11">
        <f t="shared" si="12"/>
        <v>207.68693443353621</v>
      </c>
      <c r="CV17" s="11">
        <f t="shared" si="12"/>
        <v>205.61006508920084</v>
      </c>
      <c r="CW17" s="11">
        <f t="shared" si="12"/>
        <v>203.55396443830884</v>
      </c>
      <c r="CX17" s="11">
        <f t="shared" si="12"/>
        <v>201.51842479392576</v>
      </c>
      <c r="CY17" s="11">
        <f t="shared" si="12"/>
        <v>199.5032405459865</v>
      </c>
      <c r="CZ17" s="11">
        <f t="shared" si="12"/>
        <v>197.50820814052662</v>
      </c>
      <c r="DA17" s="11">
        <f t="shared" si="12"/>
        <v>195.53312605912134</v>
      </c>
      <c r="DB17" s="11">
        <f t="shared" si="12"/>
        <v>193.57779479853014</v>
      </c>
      <c r="DC17" s="11">
        <f t="shared" si="12"/>
        <v>191.64201685054482</v>
      </c>
      <c r="DD17" s="11">
        <f t="shared" si="12"/>
        <v>189.72559668203937</v>
      </c>
      <c r="DE17" s="11">
        <f t="shared" si="12"/>
        <v>187.82834071521899</v>
      </c>
      <c r="DF17" s="11">
        <f t="shared" si="12"/>
        <v>185.95005730806679</v>
      </c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</row>
    <row r="18" spans="3:16366" ht="19" x14ac:dyDescent="0.25">
      <c r="C18" s="2" t="s">
        <v>61</v>
      </c>
      <c r="D18" s="9">
        <v>12.502000000000001</v>
      </c>
      <c r="E18" s="9">
        <v>12.502000000000001</v>
      </c>
      <c r="F18" s="9">
        <v>25.004000000000001</v>
      </c>
      <c r="G18" s="9">
        <v>25.004000000000001</v>
      </c>
      <c r="H18" s="9">
        <v>25.004000000000001</v>
      </c>
      <c r="I18" s="9">
        <v>25.004000000000001</v>
      </c>
      <c r="J18" s="9">
        <v>25.004000000000001</v>
      </c>
      <c r="K18" s="9">
        <v>25.004000000000001</v>
      </c>
      <c r="L18" s="9">
        <v>25.004000000000001</v>
      </c>
      <c r="M18" s="9">
        <v>25.004000000000001</v>
      </c>
      <c r="N18" s="8">
        <v>25.004000000000001</v>
      </c>
      <c r="O18" s="9">
        <v>25.004000000000001</v>
      </c>
      <c r="P18" s="9">
        <v>25.004000000000001</v>
      </c>
      <c r="Q18" s="9">
        <v>25.004000000000001</v>
      </c>
      <c r="R18" s="9">
        <v>25.004000000000001</v>
      </c>
      <c r="S18" s="9">
        <v>25.004000000000001</v>
      </c>
      <c r="T18" s="9">
        <v>25.004000000000001</v>
      </c>
      <c r="U18" s="9">
        <v>25.004000000000001</v>
      </c>
      <c r="V18" s="9">
        <v>25.004000000000001</v>
      </c>
      <c r="W18" s="9">
        <v>25.004000000000001</v>
      </c>
      <c r="X18" s="9">
        <v>25.004000000000001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</row>
    <row r="19" spans="3:16366" ht="19" x14ac:dyDescent="0.25">
      <c r="C19" s="2" t="s">
        <v>62</v>
      </c>
      <c r="D19" s="9">
        <f t="shared" ref="D19:K19" si="13">D17/D18</f>
        <v>7.638777795552711</v>
      </c>
      <c r="E19" s="9">
        <f t="shared" si="13"/>
        <v>9.6624540073588214</v>
      </c>
      <c r="F19" s="9">
        <f t="shared" si="13"/>
        <v>8.8182690769476881</v>
      </c>
      <c r="G19" s="9">
        <f t="shared" si="13"/>
        <v>10.913053911374197</v>
      </c>
      <c r="H19" s="9">
        <f t="shared" si="13"/>
        <v>11.979683250679871</v>
      </c>
      <c r="I19" s="9">
        <f t="shared" si="13"/>
        <v>9.067069268916967</v>
      </c>
      <c r="J19" s="9">
        <f t="shared" si="13"/>
        <v>13.480683090705492</v>
      </c>
      <c r="K19" s="9">
        <f t="shared" si="13"/>
        <v>14.728563429851233</v>
      </c>
      <c r="L19" s="9">
        <f>L17/L18</f>
        <v>22.879339305711092</v>
      </c>
      <c r="M19" s="9">
        <f>M17/M18</f>
        <v>23.520756678931384</v>
      </c>
      <c r="N19" s="8">
        <f t="shared" ref="N19:X19" si="14">N17/N18</f>
        <v>20.548008785074359</v>
      </c>
      <c r="O19" s="9">
        <f t="shared" si="14"/>
        <v>17.650625112541995</v>
      </c>
      <c r="P19" s="9">
        <f t="shared" si="14"/>
        <v>17.650625112541995</v>
      </c>
      <c r="Q19" s="9">
        <f t="shared" si="14"/>
        <v>17.650625112541995</v>
      </c>
      <c r="R19" s="9">
        <f t="shared" si="14"/>
        <v>17.650625112541995</v>
      </c>
      <c r="S19" s="9">
        <f t="shared" si="14"/>
        <v>17.650625112541995</v>
      </c>
      <c r="T19" s="9">
        <f t="shared" si="14"/>
        <v>17.650625112541995</v>
      </c>
      <c r="U19" s="9">
        <f t="shared" si="14"/>
        <v>17.650625112541995</v>
      </c>
      <c r="V19" s="9">
        <f t="shared" si="14"/>
        <v>17.650625112541995</v>
      </c>
      <c r="W19" s="9">
        <f t="shared" si="14"/>
        <v>17.650625112541995</v>
      </c>
      <c r="X19" s="9">
        <f t="shared" si="14"/>
        <v>17.650625112541995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</row>
    <row r="20" spans="3:16366" ht="19" x14ac:dyDescent="0.25">
      <c r="C20" s="1"/>
      <c r="D20" s="2"/>
      <c r="E20" s="2"/>
      <c r="F20" s="2"/>
      <c r="G20" s="2"/>
      <c r="H20" s="17"/>
      <c r="I20" s="17"/>
      <c r="J20" s="17"/>
      <c r="K20" s="17"/>
      <c r="L20" s="17"/>
      <c r="M20" s="17"/>
      <c r="N20" s="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128</v>
      </c>
      <c r="AA20" s="26">
        <v>7.4999999999999997E-2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</row>
    <row r="21" spans="3:16366" ht="19" x14ac:dyDescent="0.25">
      <c r="C21" s="1" t="s">
        <v>43</v>
      </c>
      <c r="D21" s="1"/>
      <c r="E21" s="17">
        <f t="shared" ref="E21:L21" si="15">(E4-D4)/D4</f>
        <v>0.17380065384322979</v>
      </c>
      <c r="F21" s="17">
        <f t="shared" si="15"/>
        <v>0.94445559945592328</v>
      </c>
      <c r="G21" s="17">
        <f t="shared" si="15"/>
        <v>0.1633566452201749</v>
      </c>
      <c r="H21" s="17">
        <f t="shared" si="15"/>
        <v>6.6713357875805748E-2</v>
      </c>
      <c r="I21" s="17">
        <f t="shared" si="15"/>
        <v>-0.15522587655370823</v>
      </c>
      <c r="J21" s="17">
        <f t="shared" si="15"/>
        <v>0.14745594198192208</v>
      </c>
      <c r="K21" s="17">
        <f t="shared" si="15"/>
        <v>0.2682619521802026</v>
      </c>
      <c r="L21" s="17">
        <f t="shared" si="15"/>
        <v>0.25322785393292285</v>
      </c>
      <c r="M21" s="17">
        <f>(M4-L4)/L4</f>
        <v>-2.803202784229851E-2</v>
      </c>
      <c r="N21" s="21">
        <f t="shared" ref="N21:X21" si="16">(N4-M4)/M4</f>
        <v>-0.10000000000000003</v>
      </c>
      <c r="O21" s="17">
        <f t="shared" si="16"/>
        <v>0</v>
      </c>
      <c r="P21" s="17">
        <f t="shared" si="16"/>
        <v>0</v>
      </c>
      <c r="Q21" s="17">
        <f t="shared" si="16"/>
        <v>0</v>
      </c>
      <c r="R21" s="17">
        <f t="shared" si="16"/>
        <v>0</v>
      </c>
      <c r="S21" s="17">
        <f t="shared" si="16"/>
        <v>0</v>
      </c>
      <c r="T21" s="17">
        <f t="shared" si="16"/>
        <v>0</v>
      </c>
      <c r="U21" s="17">
        <f t="shared" si="16"/>
        <v>0</v>
      </c>
      <c r="V21" s="17">
        <f t="shared" si="16"/>
        <v>0</v>
      </c>
      <c r="W21" s="17">
        <f t="shared" si="16"/>
        <v>0</v>
      </c>
      <c r="X21" s="17">
        <f t="shared" si="16"/>
        <v>0</v>
      </c>
      <c r="Y21" s="2"/>
      <c r="Z21" s="2" t="s">
        <v>129</v>
      </c>
      <c r="AA21" s="26">
        <v>-0.01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</row>
    <row r="22" spans="3:16366" ht="19" x14ac:dyDescent="0.25">
      <c r="C22" s="1" t="s">
        <v>126</v>
      </c>
      <c r="D22" s="1"/>
      <c r="E22" s="17">
        <f t="shared" ref="E22:L22" si="17">(E12-D12)/D12</f>
        <v>0.14153820091478922</v>
      </c>
      <c r="F22" s="17">
        <f t="shared" si="17"/>
        <v>0.96701714031312602</v>
      </c>
      <c r="G22" s="17">
        <f t="shared" si="17"/>
        <v>0.15992499289876927</v>
      </c>
      <c r="H22" s="17">
        <f t="shared" si="17"/>
        <v>7.0083534369550948E-2</v>
      </c>
      <c r="I22" s="17">
        <f t="shared" si="17"/>
        <v>-0.15092897463592597</v>
      </c>
      <c r="J22" s="17">
        <f t="shared" si="17"/>
        <v>0.12938826717159685</v>
      </c>
      <c r="K22" s="17">
        <f t="shared" si="17"/>
        <v>0.28444239918764419</v>
      </c>
      <c r="L22" s="17">
        <f t="shared" si="17"/>
        <v>0.21206215023835617</v>
      </c>
      <c r="M22" s="17">
        <f>(M12-L12)/L12</f>
        <v>-2.6296787364187588E-2</v>
      </c>
      <c r="N22" s="21">
        <f t="shared" ref="N22:X22" si="18">(N12-M12)/M12</f>
        <v>-8.5537976409056624E-2</v>
      </c>
      <c r="O22" s="17">
        <f t="shared" si="18"/>
        <v>2.0860607093131905E-2</v>
      </c>
      <c r="P22" s="17">
        <f t="shared" si="18"/>
        <v>0</v>
      </c>
      <c r="Q22" s="17">
        <f t="shared" si="18"/>
        <v>0</v>
      </c>
      <c r="R22" s="17">
        <f t="shared" si="18"/>
        <v>0</v>
      </c>
      <c r="S22" s="17">
        <f t="shared" si="18"/>
        <v>0</v>
      </c>
      <c r="T22" s="17">
        <f t="shared" si="18"/>
        <v>0</v>
      </c>
      <c r="U22" s="17">
        <f t="shared" si="18"/>
        <v>0</v>
      </c>
      <c r="V22" s="17">
        <f t="shared" si="18"/>
        <v>0</v>
      </c>
      <c r="W22" s="17">
        <f t="shared" si="18"/>
        <v>0</v>
      </c>
      <c r="X22" s="17">
        <f t="shared" si="18"/>
        <v>0</v>
      </c>
      <c r="Y22" s="2"/>
      <c r="Z22" s="25" t="s">
        <v>130</v>
      </c>
      <c r="AA22" s="27">
        <f>NPV(AA20,O17:DF17)</f>
        <v>5521.30371809196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</row>
    <row r="23" spans="3:16366" ht="19" x14ac:dyDescent="0.25">
      <c r="C23" s="2" t="s">
        <v>127</v>
      </c>
      <c r="D23" s="18">
        <f t="shared" ref="D23:X23" si="19">D6/D4</f>
        <v>0</v>
      </c>
      <c r="E23" s="18">
        <f t="shared" si="19"/>
        <v>0</v>
      </c>
      <c r="F23" s="18">
        <f t="shared" si="19"/>
        <v>0.35572484756224509</v>
      </c>
      <c r="G23" s="18">
        <f t="shared" si="19"/>
        <v>0.34098622485253183</v>
      </c>
      <c r="H23" s="18">
        <f t="shared" si="19"/>
        <v>0.33657536474866601</v>
      </c>
      <c r="I23" s="18">
        <f t="shared" si="19"/>
        <v>0.33793992482739188</v>
      </c>
      <c r="J23" s="18">
        <f t="shared" si="19"/>
        <v>0.32255545488177972</v>
      </c>
      <c r="K23" s="18">
        <f t="shared" si="19"/>
        <v>0.29416888028719795</v>
      </c>
      <c r="L23" s="18">
        <f t="shared" si="19"/>
        <v>0.30645762642175034</v>
      </c>
      <c r="M23" s="18">
        <f t="shared" si="19"/>
        <v>0.32366421162463516</v>
      </c>
      <c r="N23" s="19">
        <f t="shared" si="19"/>
        <v>0.3299999999999999</v>
      </c>
      <c r="O23" s="18">
        <f t="shared" si="19"/>
        <v>0.31000000000000005</v>
      </c>
      <c r="P23" s="18">
        <f t="shared" si="19"/>
        <v>0.31000000000000005</v>
      </c>
      <c r="Q23" s="18">
        <f t="shared" si="19"/>
        <v>0.31000000000000005</v>
      </c>
      <c r="R23" s="18">
        <f t="shared" si="19"/>
        <v>0.31000000000000005</v>
      </c>
      <c r="S23" s="18">
        <f t="shared" si="19"/>
        <v>0.31000000000000005</v>
      </c>
      <c r="T23" s="18">
        <f t="shared" si="19"/>
        <v>0.31000000000000005</v>
      </c>
      <c r="U23" s="18">
        <f t="shared" si="19"/>
        <v>0.31000000000000005</v>
      </c>
      <c r="V23" s="18">
        <f t="shared" si="19"/>
        <v>0.31000000000000005</v>
      </c>
      <c r="W23" s="18">
        <f t="shared" si="19"/>
        <v>0.31000000000000005</v>
      </c>
      <c r="X23" s="18">
        <f t="shared" si="19"/>
        <v>0.31000000000000005</v>
      </c>
      <c r="Y23" s="2"/>
      <c r="Z23" s="2" t="s">
        <v>2</v>
      </c>
      <c r="AA23" s="9">
        <v>25.003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</row>
    <row r="24" spans="3:16366" ht="19" x14ac:dyDescent="0.25">
      <c r="C24" s="2" t="s">
        <v>44</v>
      </c>
      <c r="D24" s="18">
        <f t="shared" ref="D24:X24" si="20">D13/D4</f>
        <v>0.1024100965559188</v>
      </c>
      <c r="E24" s="18">
        <f t="shared" si="20"/>
        <v>0.12708076947988858</v>
      </c>
      <c r="F24" s="18">
        <f t="shared" si="20"/>
        <v>0.1169522775308165</v>
      </c>
      <c r="G24" s="18">
        <f t="shared" si="20"/>
        <v>0.11955707871467858</v>
      </c>
      <c r="H24" s="18">
        <f t="shared" si="20"/>
        <v>0.11677540544182395</v>
      </c>
      <c r="I24" s="18">
        <f t="shared" si="20"/>
        <v>0.11228292709896577</v>
      </c>
      <c r="J24" s="18">
        <f t="shared" si="20"/>
        <v>0.12626079135495336</v>
      </c>
      <c r="K24" s="18">
        <f t="shared" si="20"/>
        <v>0.1151136533843613</v>
      </c>
      <c r="L24" s="18">
        <f t="shared" si="20"/>
        <v>0.14418017072502737</v>
      </c>
      <c r="M24" s="18">
        <f t="shared" si="20"/>
        <v>0.14265228786029552</v>
      </c>
      <c r="N24" s="19">
        <f t="shared" si="20"/>
        <v>0.12887564026184467</v>
      </c>
      <c r="O24" s="18">
        <f t="shared" si="20"/>
        <v>0.11070345726409091</v>
      </c>
      <c r="P24" s="18">
        <f t="shared" si="20"/>
        <v>0.11070345726409091</v>
      </c>
      <c r="Q24" s="18">
        <f t="shared" si="20"/>
        <v>0.11070345726409091</v>
      </c>
      <c r="R24" s="18">
        <f t="shared" si="20"/>
        <v>0.11070345726409091</v>
      </c>
      <c r="S24" s="18">
        <f t="shared" si="20"/>
        <v>0.11070345726409091</v>
      </c>
      <c r="T24" s="18">
        <f t="shared" si="20"/>
        <v>0.11070345726409091</v>
      </c>
      <c r="U24" s="18">
        <f t="shared" si="20"/>
        <v>0.11070345726409091</v>
      </c>
      <c r="V24" s="18">
        <f t="shared" si="20"/>
        <v>0.11070345726409091</v>
      </c>
      <c r="W24" s="18">
        <f t="shared" si="20"/>
        <v>0.11070345726409091</v>
      </c>
      <c r="X24" s="18">
        <f t="shared" si="20"/>
        <v>0.11070345726409091</v>
      </c>
      <c r="Y24" s="2"/>
      <c r="Z24" s="2" t="s">
        <v>131</v>
      </c>
      <c r="AA24" s="9">
        <f>AA22/AA23</f>
        <v>220.82564964572092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</row>
    <row r="25" spans="3:16366" ht="19" x14ac:dyDescent="0.25">
      <c r="D25" s="18"/>
      <c r="E25" s="18"/>
      <c r="F25" s="18"/>
      <c r="G25" s="18"/>
      <c r="H25" s="20"/>
      <c r="I25" s="20"/>
      <c r="J25" s="20"/>
      <c r="K25" s="20"/>
      <c r="L25" s="20"/>
      <c r="M25" s="20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1" t="s">
        <v>132</v>
      </c>
      <c r="AA25" s="17">
        <f>(AA24-Modell!B4)/Modell!B4</f>
        <v>-0.27834755017738261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Info</vt:lpstr>
      <vt:lpstr>Modell</vt:lpstr>
      <vt:lpstr>T&amp;T</vt:lpstr>
      <vt:lpstr>Mobile thermal sol</vt:lpstr>
      <vt:lpstr>Ringfender power trans</vt:lpstr>
      <vt:lpstr>Land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2026-09-23T11:19:23Z</dcterms:modified>
</cp:coreProperties>
</file>