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F9FE26F5-714E-124E-80DD-A14CE3C81F66}" xr6:coauthVersionLast="47" xr6:coauthVersionMax="47" xr10:uidLastSave="{00000000-0000-0000-0000-000000000000}"/>
  <bookViews>
    <workbookView xWindow="0" yWindow="740" windowWidth="29400" windowHeight="17040" activeTab="4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  <sheet name="Nedsideberegn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2" i="5"/>
  <c r="O30" i="5"/>
  <c r="I46" i="5"/>
  <c r="H45" i="5"/>
  <c r="G45" i="5"/>
  <c r="M44" i="5"/>
  <c r="E44" i="5"/>
  <c r="M42" i="5"/>
  <c r="L42" i="5"/>
  <c r="K42" i="5"/>
  <c r="J42" i="5"/>
  <c r="I42" i="5"/>
  <c r="H42" i="5"/>
  <c r="G42" i="5"/>
  <c r="F42" i="5"/>
  <c r="E42" i="5"/>
  <c r="M36" i="5"/>
  <c r="M38" i="5" s="1"/>
  <c r="M40" i="5" s="1"/>
  <c r="L36" i="5"/>
  <c r="L38" i="5" s="1"/>
  <c r="L40" i="5" s="1"/>
  <c r="I36" i="5"/>
  <c r="I38" i="5" s="1"/>
  <c r="I40" i="5" s="1"/>
  <c r="D36" i="5"/>
  <c r="D38" i="5" s="1"/>
  <c r="M34" i="5"/>
  <c r="M46" i="5" s="1"/>
  <c r="L34" i="5"/>
  <c r="L46" i="5" s="1"/>
  <c r="J34" i="5"/>
  <c r="J36" i="5" s="1"/>
  <c r="J38" i="5" s="1"/>
  <c r="J40" i="5" s="1"/>
  <c r="I34" i="5"/>
  <c r="D34" i="5"/>
  <c r="D46" i="5" s="1"/>
  <c r="M33" i="5"/>
  <c r="L33" i="5"/>
  <c r="K33" i="5"/>
  <c r="K44" i="5" s="1"/>
  <c r="J33" i="5"/>
  <c r="J44" i="5" s="1"/>
  <c r="I33" i="5"/>
  <c r="G33" i="5"/>
  <c r="G34" i="5" s="1"/>
  <c r="G46" i="5" s="1"/>
  <c r="F33" i="5"/>
  <c r="F34" i="5" s="1"/>
  <c r="D33" i="5"/>
  <c r="P32" i="5"/>
  <c r="Q32" i="5" s="1"/>
  <c r="R32" i="5" s="1"/>
  <c r="S32" i="5" s="1"/>
  <c r="T32" i="5" s="1"/>
  <c r="U32" i="5" s="1"/>
  <c r="V32" i="5" s="1"/>
  <c r="W32" i="5" s="1"/>
  <c r="X32" i="5" s="1"/>
  <c r="N31" i="5"/>
  <c r="P31" i="5" s="1"/>
  <c r="Q31" i="5" s="1"/>
  <c r="R31" i="5" s="1"/>
  <c r="S31" i="5" s="1"/>
  <c r="T31" i="5" s="1"/>
  <c r="U31" i="5" s="1"/>
  <c r="V31" i="5" s="1"/>
  <c r="W31" i="5" s="1"/>
  <c r="X31" i="5" s="1"/>
  <c r="H31" i="5"/>
  <c r="H33" i="5" s="1"/>
  <c r="G31" i="5"/>
  <c r="F31" i="5"/>
  <c r="E31" i="5"/>
  <c r="E33" i="5" s="1"/>
  <c r="E34" i="5" s="1"/>
  <c r="N30" i="5"/>
  <c r="M29" i="5"/>
  <c r="M45" i="5" s="1"/>
  <c r="L29" i="5"/>
  <c r="L45" i="5" s="1"/>
  <c r="K29" i="5"/>
  <c r="K45" i="5" s="1"/>
  <c r="J29" i="5"/>
  <c r="J45" i="5" s="1"/>
  <c r="I29" i="5"/>
  <c r="I45" i="5" s="1"/>
  <c r="H29" i="5"/>
  <c r="G29" i="5"/>
  <c r="F29" i="5"/>
  <c r="F45" i="5" s="1"/>
  <c r="E29" i="5"/>
  <c r="E45" i="5" s="1"/>
  <c r="D29" i="5"/>
  <c r="D45" i="5" s="1"/>
  <c r="N28" i="5"/>
  <c r="N33" i="5" s="1"/>
  <c r="N44" i="5" s="1"/>
  <c r="N27" i="5"/>
  <c r="Y15" i="5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P7" i="5"/>
  <c r="Q7" i="5"/>
  <c r="R7" i="5"/>
  <c r="S7" i="5"/>
  <c r="T7" i="5"/>
  <c r="U7" i="5"/>
  <c r="V7" i="5"/>
  <c r="W7" i="5"/>
  <c r="X7" i="5" s="1"/>
  <c r="P8" i="5"/>
  <c r="Q8" i="5"/>
  <c r="R8" i="5"/>
  <c r="S8" i="5"/>
  <c r="T8" i="5"/>
  <c r="U8" i="5"/>
  <c r="V8" i="5"/>
  <c r="W8" i="5" s="1"/>
  <c r="X8" i="5" s="1"/>
  <c r="P9" i="5"/>
  <c r="Q9" i="5"/>
  <c r="R9" i="5"/>
  <c r="S9" i="5"/>
  <c r="T9" i="5"/>
  <c r="U9" i="5"/>
  <c r="V9" i="5" s="1"/>
  <c r="W9" i="5" s="1"/>
  <c r="X9" i="5" s="1"/>
  <c r="O8" i="5"/>
  <c r="O9" i="5"/>
  <c r="O7" i="5"/>
  <c r="P4" i="5"/>
  <c r="Q4" i="5"/>
  <c r="R4" i="5" s="1"/>
  <c r="S4" i="5" s="1"/>
  <c r="T4" i="5" s="1"/>
  <c r="U4" i="5" s="1"/>
  <c r="V4" i="5" s="1"/>
  <c r="W4" i="5" s="1"/>
  <c r="X4" i="5" s="1"/>
  <c r="O4" i="5"/>
  <c r="P30" i="5" l="1"/>
  <c r="Q30" i="5" s="1"/>
  <c r="R30" i="5" s="1"/>
  <c r="S30" i="5" s="1"/>
  <c r="T30" i="5" s="1"/>
  <c r="U30" i="5" s="1"/>
  <c r="V30" i="5" s="1"/>
  <c r="W30" i="5" s="1"/>
  <c r="X30" i="5" s="1"/>
  <c r="F46" i="5"/>
  <c r="F36" i="5"/>
  <c r="F38" i="5" s="1"/>
  <c r="H34" i="5"/>
  <c r="H44" i="5"/>
  <c r="E46" i="5"/>
  <c r="E36" i="5"/>
  <c r="E38" i="5" s="1"/>
  <c r="J46" i="5"/>
  <c r="N29" i="5"/>
  <c r="N45" i="5" s="1"/>
  <c r="O27" i="5"/>
  <c r="N42" i="5"/>
  <c r="L44" i="5"/>
  <c r="K34" i="5"/>
  <c r="F44" i="5"/>
  <c r="N34" i="5"/>
  <c r="I44" i="5"/>
  <c r="G36" i="5"/>
  <c r="G38" i="5" s="1"/>
  <c r="G44" i="5"/>
  <c r="AM7" i="2"/>
  <c r="AN7" i="2"/>
  <c r="AO7" i="2"/>
  <c r="AP7" i="2" s="1"/>
  <c r="AM8" i="2"/>
  <c r="AN8" i="2"/>
  <c r="AO8" i="2"/>
  <c r="AP8" i="2"/>
  <c r="AM9" i="2"/>
  <c r="AN9" i="2"/>
  <c r="AO9" i="2"/>
  <c r="AP9" i="2"/>
  <c r="AL8" i="2"/>
  <c r="AL9" i="2"/>
  <c r="AL7" i="2"/>
  <c r="AI7" i="2"/>
  <c r="AJ7" i="2"/>
  <c r="AK7" i="2"/>
  <c r="AI8" i="2"/>
  <c r="AJ8" i="2"/>
  <c r="AK8" i="2"/>
  <c r="AI9" i="2"/>
  <c r="AJ9" i="2"/>
  <c r="AK9" i="2"/>
  <c r="AH8" i="2"/>
  <c r="AH9" i="2"/>
  <c r="AH7" i="2"/>
  <c r="N46" i="5" l="1"/>
  <c r="N36" i="5"/>
  <c r="K36" i="5"/>
  <c r="K38" i="5" s="1"/>
  <c r="K40" i="5" s="1"/>
  <c r="K46" i="5"/>
  <c r="H46" i="5"/>
  <c r="H36" i="5"/>
  <c r="H38" i="5" s="1"/>
  <c r="P27" i="5"/>
  <c r="O34" i="5"/>
  <c r="O42" i="5"/>
  <c r="O28" i="5"/>
  <c r="O33" i="5" s="1"/>
  <c r="O44" i="5" s="1"/>
  <c r="AH6" i="2"/>
  <c r="M19" i="5"/>
  <c r="L19" i="5"/>
  <c r="K19" i="5"/>
  <c r="J19" i="5"/>
  <c r="I19" i="5"/>
  <c r="H19" i="5"/>
  <c r="G19" i="5"/>
  <c r="F19" i="5"/>
  <c r="E19" i="5"/>
  <c r="L13" i="5"/>
  <c r="L15" i="5" s="1"/>
  <c r="D13" i="5"/>
  <c r="D15" i="5" s="1"/>
  <c r="L11" i="5"/>
  <c r="L23" i="5" s="1"/>
  <c r="J11" i="5"/>
  <c r="J23" i="5" s="1"/>
  <c r="I11" i="5"/>
  <c r="I23" i="5" s="1"/>
  <c r="D11" i="5"/>
  <c r="D23" i="5" s="1"/>
  <c r="M10" i="5"/>
  <c r="M21" i="5" s="1"/>
  <c r="L10" i="5"/>
  <c r="L21" i="5" s="1"/>
  <c r="K10" i="5"/>
  <c r="K11" i="5" s="1"/>
  <c r="J10" i="5"/>
  <c r="J21" i="5" s="1"/>
  <c r="I10" i="5"/>
  <c r="G10" i="5"/>
  <c r="G21" i="5" s="1"/>
  <c r="D10" i="5"/>
  <c r="N8" i="5"/>
  <c r="H8" i="5"/>
  <c r="H10" i="5" s="1"/>
  <c r="G8" i="5"/>
  <c r="F8" i="5"/>
  <c r="F10" i="5" s="1"/>
  <c r="E8" i="5"/>
  <c r="E10" i="5" s="1"/>
  <c r="N7" i="5"/>
  <c r="M6" i="5"/>
  <c r="M22" i="5" s="1"/>
  <c r="L6" i="5"/>
  <c r="L22" i="5" s="1"/>
  <c r="K6" i="5"/>
  <c r="K22" i="5" s="1"/>
  <c r="J6" i="5"/>
  <c r="J22" i="5" s="1"/>
  <c r="I6" i="5"/>
  <c r="I22" i="5" s="1"/>
  <c r="H6" i="5"/>
  <c r="H22" i="5" s="1"/>
  <c r="G6" i="5"/>
  <c r="G22" i="5" s="1"/>
  <c r="F6" i="5"/>
  <c r="F22" i="5" s="1"/>
  <c r="E6" i="5"/>
  <c r="E22" i="5" s="1"/>
  <c r="D6" i="5"/>
  <c r="D22" i="5" s="1"/>
  <c r="N4" i="5"/>
  <c r="AE24" i="2"/>
  <c r="AD24" i="2"/>
  <c r="AC24" i="2"/>
  <c r="AG5" i="2"/>
  <c r="AH5" i="2"/>
  <c r="AI5" i="2"/>
  <c r="AJ5" i="2"/>
  <c r="AK5" i="2"/>
  <c r="AL5" i="2"/>
  <c r="AM5" i="2"/>
  <c r="AN5" i="2"/>
  <c r="AO5" i="2"/>
  <c r="AP5" i="2"/>
  <c r="V22" i="2"/>
  <c r="W22" i="2"/>
  <c r="X22" i="2"/>
  <c r="Y22" i="2"/>
  <c r="Z22" i="2"/>
  <c r="AA22" i="2"/>
  <c r="AB22" i="2"/>
  <c r="V6" i="2"/>
  <c r="W6" i="2"/>
  <c r="X6" i="2"/>
  <c r="Y6" i="2"/>
  <c r="Z6" i="2"/>
  <c r="AA6" i="2"/>
  <c r="AB6" i="2"/>
  <c r="AC6" i="2"/>
  <c r="AC22" i="2" s="1"/>
  <c r="AD6" i="2"/>
  <c r="AD22" i="2" s="1"/>
  <c r="AE6" i="2"/>
  <c r="AE22" i="2" s="1"/>
  <c r="W10" i="2"/>
  <c r="X10" i="2"/>
  <c r="Y10" i="2"/>
  <c r="Z10" i="2"/>
  <c r="AA10" i="2"/>
  <c r="AA21" i="2" s="1"/>
  <c r="AB10" i="2"/>
  <c r="AC10" i="2"/>
  <c r="AD10" i="2"/>
  <c r="AE10" i="2"/>
  <c r="V10" i="2"/>
  <c r="V11" i="2"/>
  <c r="D22" i="2"/>
  <c r="E22" i="2"/>
  <c r="F22" i="2"/>
  <c r="G22" i="2"/>
  <c r="H22" i="2"/>
  <c r="I22" i="2"/>
  <c r="J22" i="2"/>
  <c r="K22" i="2"/>
  <c r="L22" i="2"/>
  <c r="M22" i="2"/>
  <c r="N22" i="2"/>
  <c r="O22" i="2"/>
  <c r="D6" i="2"/>
  <c r="E6" i="2"/>
  <c r="F6" i="2"/>
  <c r="G6" i="2"/>
  <c r="H6" i="2"/>
  <c r="I6" i="2"/>
  <c r="J6" i="2"/>
  <c r="K6" i="2"/>
  <c r="L6" i="2"/>
  <c r="M6" i="2"/>
  <c r="N6" i="2"/>
  <c r="O6" i="2"/>
  <c r="D10" i="2"/>
  <c r="D11" i="2" s="1"/>
  <c r="E10" i="2"/>
  <c r="F10" i="2"/>
  <c r="G10" i="2"/>
  <c r="H10" i="2"/>
  <c r="I10" i="2"/>
  <c r="I11" i="2" s="1"/>
  <c r="J10" i="2"/>
  <c r="K10" i="2"/>
  <c r="L10" i="2"/>
  <c r="M10" i="2"/>
  <c r="N10" i="2"/>
  <c r="O10" i="2"/>
  <c r="P22" i="2"/>
  <c r="P6" i="2"/>
  <c r="P10" i="2"/>
  <c r="R23" i="2"/>
  <c r="W8" i="2"/>
  <c r="X8" i="2"/>
  <c r="Y8" i="2"/>
  <c r="W19" i="2"/>
  <c r="X19" i="2"/>
  <c r="Y19" i="2"/>
  <c r="Z19" i="2"/>
  <c r="AA19" i="2"/>
  <c r="Z8" i="2"/>
  <c r="Q19" i="2"/>
  <c r="S19" i="2"/>
  <c r="Q22" i="2"/>
  <c r="S22" i="2"/>
  <c r="Q23" i="2"/>
  <c r="S23" i="2"/>
  <c r="R20" i="4"/>
  <c r="V30" i="4"/>
  <c r="V29" i="4"/>
  <c r="V28" i="4"/>
  <c r="V26" i="4"/>
  <c r="V27" i="4" s="1"/>
  <c r="V24" i="4"/>
  <c r="V25" i="4" s="1"/>
  <c r="V23" i="4"/>
  <c r="V22" i="4"/>
  <c r="V21" i="4"/>
  <c r="V19" i="4"/>
  <c r="V20" i="4" s="1"/>
  <c r="V17" i="4"/>
  <c r="V16" i="4"/>
  <c r="V15" i="4"/>
  <c r="V13" i="4"/>
  <c r="V14" i="4" s="1"/>
  <c r="V11" i="4"/>
  <c r="V12" i="4" s="1"/>
  <c r="V10" i="4"/>
  <c r="V9" i="4"/>
  <c r="V8" i="4"/>
  <c r="V6" i="4"/>
  <c r="V7" i="4" s="1"/>
  <c r="L30" i="4"/>
  <c r="L29" i="4"/>
  <c r="L28" i="4"/>
  <c r="L26" i="4"/>
  <c r="L27" i="4" s="1"/>
  <c r="L24" i="4"/>
  <c r="L25" i="4" s="1"/>
  <c r="L23" i="4"/>
  <c r="L22" i="4"/>
  <c r="L21" i="4"/>
  <c r="L19" i="4"/>
  <c r="Q30" i="4"/>
  <c r="Q29" i="4"/>
  <c r="Q28" i="4"/>
  <c r="Q26" i="4"/>
  <c r="Q27" i="4" s="1"/>
  <c r="Q24" i="4"/>
  <c r="Q25" i="4" s="1"/>
  <c r="Q23" i="4"/>
  <c r="Q22" i="4"/>
  <c r="Q21" i="4"/>
  <c r="Q19" i="4"/>
  <c r="Q20" i="4" s="1"/>
  <c r="Q7" i="4"/>
  <c r="Q17" i="4"/>
  <c r="Q16" i="4"/>
  <c r="Q15" i="4"/>
  <c r="Q13" i="4"/>
  <c r="Q14" i="4" s="1"/>
  <c r="Q11" i="4"/>
  <c r="Q12" i="4" s="1"/>
  <c r="Q10" i="4"/>
  <c r="Q9" i="4"/>
  <c r="Q8" i="4"/>
  <c r="Q6" i="4"/>
  <c r="L16" i="4"/>
  <c r="L17" i="4"/>
  <c r="L15" i="4"/>
  <c r="L14" i="4"/>
  <c r="L12" i="4"/>
  <c r="L13" i="4"/>
  <c r="L11" i="4"/>
  <c r="L10" i="4"/>
  <c r="L9" i="4"/>
  <c r="L8" i="4"/>
  <c r="L6" i="4"/>
  <c r="AB11" i="2"/>
  <c r="AA11" i="2"/>
  <c r="E11" i="2"/>
  <c r="F11" i="2"/>
  <c r="G11" i="2"/>
  <c r="N11" i="2"/>
  <c r="O11" i="2"/>
  <c r="P11" i="2"/>
  <c r="O46" i="5" l="1"/>
  <c r="O36" i="5"/>
  <c r="P42" i="5"/>
  <c r="Q27" i="5"/>
  <c r="P28" i="5"/>
  <c r="P33" i="5" s="1"/>
  <c r="P44" i="5" s="1"/>
  <c r="O29" i="5"/>
  <c r="O45" i="5" s="1"/>
  <c r="N37" i="5"/>
  <c r="N38" i="5" s="1"/>
  <c r="I21" i="5"/>
  <c r="E21" i="5"/>
  <c r="E11" i="5"/>
  <c r="O5" i="5"/>
  <c r="O10" i="5" s="1"/>
  <c r="O21" i="5" s="1"/>
  <c r="O19" i="5"/>
  <c r="F21" i="5"/>
  <c r="F11" i="5"/>
  <c r="K23" i="5"/>
  <c r="K13" i="5"/>
  <c r="K15" i="5" s="1"/>
  <c r="L17" i="5"/>
  <c r="H11" i="5"/>
  <c r="H21" i="5"/>
  <c r="N5" i="5"/>
  <c r="N10" i="5" s="1"/>
  <c r="N21" i="5" s="1"/>
  <c r="M11" i="5"/>
  <c r="N19" i="5"/>
  <c r="G11" i="5"/>
  <c r="J13" i="5"/>
  <c r="J15" i="5" s="1"/>
  <c r="J17" i="5" s="1"/>
  <c r="N11" i="5"/>
  <c r="I13" i="5"/>
  <c r="I15" i="5" s="1"/>
  <c r="I17" i="5" s="1"/>
  <c r="K21" i="5"/>
  <c r="N6" i="5"/>
  <c r="N22" i="5" s="1"/>
  <c r="Y11" i="2"/>
  <c r="Z11" i="2"/>
  <c r="Z13" i="2" s="1"/>
  <c r="Z15" i="2" s="1"/>
  <c r="R19" i="2"/>
  <c r="R22" i="2"/>
  <c r="V13" i="2"/>
  <c r="V15" i="2" s="1"/>
  <c r="V23" i="2"/>
  <c r="W21" i="2"/>
  <c r="W11" i="2"/>
  <c r="X11" i="2"/>
  <c r="X21" i="2"/>
  <c r="Z21" i="2"/>
  <c r="Y21" i="2"/>
  <c r="Y13" i="2"/>
  <c r="Y15" i="2" s="1"/>
  <c r="Y23" i="2"/>
  <c r="Z23" i="2"/>
  <c r="J21" i="2"/>
  <c r="H21" i="2"/>
  <c r="J11" i="2"/>
  <c r="M21" i="2"/>
  <c r="L21" i="2"/>
  <c r="K21" i="2"/>
  <c r="M11" i="2"/>
  <c r="L11" i="2"/>
  <c r="K11" i="2"/>
  <c r="S21" i="2"/>
  <c r="R21" i="2"/>
  <c r="Q21" i="2"/>
  <c r="I21" i="2"/>
  <c r="O21" i="2"/>
  <c r="P21" i="2"/>
  <c r="H11" i="2"/>
  <c r="AB21" i="2"/>
  <c r="N21" i="2"/>
  <c r="P60" i="2"/>
  <c r="P61" i="2"/>
  <c r="B8" i="2"/>
  <c r="P31" i="2"/>
  <c r="P37" i="2" s="1"/>
  <c r="R7" i="4"/>
  <c r="P13" i="2"/>
  <c r="P74" i="2"/>
  <c r="P65" i="2"/>
  <c r="P52" i="2"/>
  <c r="P41" i="2"/>
  <c r="P19" i="2"/>
  <c r="N40" i="5" l="1"/>
  <c r="Q42" i="5"/>
  <c r="Q28" i="5"/>
  <c r="Q33" i="5" s="1"/>
  <c r="Q44" i="5" s="1"/>
  <c r="R27" i="5"/>
  <c r="Q34" i="5"/>
  <c r="P34" i="5"/>
  <c r="P29" i="5"/>
  <c r="P45" i="5" s="1"/>
  <c r="O37" i="5"/>
  <c r="O38" i="5" s="1"/>
  <c r="O40" i="5" s="1"/>
  <c r="O11" i="5"/>
  <c r="O6" i="5"/>
  <c r="O22" i="5" s="1"/>
  <c r="E13" i="5"/>
  <c r="E15" i="5" s="1"/>
  <c r="E23" i="5"/>
  <c r="O23" i="5"/>
  <c r="O13" i="5"/>
  <c r="N13" i="5"/>
  <c r="N23" i="5"/>
  <c r="K17" i="5"/>
  <c r="M13" i="5"/>
  <c r="M15" i="5" s="1"/>
  <c r="M23" i="5"/>
  <c r="F13" i="5"/>
  <c r="F15" i="5" s="1"/>
  <c r="F23" i="5"/>
  <c r="P19" i="5"/>
  <c r="P5" i="5"/>
  <c r="P10" i="5" s="1"/>
  <c r="P21" i="5" s="1"/>
  <c r="H23" i="5"/>
  <c r="H13" i="5"/>
  <c r="H15" i="5" s="1"/>
  <c r="G23" i="5"/>
  <c r="G13" i="5"/>
  <c r="G15" i="5" s="1"/>
  <c r="W23" i="2"/>
  <c r="W13" i="2"/>
  <c r="W15" i="2" s="1"/>
  <c r="X13" i="2"/>
  <c r="X15" i="2" s="1"/>
  <c r="X23" i="2"/>
  <c r="P62" i="2"/>
  <c r="P76" i="2" s="1"/>
  <c r="P53" i="2"/>
  <c r="P23" i="2"/>
  <c r="P78" i="2"/>
  <c r="P56" i="2"/>
  <c r="P15" i="2"/>
  <c r="P17" i="2" s="1"/>
  <c r="P46" i="5" l="1"/>
  <c r="P36" i="5"/>
  <c r="Q46" i="5"/>
  <c r="Q36" i="5"/>
  <c r="R42" i="5"/>
  <c r="R29" i="5"/>
  <c r="R45" i="5" s="1"/>
  <c r="R34" i="5"/>
  <c r="S27" i="5"/>
  <c r="R28" i="5"/>
  <c r="R33" i="5" s="1"/>
  <c r="R44" i="5" s="1"/>
  <c r="Q29" i="5"/>
  <c r="Q45" i="5" s="1"/>
  <c r="O14" i="5"/>
  <c r="O15" i="5" s="1"/>
  <c r="O17" i="5" s="1"/>
  <c r="P11" i="5"/>
  <c r="M17" i="5"/>
  <c r="N14" i="5"/>
  <c r="N15" i="5" s="1"/>
  <c r="P6" i="5"/>
  <c r="P22" i="5" s="1"/>
  <c r="Q19" i="5"/>
  <c r="Q5" i="5"/>
  <c r="Q10" i="5" s="1"/>
  <c r="Q21" i="5" s="1"/>
  <c r="AE68" i="2"/>
  <c r="AE69" i="2"/>
  <c r="AE70" i="2"/>
  <c r="AE71" i="2"/>
  <c r="AE72" i="2"/>
  <c r="AE73" i="2"/>
  <c r="AE67" i="2"/>
  <c r="AE64" i="2"/>
  <c r="AE65" i="2" s="1"/>
  <c r="AE58" i="2"/>
  <c r="AE59" i="2"/>
  <c r="AE57" i="2"/>
  <c r="AD61" i="2"/>
  <c r="AD62" i="2" s="1"/>
  <c r="AD78" i="2" s="1"/>
  <c r="AC64" i="2"/>
  <c r="AC65" i="2" s="1"/>
  <c r="AC61" i="2"/>
  <c r="AC62" i="2" s="1"/>
  <c r="AA68" i="2"/>
  <c r="AA74" i="2" s="1"/>
  <c r="AA61" i="2"/>
  <c r="AA62" i="2" s="1"/>
  <c r="AB61" i="2"/>
  <c r="AB62" i="2" s="1"/>
  <c r="AB19" i="2"/>
  <c r="AA13" i="2"/>
  <c r="AA56" i="2" s="1"/>
  <c r="AB13" i="2"/>
  <c r="AB15" i="2" s="1"/>
  <c r="AB17" i="2" s="1"/>
  <c r="AD74" i="2"/>
  <c r="AC74" i="2"/>
  <c r="AB74" i="2"/>
  <c r="AA65" i="2"/>
  <c r="AB65" i="2"/>
  <c r="AD65" i="2"/>
  <c r="D61" i="2"/>
  <c r="D62" i="2" s="1"/>
  <c r="E61" i="2"/>
  <c r="E62" i="2" s="1"/>
  <c r="E78" i="2" s="1"/>
  <c r="F61" i="2"/>
  <c r="F62" i="2" s="1"/>
  <c r="F78" i="2" s="1"/>
  <c r="G61" i="2"/>
  <c r="G62" i="2" s="1"/>
  <c r="G78" i="2" s="1"/>
  <c r="H61" i="2"/>
  <c r="H62" i="2" s="1"/>
  <c r="H78" i="2" s="1"/>
  <c r="L61" i="2"/>
  <c r="L62" i="2" s="1"/>
  <c r="L78" i="2" s="1"/>
  <c r="I61" i="2"/>
  <c r="I62" i="2" s="1"/>
  <c r="I78" i="2" s="1"/>
  <c r="M61" i="2"/>
  <c r="M62" i="2" s="1"/>
  <c r="M78" i="2" s="1"/>
  <c r="J61" i="2"/>
  <c r="J62" i="2" s="1"/>
  <c r="J78" i="2" s="1"/>
  <c r="N61" i="2"/>
  <c r="N60" i="2"/>
  <c r="K61" i="2"/>
  <c r="K62" i="2" s="1"/>
  <c r="K78" i="2" s="1"/>
  <c r="D74" i="2"/>
  <c r="E74" i="2"/>
  <c r="F74" i="2"/>
  <c r="G74" i="2"/>
  <c r="H74" i="2"/>
  <c r="I74" i="2"/>
  <c r="J74" i="2"/>
  <c r="K74" i="2"/>
  <c r="L74" i="2"/>
  <c r="M74" i="2"/>
  <c r="N74" i="2"/>
  <c r="D65" i="2"/>
  <c r="E65" i="2"/>
  <c r="F65" i="2"/>
  <c r="G65" i="2"/>
  <c r="H65" i="2"/>
  <c r="I65" i="2"/>
  <c r="J65" i="2"/>
  <c r="K65" i="2"/>
  <c r="L65" i="2"/>
  <c r="M65" i="2"/>
  <c r="N65" i="2"/>
  <c r="O74" i="2"/>
  <c r="O65" i="2"/>
  <c r="O61" i="2"/>
  <c r="O62" i="2" s="1"/>
  <c r="O78" i="2" s="1"/>
  <c r="D52" i="2"/>
  <c r="E52" i="2"/>
  <c r="F52" i="2"/>
  <c r="G52" i="2"/>
  <c r="H52" i="2"/>
  <c r="I52" i="2"/>
  <c r="J52" i="2"/>
  <c r="K52" i="2"/>
  <c r="L52" i="2"/>
  <c r="M52" i="2"/>
  <c r="N52" i="2"/>
  <c r="D41" i="2"/>
  <c r="E41" i="2"/>
  <c r="F41" i="2"/>
  <c r="G41" i="2"/>
  <c r="H41" i="2"/>
  <c r="I41" i="2"/>
  <c r="J41" i="2"/>
  <c r="K41" i="2"/>
  <c r="L41" i="2"/>
  <c r="M41" i="2"/>
  <c r="N41" i="2"/>
  <c r="D37" i="2"/>
  <c r="E37" i="2"/>
  <c r="F37" i="2"/>
  <c r="G37" i="2"/>
  <c r="H37" i="2"/>
  <c r="I37" i="2"/>
  <c r="J37" i="2"/>
  <c r="K37" i="2"/>
  <c r="L37" i="2"/>
  <c r="M37" i="2"/>
  <c r="N37" i="2"/>
  <c r="P20" i="4"/>
  <c r="O20" i="4"/>
  <c r="N20" i="4"/>
  <c r="M20" i="4"/>
  <c r="K20" i="4"/>
  <c r="J20" i="4"/>
  <c r="I7" i="4"/>
  <c r="J7" i="4"/>
  <c r="K7" i="4"/>
  <c r="M7" i="4"/>
  <c r="N7" i="4"/>
  <c r="O7" i="4"/>
  <c r="P7" i="4"/>
  <c r="Q37" i="5" l="1"/>
  <c r="Q38" i="5" s="1"/>
  <c r="Q40" i="5" s="1"/>
  <c r="S28" i="5"/>
  <c r="S33" i="5" s="1"/>
  <c r="S44" i="5" s="1"/>
  <c r="S34" i="5"/>
  <c r="T27" i="5"/>
  <c r="S42" i="5"/>
  <c r="S29" i="5"/>
  <c r="S45" i="5" s="1"/>
  <c r="P37" i="5"/>
  <c r="P38" i="5" s="1"/>
  <c r="R36" i="5"/>
  <c r="R46" i="5"/>
  <c r="Q6" i="5"/>
  <c r="Q22" i="5" s="1"/>
  <c r="Q11" i="5"/>
  <c r="Q23" i="5" s="1"/>
  <c r="N17" i="5"/>
  <c r="R5" i="5"/>
  <c r="R10" i="5" s="1"/>
  <c r="R21" i="5" s="1"/>
  <c r="R19" i="5"/>
  <c r="R6" i="5"/>
  <c r="R22" i="5" s="1"/>
  <c r="P23" i="5"/>
  <c r="P13" i="5"/>
  <c r="AB23" i="2"/>
  <c r="N62" i="2"/>
  <c r="AA23" i="2"/>
  <c r="AE60" i="2"/>
  <c r="AE61" i="2"/>
  <c r="AE62" i="2" s="1"/>
  <c r="AE78" i="2" s="1"/>
  <c r="AC78" i="2"/>
  <c r="AE74" i="2"/>
  <c r="AD76" i="2"/>
  <c r="AC76" i="2"/>
  <c r="AB56" i="2"/>
  <c r="AA76" i="2"/>
  <c r="AA78" i="2"/>
  <c r="AB76" i="2"/>
  <c r="AB78" i="2"/>
  <c r="AA15" i="2"/>
  <c r="AA17" i="2" s="1"/>
  <c r="O76" i="2"/>
  <c r="N53" i="2"/>
  <c r="F53" i="2"/>
  <c r="H53" i="2"/>
  <c r="G53" i="2"/>
  <c r="D76" i="2"/>
  <c r="D78" i="2"/>
  <c r="E76" i="2"/>
  <c r="F76" i="2"/>
  <c r="G76" i="2"/>
  <c r="H76" i="2"/>
  <c r="L76" i="2"/>
  <c r="I76" i="2"/>
  <c r="M76" i="2"/>
  <c r="J76" i="2"/>
  <c r="N76" i="2"/>
  <c r="N78" i="2"/>
  <c r="K76" i="2"/>
  <c r="L53" i="2"/>
  <c r="D53" i="2"/>
  <c r="E53" i="2"/>
  <c r="K53" i="2"/>
  <c r="J53" i="2"/>
  <c r="I53" i="2"/>
  <c r="M53" i="2"/>
  <c r="P40" i="5" l="1"/>
  <c r="S36" i="5"/>
  <c r="S46" i="5"/>
  <c r="T28" i="5"/>
  <c r="T33" i="5" s="1"/>
  <c r="T44" i="5" s="1"/>
  <c r="T42" i="5"/>
  <c r="T29" i="5"/>
  <c r="T45" i="5" s="1"/>
  <c r="U27" i="5"/>
  <c r="R37" i="5"/>
  <c r="R38" i="5" s="1"/>
  <c r="Q13" i="5"/>
  <c r="S19" i="5"/>
  <c r="S5" i="5"/>
  <c r="S10" i="5" s="1"/>
  <c r="S21" i="5" s="1"/>
  <c r="S6" i="5"/>
  <c r="S22" i="5" s="1"/>
  <c r="Q14" i="5"/>
  <c r="Q15" i="5" s="1"/>
  <c r="Q17" i="5" s="1"/>
  <c r="R11" i="5"/>
  <c r="P14" i="5"/>
  <c r="P15" i="5"/>
  <c r="AE76" i="2"/>
  <c r="P27" i="4"/>
  <c r="P25" i="4"/>
  <c r="P22" i="4"/>
  <c r="P14" i="4"/>
  <c r="P12" i="4"/>
  <c r="P9" i="4"/>
  <c r="P10" i="4" s="1"/>
  <c r="L19" i="2"/>
  <c r="AC21" i="2"/>
  <c r="AF8" i="2"/>
  <c r="O52" i="2"/>
  <c r="O41" i="2"/>
  <c r="O37" i="2"/>
  <c r="H19" i="2"/>
  <c r="I19" i="2"/>
  <c r="J19" i="2"/>
  <c r="K19" i="2"/>
  <c r="M19" i="2"/>
  <c r="N19" i="2"/>
  <c r="O19" i="2"/>
  <c r="D23" i="2"/>
  <c r="E23" i="2"/>
  <c r="F23" i="2"/>
  <c r="G23" i="2"/>
  <c r="H23" i="2"/>
  <c r="I23" i="2"/>
  <c r="J13" i="2"/>
  <c r="K13" i="2"/>
  <c r="L13" i="2"/>
  <c r="M23" i="2"/>
  <c r="N23" i="2"/>
  <c r="O23" i="2"/>
  <c r="B6" i="2"/>
  <c r="R40" i="5" l="1"/>
  <c r="V27" i="5"/>
  <c r="U28" i="5"/>
  <c r="U33" i="5" s="1"/>
  <c r="U44" i="5" s="1"/>
  <c r="U42" i="5"/>
  <c r="U34" i="5"/>
  <c r="S37" i="5"/>
  <c r="S38" i="5" s="1"/>
  <c r="S40" i="5" s="1"/>
  <c r="T34" i="5"/>
  <c r="R23" i="5"/>
  <c r="R13" i="5"/>
  <c r="P17" i="5"/>
  <c r="T19" i="5"/>
  <c r="T5" i="5"/>
  <c r="T10" i="5" s="1"/>
  <c r="T21" i="5" s="1"/>
  <c r="T6" i="5"/>
  <c r="T22" i="5" s="1"/>
  <c r="S11" i="5"/>
  <c r="AD11" i="2"/>
  <c r="AD23" i="2" s="1"/>
  <c r="AC19" i="2"/>
  <c r="AC11" i="2"/>
  <c r="AE21" i="2"/>
  <c r="AD21" i="2"/>
  <c r="AE11" i="2"/>
  <c r="AE23" i="2" s="1"/>
  <c r="K23" i="2"/>
  <c r="AG8" i="2"/>
  <c r="AF4" i="2"/>
  <c r="AF7" i="2"/>
  <c r="K15" i="2"/>
  <c r="K17" i="2" s="1"/>
  <c r="K56" i="2"/>
  <c r="L15" i="2"/>
  <c r="L17" i="2" s="1"/>
  <c r="L56" i="2"/>
  <c r="J15" i="2"/>
  <c r="J17" i="2" s="1"/>
  <c r="J56" i="2"/>
  <c r="O13" i="2"/>
  <c r="AE19" i="2"/>
  <c r="AD19" i="2"/>
  <c r="D13" i="2"/>
  <c r="E13" i="2"/>
  <c r="F13" i="2"/>
  <c r="G13" i="2"/>
  <c r="H13" i="2"/>
  <c r="L23" i="2"/>
  <c r="I13" i="2"/>
  <c r="M13" i="2"/>
  <c r="J23" i="2"/>
  <c r="N13" i="2"/>
  <c r="O53" i="2"/>
  <c r="B9" i="2"/>
  <c r="U46" i="5" l="1"/>
  <c r="U36" i="5"/>
  <c r="W27" i="5"/>
  <c r="V42" i="5"/>
  <c r="V28" i="5"/>
  <c r="V33" i="5" s="1"/>
  <c r="V44" i="5" s="1"/>
  <c r="U29" i="5"/>
  <c r="U45" i="5" s="1"/>
  <c r="T46" i="5"/>
  <c r="T36" i="5"/>
  <c r="U19" i="5"/>
  <c r="U5" i="5"/>
  <c r="U10" i="5" s="1"/>
  <c r="U21" i="5" s="1"/>
  <c r="S23" i="5"/>
  <c r="S13" i="5"/>
  <c r="R14" i="5"/>
  <c r="R15" i="5" s="1"/>
  <c r="T11" i="5"/>
  <c r="AF5" i="2"/>
  <c r="AF10" i="2" s="1"/>
  <c r="AF21" i="2" s="1"/>
  <c r="AF6" i="2"/>
  <c r="AF22" i="2" s="1"/>
  <c r="AG4" i="2"/>
  <c r="AG7" i="2"/>
  <c r="AD13" i="2"/>
  <c r="AE13" i="2"/>
  <c r="H15" i="2"/>
  <c r="H17" i="2" s="1"/>
  <c r="H56" i="2"/>
  <c r="E15" i="2"/>
  <c r="E17" i="2" s="1"/>
  <c r="E56" i="2"/>
  <c r="M15" i="2"/>
  <c r="M17" i="2" s="1"/>
  <c r="M56" i="2"/>
  <c r="O15" i="2"/>
  <c r="O17" i="2" s="1"/>
  <c r="O56" i="2"/>
  <c r="G15" i="2"/>
  <c r="G17" i="2" s="1"/>
  <c r="G56" i="2"/>
  <c r="F15" i="2"/>
  <c r="F17" i="2" s="1"/>
  <c r="F56" i="2"/>
  <c r="N15" i="2"/>
  <c r="N17" i="2" s="1"/>
  <c r="N56" i="2"/>
  <c r="D15" i="2"/>
  <c r="D17" i="2" s="1"/>
  <c r="D56" i="2"/>
  <c r="I15" i="2"/>
  <c r="I17" i="2" s="1"/>
  <c r="I56" i="2"/>
  <c r="AF19" i="2"/>
  <c r="AC23" i="2"/>
  <c r="AC13" i="2"/>
  <c r="V34" i="5" l="1"/>
  <c r="X27" i="5"/>
  <c r="W42" i="5"/>
  <c r="W28" i="5"/>
  <c r="W33" i="5" s="1"/>
  <c r="W44" i="5" s="1"/>
  <c r="W29" i="5"/>
  <c r="W45" i="5" s="1"/>
  <c r="V29" i="5"/>
  <c r="V45" i="5" s="1"/>
  <c r="T37" i="5"/>
  <c r="T38" i="5" s="1"/>
  <c r="U37" i="5"/>
  <c r="U38" i="5" s="1"/>
  <c r="U40" i="5" s="1"/>
  <c r="R17" i="5"/>
  <c r="U11" i="5"/>
  <c r="S14" i="5"/>
  <c r="S15" i="5" s="1"/>
  <c r="S17" i="5" s="1"/>
  <c r="T13" i="5"/>
  <c r="T23" i="5"/>
  <c r="U6" i="5"/>
  <c r="U22" i="5" s="1"/>
  <c r="V19" i="5"/>
  <c r="V5" i="5"/>
  <c r="V10" i="5" s="1"/>
  <c r="V21" i="5" s="1"/>
  <c r="AG6" i="2"/>
  <c r="AG22" i="2" s="1"/>
  <c r="AG10" i="2"/>
  <c r="AF11" i="2"/>
  <c r="F8" i="3" s="1"/>
  <c r="AG21" i="2"/>
  <c r="AD56" i="2"/>
  <c r="AD15" i="2"/>
  <c r="AD17" i="2" s="1"/>
  <c r="AC15" i="2"/>
  <c r="AC17" i="2" s="1"/>
  <c r="AC56" i="2"/>
  <c r="AE15" i="2"/>
  <c r="AE17" i="2" s="1"/>
  <c r="AE56" i="2"/>
  <c r="AH4" i="2"/>
  <c r="AG19" i="2"/>
  <c r="X42" i="5" l="1"/>
  <c r="X28" i="5"/>
  <c r="X33" i="5" s="1"/>
  <c r="X44" i="5" s="1"/>
  <c r="T40" i="5"/>
  <c r="W34" i="5"/>
  <c r="V46" i="5"/>
  <c r="V36" i="5"/>
  <c r="T14" i="5"/>
  <c r="T15" i="5" s="1"/>
  <c r="V6" i="5"/>
  <c r="V22" i="5" s="1"/>
  <c r="V11" i="5"/>
  <c r="U13" i="5"/>
  <c r="U23" i="5"/>
  <c r="W19" i="5"/>
  <c r="W5" i="5"/>
  <c r="W10" i="5" s="1"/>
  <c r="W21" i="5" s="1"/>
  <c r="AF23" i="2"/>
  <c r="AF13" i="2"/>
  <c r="AF14" i="2" s="1"/>
  <c r="AH22" i="2"/>
  <c r="AH10" i="2"/>
  <c r="AH21" i="2" s="1"/>
  <c r="AF15" i="2"/>
  <c r="AG11" i="2"/>
  <c r="AG13" i="2" s="1"/>
  <c r="AG14" i="2" s="1"/>
  <c r="AI4" i="2"/>
  <c r="AH19" i="2"/>
  <c r="W46" i="5" l="1"/>
  <c r="W36" i="5"/>
  <c r="X29" i="5"/>
  <c r="X45" i="5" s="1"/>
  <c r="X34" i="5"/>
  <c r="V37" i="5"/>
  <c r="V38" i="5"/>
  <c r="V40" i="5" s="1"/>
  <c r="W6" i="5"/>
  <c r="W22" i="5" s="1"/>
  <c r="T17" i="5"/>
  <c r="U14" i="5"/>
  <c r="U15" i="5" s="1"/>
  <c r="U17" i="5" s="1"/>
  <c r="X19" i="5"/>
  <c r="X5" i="5"/>
  <c r="X10" i="5" s="1"/>
  <c r="X21" i="5" s="1"/>
  <c r="V13" i="5"/>
  <c r="V23" i="5"/>
  <c r="W11" i="5"/>
  <c r="G8" i="3"/>
  <c r="AG23" i="2"/>
  <c r="AI6" i="2"/>
  <c r="AI22" i="2" s="1"/>
  <c r="AI10" i="2"/>
  <c r="AI21" i="2" s="1"/>
  <c r="AF17" i="2"/>
  <c r="F9" i="3" s="1"/>
  <c r="AG15" i="2"/>
  <c r="AG17" i="2" s="1"/>
  <c r="G9" i="3" s="1"/>
  <c r="AH11" i="2"/>
  <c r="AH13" i="2" s="1"/>
  <c r="AH14" i="2" s="1"/>
  <c r="AH15" i="2" s="1"/>
  <c r="AH17" i="2" s="1"/>
  <c r="H9" i="3" s="1"/>
  <c r="AJ4" i="2"/>
  <c r="AI19" i="2"/>
  <c r="X46" i="5" l="1"/>
  <c r="X36" i="5"/>
  <c r="W37" i="5"/>
  <c r="W38" i="5"/>
  <c r="W40" i="5" s="1"/>
  <c r="X11" i="5"/>
  <c r="W23" i="5"/>
  <c r="W13" i="5"/>
  <c r="X6" i="5"/>
  <c r="X22" i="5" s="1"/>
  <c r="V14" i="5"/>
  <c r="V15" i="5" s="1"/>
  <c r="V17" i="5" s="1"/>
  <c r="AJ10" i="2"/>
  <c r="AJ21" i="2" s="1"/>
  <c r="AJ6" i="2"/>
  <c r="AJ22" i="2" s="1"/>
  <c r="H8" i="3"/>
  <c r="AH23" i="2"/>
  <c r="AI11" i="2"/>
  <c r="AI13" i="2" s="1"/>
  <c r="AI14" i="2" s="1"/>
  <c r="AK4" i="2"/>
  <c r="AJ19" i="2"/>
  <c r="X37" i="5" l="1"/>
  <c r="X38" i="5"/>
  <c r="W14" i="5"/>
  <c r="W15" i="5" s="1"/>
  <c r="W17" i="5" s="1"/>
  <c r="X23" i="5"/>
  <c r="X13" i="5"/>
  <c r="AK6" i="2"/>
  <c r="AK22" i="2" s="1"/>
  <c r="AK10" i="2"/>
  <c r="AK11" i="2" s="1"/>
  <c r="AI15" i="2"/>
  <c r="AI23" i="2"/>
  <c r="AJ11" i="2"/>
  <c r="AJ23" i="2" s="1"/>
  <c r="AL4" i="2"/>
  <c r="AK19" i="2"/>
  <c r="Y38" i="5" l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AO38" i="5" s="1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BC38" i="5" s="1"/>
  <c r="BD38" i="5" s="1"/>
  <c r="BE38" i="5" s="1"/>
  <c r="BF38" i="5" s="1"/>
  <c r="BG38" i="5" s="1"/>
  <c r="BH38" i="5" s="1"/>
  <c r="BI38" i="5" s="1"/>
  <c r="BJ38" i="5" s="1"/>
  <c r="BK38" i="5" s="1"/>
  <c r="BL38" i="5" s="1"/>
  <c r="BM38" i="5" s="1"/>
  <c r="BN38" i="5" s="1"/>
  <c r="BO38" i="5" s="1"/>
  <c r="BP38" i="5" s="1"/>
  <c r="BQ38" i="5" s="1"/>
  <c r="BR38" i="5" s="1"/>
  <c r="BS38" i="5" s="1"/>
  <c r="BT38" i="5" s="1"/>
  <c r="BU38" i="5" s="1"/>
  <c r="BV38" i="5" s="1"/>
  <c r="BW38" i="5" s="1"/>
  <c r="BX38" i="5" s="1"/>
  <c r="BY38" i="5" s="1"/>
  <c r="BZ38" i="5" s="1"/>
  <c r="CA38" i="5" s="1"/>
  <c r="CB38" i="5" s="1"/>
  <c r="CC38" i="5" s="1"/>
  <c r="CD38" i="5" s="1"/>
  <c r="CE38" i="5" s="1"/>
  <c r="CF38" i="5" s="1"/>
  <c r="CG38" i="5" s="1"/>
  <c r="CH38" i="5" s="1"/>
  <c r="CI38" i="5" s="1"/>
  <c r="CJ38" i="5" s="1"/>
  <c r="CK38" i="5" s="1"/>
  <c r="CL38" i="5" s="1"/>
  <c r="CM38" i="5" s="1"/>
  <c r="CN38" i="5" s="1"/>
  <c r="CO38" i="5" s="1"/>
  <c r="CP38" i="5" s="1"/>
  <c r="CQ38" i="5" s="1"/>
  <c r="CR38" i="5" s="1"/>
  <c r="CS38" i="5" s="1"/>
  <c r="CT38" i="5" s="1"/>
  <c r="CU38" i="5" s="1"/>
  <c r="CV38" i="5" s="1"/>
  <c r="CW38" i="5" s="1"/>
  <c r="CX38" i="5" s="1"/>
  <c r="CY38" i="5" s="1"/>
  <c r="CZ38" i="5" s="1"/>
  <c r="DA38" i="5" s="1"/>
  <c r="DB38" i="5" s="1"/>
  <c r="DC38" i="5" s="1"/>
  <c r="DD38" i="5" s="1"/>
  <c r="DE38" i="5" s="1"/>
  <c r="DF38" i="5" s="1"/>
  <c r="DG38" i="5" s="1"/>
  <c r="DH38" i="5" s="1"/>
  <c r="DI38" i="5" s="1"/>
  <c r="DJ38" i="5" s="1"/>
  <c r="DK38" i="5" s="1"/>
  <c r="DL38" i="5" s="1"/>
  <c r="DM38" i="5" s="1"/>
  <c r="DN38" i="5" s="1"/>
  <c r="DO38" i="5" s="1"/>
  <c r="AA43" i="5" s="1"/>
  <c r="AA45" i="5" s="1"/>
  <c r="X40" i="5"/>
  <c r="AK21" i="2"/>
  <c r="X14" i="5"/>
  <c r="X15" i="5"/>
  <c r="AJ13" i="2"/>
  <c r="AJ14" i="2" s="1"/>
  <c r="AJ15" i="2" s="1"/>
  <c r="AJ17" i="2" s="1"/>
  <c r="AL10" i="2"/>
  <c r="AL21" i="2" s="1"/>
  <c r="AL6" i="2"/>
  <c r="AL22" i="2" s="1"/>
  <c r="AI17" i="2"/>
  <c r="AK13" i="2"/>
  <c r="AK14" i="2" s="1"/>
  <c r="AK15" i="2" s="1"/>
  <c r="AK17" i="2" s="1"/>
  <c r="AK23" i="2"/>
  <c r="AM4" i="2"/>
  <c r="AL19" i="2"/>
  <c r="AA46" i="5" l="1"/>
  <c r="A29" i="5" s="1"/>
  <c r="A28" i="5"/>
  <c r="X17" i="5"/>
  <c r="AA20" i="5"/>
  <c r="AA22" i="5" s="1"/>
  <c r="AM10" i="2"/>
  <c r="AM21" i="2" s="1"/>
  <c r="AM6" i="2"/>
  <c r="AM22" i="2" s="1"/>
  <c r="AL11" i="2"/>
  <c r="AL13" i="2" s="1"/>
  <c r="AL14" i="2" s="1"/>
  <c r="AL15" i="2" s="1"/>
  <c r="AL17" i="2" s="1"/>
  <c r="AN4" i="2"/>
  <c r="AM19" i="2"/>
  <c r="AA23" i="5" l="1"/>
  <c r="A6" i="5" s="1"/>
  <c r="A5" i="5"/>
  <c r="AL23" i="2"/>
  <c r="AN10" i="2"/>
  <c r="AN21" i="2" s="1"/>
  <c r="AN6" i="2"/>
  <c r="AN22" i="2" s="1"/>
  <c r="AM11" i="2"/>
  <c r="AM13" i="2" s="1"/>
  <c r="AM14" i="2" s="1"/>
  <c r="AM15" i="2" s="1"/>
  <c r="AO4" i="2"/>
  <c r="AN19" i="2"/>
  <c r="AM23" i="2" l="1"/>
  <c r="AO10" i="2"/>
  <c r="AO21" i="2" s="1"/>
  <c r="AO6" i="2"/>
  <c r="AO22" i="2" s="1"/>
  <c r="AM17" i="2"/>
  <c r="AN11" i="2"/>
  <c r="AN13" i="2" s="1"/>
  <c r="AN14" i="2" s="1"/>
  <c r="AN15" i="2" s="1"/>
  <c r="AN17" i="2" s="1"/>
  <c r="AP4" i="2"/>
  <c r="AO19" i="2"/>
  <c r="AN23" i="2" l="1"/>
  <c r="AP10" i="2"/>
  <c r="AP11" i="2" s="1"/>
  <c r="AP6" i="2"/>
  <c r="AP22" i="2" s="1"/>
  <c r="AO11" i="2"/>
  <c r="AO13" i="2" s="1"/>
  <c r="AO14" i="2" s="1"/>
  <c r="AO15" i="2" s="1"/>
  <c r="AO17" i="2" s="1"/>
  <c r="AP19" i="2"/>
  <c r="AO23" i="2" l="1"/>
  <c r="AP21" i="2"/>
  <c r="AP13" i="2"/>
  <c r="AP14" i="2" s="1"/>
  <c r="AP15" i="2" s="1"/>
  <c r="AP23" i="2"/>
  <c r="AP17" i="2" l="1"/>
  <c r="AQ15" i="2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AS19" i="2" s="1"/>
  <c r="AS21" i="2" l="1"/>
  <c r="AS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tc={93E22D53-01EB-0F46-9B53-EA72878E4341}</author>
  </authors>
  <commentList>
    <comment ref="AC64" authorId="0" shapeId="0" xr:uid="{93E22D53-01EB-0F46-9B53-EA72878E4341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Kjøpte Elbutiken for 152,954
</t>
      </text>
    </comment>
  </commentList>
</comments>
</file>

<file path=xl/sharedStrings.xml><?xml version="1.0" encoding="utf-8"?>
<sst xmlns="http://schemas.openxmlformats.org/spreadsheetml/2006/main" count="271" uniqueCount="141">
  <si>
    <t>Kapitalstruktur</t>
  </si>
  <si>
    <t>Price</t>
  </si>
  <si>
    <t>S/O</t>
  </si>
  <si>
    <t>MC NOKm</t>
  </si>
  <si>
    <t>Cash NOKm</t>
  </si>
  <si>
    <t>Debt NOKm</t>
  </si>
  <si>
    <t>EV NOKm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</si>
  <si>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</si>
  <si>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</si>
  <si>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</si>
  <si>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</si>
  <si>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</si>
  <si>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</si>
  <si>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</si>
  <si>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</si>
  <si>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</si>
  <si>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</si>
  <si>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</si>
  <si>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</si>
  <si>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NOK million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</si>
  <si>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</si>
  <si>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</si>
  <si>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</si>
  <si>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</si>
  <si>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</si>
  <si>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</si>
  <si>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</si>
  <si>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</si>
  <si>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</si>
  <si>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</si>
  <si>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</si>
  <si>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</si>
  <si>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</si>
  <si>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</si>
  <si>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</si>
  <si>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Balanse NOKm</t>
  </si>
  <si>
    <t>Cash flow NOKm</t>
  </si>
  <si>
    <t>Revenue</t>
  </si>
  <si>
    <t>COGS</t>
  </si>
  <si>
    <t>Employee benefits exp</t>
  </si>
  <si>
    <t>D/A</t>
  </si>
  <si>
    <t>Other opex</t>
  </si>
  <si>
    <t>Operating profit (EBIT)</t>
  </si>
  <si>
    <t>Net financials</t>
  </si>
  <si>
    <t>PTP</t>
  </si>
  <si>
    <t>Tax</t>
  </si>
  <si>
    <t>Net income</t>
  </si>
  <si>
    <t>Shares</t>
  </si>
  <si>
    <t>EPS</t>
  </si>
  <si>
    <t>Q125</t>
  </si>
  <si>
    <t>Q225</t>
  </si>
  <si>
    <t>Q325</t>
  </si>
  <si>
    <t>Q425</t>
  </si>
  <si>
    <t>EBIT margin</t>
  </si>
  <si>
    <t>Goodwill</t>
  </si>
  <si>
    <t>Trademark and intang assets</t>
  </si>
  <si>
    <t>Deferred tax assets</t>
  </si>
  <si>
    <t>Other non-current assets</t>
  </si>
  <si>
    <t>PP&amp;E</t>
  </si>
  <si>
    <t>Inventories</t>
  </si>
  <si>
    <t>Trade receivables</t>
  </si>
  <si>
    <t>Other current assets</t>
  </si>
  <si>
    <t>cash</t>
  </si>
  <si>
    <t>Total assets</t>
  </si>
  <si>
    <t>Total paid-in equity</t>
  </si>
  <si>
    <t>Retained earnings</t>
  </si>
  <si>
    <t>Non-controlling interests</t>
  </si>
  <si>
    <t>Total Equity</t>
  </si>
  <si>
    <t>Non-current lease lia</t>
  </si>
  <si>
    <t>Other non-current lia</t>
  </si>
  <si>
    <t>Current lease lia</t>
  </si>
  <si>
    <t>Non-current lia to financials</t>
  </si>
  <si>
    <t>Trade creditors</t>
  </si>
  <si>
    <t>Taxes payable</t>
  </si>
  <si>
    <t>Public duties payable</t>
  </si>
  <si>
    <t>Other currrent liabilties</t>
  </si>
  <si>
    <t>Total Debt</t>
  </si>
  <si>
    <t>Total E/D</t>
  </si>
  <si>
    <t>CFFI</t>
  </si>
  <si>
    <t>CFFF</t>
  </si>
  <si>
    <t>CFFO</t>
  </si>
  <si>
    <t>EV/EBIT</t>
  </si>
  <si>
    <t>P/E</t>
  </si>
  <si>
    <t>NOKm</t>
  </si>
  <si>
    <t>Norge</t>
  </si>
  <si>
    <t>Gross Profit</t>
  </si>
  <si>
    <t>Gross margin</t>
  </si>
  <si>
    <t>Opex</t>
  </si>
  <si>
    <t>Opex to sales %</t>
  </si>
  <si>
    <t>EBIT</t>
  </si>
  <si>
    <t>EBIT %</t>
  </si>
  <si>
    <t>Net profit</t>
  </si>
  <si>
    <t>Sverige</t>
  </si>
  <si>
    <t>Revenue Y/Y</t>
  </si>
  <si>
    <t>Discount</t>
  </si>
  <si>
    <t>TV</t>
  </si>
  <si>
    <t>NPV</t>
  </si>
  <si>
    <t>NPV/Share</t>
  </si>
  <si>
    <t>Opp-/nedside</t>
  </si>
  <si>
    <t>De har 29 butikker i Norge og 1 i Sverige gjennom oppkjøpet av Elbutik AB</t>
  </si>
  <si>
    <t xml:space="preserve">Namron er Elimp sitt eget varemerke og ble etablert i 2007. </t>
  </si>
  <si>
    <t>Namron har raskt blitt en markedaleder innenfor lys, varme kabler, elektromateriell og smarthusløsninger</t>
  </si>
  <si>
    <t>SpotOn er Elimp sin unike tjeneste som gjør det enkelt å få jobben gjort trygt og effektivt. Spoton lar kunden bestille produjter og tjenseter, inkludert montering, til en fast pris</t>
  </si>
  <si>
    <t>Spoton leverer fagmessig arbeid utføert av sertifiserte elektrikere</t>
  </si>
  <si>
    <t>Spoton ble integrert inn i Elimp fra Q424</t>
  </si>
  <si>
    <t>Dividends payable</t>
  </si>
  <si>
    <t xml:space="preserve">Press releases: </t>
  </si>
  <si>
    <t>14.02.24: hentet 150m til 7,5kr</t>
  </si>
  <si>
    <t>19.03.24: Kjørte en rep-emi og fikk inn 30m</t>
  </si>
  <si>
    <t xml:space="preserve">Elektroimportøren er Norges 4 største el-grossist. </t>
  </si>
  <si>
    <t>Model PTP</t>
  </si>
  <si>
    <t>Reported PTP</t>
  </si>
  <si>
    <t>Taxes paid</t>
  </si>
  <si>
    <t>Interest</t>
  </si>
  <si>
    <t>WC</t>
  </si>
  <si>
    <t>Capex</t>
  </si>
  <si>
    <t>Repayment of borrowings</t>
  </si>
  <si>
    <t>Proceeds for issue of shares</t>
  </si>
  <si>
    <t>Net interest paid</t>
  </si>
  <si>
    <t>Lease payments</t>
  </si>
  <si>
    <t>Dividend</t>
  </si>
  <si>
    <t>CIC</t>
  </si>
  <si>
    <t>FCF</t>
  </si>
  <si>
    <t>FY 2021</t>
  </si>
  <si>
    <t>FY 2020</t>
  </si>
  <si>
    <t>Like-for-like y/y</t>
  </si>
  <si>
    <t>Total opex</t>
  </si>
  <si>
    <t>Opex y/y</t>
  </si>
  <si>
    <t>Organisk</t>
  </si>
  <si>
    <t>ROE</t>
  </si>
  <si>
    <t>FY 2017</t>
  </si>
  <si>
    <t>FY 2018</t>
  </si>
  <si>
    <t>FY 2019</t>
  </si>
  <si>
    <t>FY 2015</t>
  </si>
  <si>
    <t>FY 2016</t>
  </si>
  <si>
    <t>Nedside</t>
  </si>
  <si>
    <t>Gross profit</t>
  </si>
  <si>
    <t>Change in liabilities to banks</t>
  </si>
  <si>
    <t>Change in non-controling interest share purchase</t>
  </si>
  <si>
    <t>Current liabilties to fiancials</t>
  </si>
  <si>
    <t>Nullvekst og flate marginer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</si>
</sst>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6"/>
      <color rgb="FF1A1A1A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165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166" fontId="2" fillId="0" borderId="1" xfId="0" applyNumberFormat="1" applyFont="1" applyBorder="1"/>
    <xf numFmtId="166" fontId="1" fillId="0" borderId="0" xfId="0" applyNumberFormat="1" applyFont="1"/>
    <xf numFmtId="166" fontId="1" fillId="0" borderId="1" xfId="0" applyNumberFormat="1" applyFont="1" applyBorder="1"/>
    <xf numFmtId="0" fontId="4" fillId="0" borderId="0" xfId="0" applyFont="1"/>
    <xf numFmtId="10" fontId="1" fillId="0" borderId="0" xfId="0" applyNumberFormat="1" applyFont="1"/>
    <xf numFmtId="166" fontId="4" fillId="0" borderId="0" xfId="0" applyNumberFormat="1" applyFont="1"/>
    <xf numFmtId="0" fontId="1" fillId="0" borderId="3" xfId="0" applyFont="1" applyBorder="1"/>
    <xf numFmtId="0" fontId="2" fillId="0" borderId="3" xfId="0" applyFont="1" applyBorder="1"/>
    <xf numFmtId="10" fontId="2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5" fillId="0" borderId="2" xfId="0" applyFont="1" applyBorder="1"/>
    <xf numFmtId="165" fontId="6" fillId="0" borderId="2" xfId="0" applyNumberFormat="1" applyFont="1" applyBorder="1"/>
    <xf numFmtId="10" fontId="3" fillId="0" borderId="0" xfId="0" applyNumberFormat="1" applyFont="1"/>
    <xf numFmtId="9" fontId="2" fillId="0" borderId="0" xfId="0" applyNumberFormat="1" applyFont="1"/>
    <xf numFmtId="1" fontId="1" fillId="0" borderId="0" xfId="0" applyNumberFormat="1" applyFont="1"/>
    <xf numFmtId="8" fontId="2" fillId="0" borderId="3" xfId="0" applyNumberFormat="1" applyFont="1" applyBorder="1"/>
    <xf numFmtId="8" fontId="1" fillId="0" borderId="0" xfId="0" applyNumberFormat="1" applyFont="1"/>
    <xf numFmtId="0" fontId="7" fillId="0" borderId="0" xfId="0" applyFont="1"/>
    <xf numFmtId="3" fontId="4" fillId="0" borderId="0" xfId="0" applyNumberFormat="1" applyFont="1"/>
    <xf numFmtId="1" fontId="2" fillId="0" borderId="0" xfId="0" applyNumberFormat="1" applyFont="1"/>
    <xf numFmtId="3" fontId="1" fillId="0" borderId="1" xfId="0" applyNumberFormat="1" applyFont="1" applyBorder="1"/>
    <xf numFmtId="3" fontId="2" fillId="0" borderId="1" xfId="0" applyNumberFormat="1" applyFont="1" applyBorder="1"/>
    <xf numFmtId="10" fontId="1" fillId="0" borderId="1" xfId="0" applyNumberFormat="1" applyFont="1" applyBorder="1"/>
    <xf numFmtId="3" fontId="4" fillId="0" borderId="1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166" fontId="3" fillId="0" borderId="5" xfId="0" applyNumberFormat="1" applyFont="1" applyBorder="1"/>
    <xf numFmtId="0" fontId="1" fillId="0" borderId="4" xfId="0" applyFont="1" applyBorder="1"/>
    <xf numFmtId="0" fontId="2" fillId="0" borderId="5" xfId="0" applyFont="1" applyBorder="1"/>
    <xf numFmtId="166" fontId="4" fillId="0" borderId="5" xfId="0" applyNumberFormat="1" applyFont="1" applyBorder="1"/>
    <xf numFmtId="0" fontId="2" fillId="0" borderId="4" xfId="0" applyFont="1" applyBorder="1"/>
    <xf numFmtId="1" fontId="1" fillId="0" borderId="5" xfId="0" applyNumberFormat="1" applyFont="1" applyBorder="1"/>
    <xf numFmtId="10" fontId="2" fillId="0" borderId="1" xfId="0" applyNumberFormat="1" applyFont="1" applyBorder="1"/>
    <xf numFmtId="0" fontId="2" fillId="0" borderId="0" xfId="0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" fontId="2" fillId="0" borderId="0" xfId="0" applyNumberFormat="1" applyFont="1" applyBorder="1"/>
    <xf numFmtId="166" fontId="2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166" fontId="1" fillId="0" borderId="0" xfId="0" applyNumberFormat="1" applyFont="1" applyBorder="1"/>
    <xf numFmtId="3" fontId="2" fillId="0" borderId="0" xfId="0" applyNumberFormat="1" applyFont="1" applyBorder="1"/>
    <xf numFmtId="3" fontId="1" fillId="0" borderId="0" xfId="0" applyNumberFormat="1" applyFont="1" applyBorder="1"/>
    <xf numFmtId="10" fontId="2" fillId="0" borderId="0" xfId="0" applyNumberFormat="1" applyFont="1" applyBorder="1"/>
    <xf numFmtId="0" fontId="2" fillId="0" borderId="6" xfId="0" applyFont="1" applyBorder="1"/>
    <xf numFmtId="10" fontId="2" fillId="0" borderId="3" xfId="0" applyNumberFormat="1" applyFont="1" applyBorder="1"/>
    <xf numFmtId="10" fontId="2" fillId="0" borderId="6" xfId="0" applyNumberFormat="1" applyFont="1" applyBorder="1"/>
    <xf numFmtId="16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12700</xdr:rowOff>
    </xdr:from>
    <xdr:to>
      <xdr:col>10</xdr:col>
      <xdr:colOff>489496</xdr:colOff>
      <xdr:row>28</xdr:row>
      <xdr:rowOff>38100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B546504-AFB7-5D1A-D907-FF988DA7A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25700"/>
          <a:ext cx="8744496" cy="4419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228599</xdr:colOff>
      <xdr:row>0</xdr:row>
      <xdr:rowOff>88900</xdr:rowOff>
    </xdr:from>
    <xdr:to>
      <xdr:col>28</xdr:col>
      <xdr:colOff>94496</xdr:colOff>
      <xdr:row>14</xdr:row>
      <xdr:rowOff>165100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A042803D-21A2-737F-CCEE-D99D87854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1099" y="88900"/>
          <a:ext cx="10597397" cy="3454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EFB05843-9F5D-6946-9763-F386379D49EF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64" dT="2025-03-30T19:01:34.72" personId="{EFB05843-9F5D-6946-9763-F386379D49EF}" id="{93E22D53-01EB-0F46-9B53-EA72878E4341}">
    <text xml:space="preserve">Kjøpte Elbutiken for 152,954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1:A33"/>
  <sheetViews>
    <sheetView showGridLines="0" zoomScale="85" zoomScaleNormal="85" workbookViewId="0">
      <selection activeCell="S24" sqref="S24"/>
    </sheetView>
  </sheetViews>
  <sheetFormatPr baseColWidth="10" defaultRowHeight="19" x14ac:dyDescent="0.25"/>
  <cols>
    <col min="1" max="16384" width="10.83203125" style="2"/>
  </cols>
  <sheetData>
    <row r="1" spans="1:1" x14ac:dyDescent="0.25">
      <c r="A1" s="2" t="s">
        <v>109</v>
      </c>
    </row>
    <row r="2" spans="1:1" x14ac:dyDescent="0.25">
      <c r="A2" s="2" t="s">
        <v>99</v>
      </c>
    </row>
    <row r="5" spans="1:1" x14ac:dyDescent="0.25">
      <c r="A5" s="2" t="s">
        <v>100</v>
      </c>
    </row>
    <row r="6" spans="1:1" x14ac:dyDescent="0.25">
      <c r="A6" s="2" t="s">
        <v>101</v>
      </c>
    </row>
    <row r="8" spans="1:1" x14ac:dyDescent="0.25">
      <c r="A8" s="2" t="s">
        <v>102</v>
      </c>
    </row>
    <row r="9" spans="1:1" x14ac:dyDescent="0.25">
      <c r="A9" s="2" t="s">
        <v>103</v>
      </c>
    </row>
    <row r="10" spans="1:1" x14ac:dyDescent="0.25">
      <c r="A10" s="2" t="s">
        <v>104</v>
      </c>
    </row>
    <row r="17" spans="1:1" ht="21" x14ac:dyDescent="0.25">
      <c r="A17" s="33"/>
    </row>
    <row r="18" spans="1:1" ht="21" x14ac:dyDescent="0.25">
      <c r="A18" s="33"/>
    </row>
    <row r="30" spans="1:1" x14ac:dyDescent="0.25">
      <c r="A30" s="1" t="s">
        <v>106</v>
      </c>
    </row>
    <row r="31" spans="1:1" x14ac:dyDescent="0.25">
      <c r="A31" s="1"/>
    </row>
    <row r="32" spans="1:1" x14ac:dyDescent="0.25">
      <c r="A32" s="2" t="s">
        <v>108</v>
      </c>
    </row>
    <row r="33" spans="1:1" x14ac:dyDescent="0.25">
      <c r="A33" s="2" t="s">
        <v>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3:EG79"/>
  <sheetViews>
    <sheetView showGridLines="0" zoomScaleNormal="100" workbookViewId="0">
      <pane xSplit="3" ySplit="3" topLeftCell="X4" activePane="bottomRight" state="frozen"/>
      <selection pane="topRight" activeCell="D1" sqref="D1"/>
      <selection pane="bottomLeft" activeCell="A4" sqref="A4"/>
      <selection pane="bottomRight" activeCell="AJ21" sqref="AJ21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45.6640625" style="2" customWidth="1"/>
    <col min="4" max="15" width="10.83203125" style="2"/>
    <col min="16" max="16" width="10.83203125" style="4"/>
    <col min="17" max="31" width="10.83203125" style="2"/>
    <col min="32" max="32" width="10.83203125" style="4"/>
    <col min="33" max="43" width="10.83203125" style="2"/>
    <col min="44" max="44" width="14.83203125" style="2" bestFit="1" customWidth="1"/>
    <col min="45" max="45" width="12.1640625" style="2" bestFit="1" customWidth="1"/>
    <col min="46" max="16384" width="10.83203125" style="2"/>
  </cols>
  <sheetData>
    <row r="3" spans="1:137" x14ac:dyDescent="0.25">
      <c r="A3" s="1" t="s">
        <v>0</v>
      </c>
      <c r="C3" s="2" t="s">
        <v>19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8" t="s">
        <v>49</v>
      </c>
      <c r="Q3" s="7" t="s">
        <v>50</v>
      </c>
      <c r="R3" s="7" t="s">
        <v>51</v>
      </c>
      <c r="S3" s="7" t="s">
        <v>52</v>
      </c>
      <c r="T3" s="7"/>
      <c r="U3" s="7"/>
      <c r="V3" s="7" t="s">
        <v>133</v>
      </c>
      <c r="W3" s="7" t="s">
        <v>134</v>
      </c>
      <c r="X3" s="7" t="s">
        <v>130</v>
      </c>
      <c r="Y3" s="7" t="s">
        <v>131</v>
      </c>
      <c r="Z3" s="7" t="s">
        <v>132</v>
      </c>
      <c r="AA3" s="7" t="s">
        <v>124</v>
      </c>
      <c r="AB3" s="7" t="s">
        <v>123</v>
      </c>
      <c r="AC3" s="7" t="s">
        <v>20</v>
      </c>
      <c r="AD3" s="7" t="s">
        <v>21</v>
      </c>
      <c r="AE3" s="7" t="s">
        <v>22</v>
      </c>
      <c r="AF3" s="8" t="s">
        <v>23</v>
      </c>
      <c r="AG3" s="7" t="s">
        <v>24</v>
      </c>
      <c r="AH3" s="7" t="s">
        <v>25</v>
      </c>
      <c r="AI3" s="7" t="s">
        <v>26</v>
      </c>
      <c r="AJ3" s="7" t="s">
        <v>27</v>
      </c>
      <c r="AK3" s="7" t="s">
        <v>28</v>
      </c>
      <c r="AL3" s="7" t="s">
        <v>29</v>
      </c>
      <c r="AM3" s="7" t="s">
        <v>30</v>
      </c>
      <c r="AN3" s="7" t="s">
        <v>31</v>
      </c>
      <c r="AO3" s="7" t="s">
        <v>32</v>
      </c>
      <c r="AP3" s="7" t="s">
        <v>33</v>
      </c>
    </row>
    <row r="4" spans="1:137" x14ac:dyDescent="0.25">
      <c r="A4" s="2" t="s">
        <v>1</v>
      </c>
      <c r="B4" s="4">
        <v>16</v>
      </c>
      <c r="C4" s="1" t="s">
        <v>37</v>
      </c>
      <c r="D4" s="1">
        <v>367</v>
      </c>
      <c r="E4" s="1">
        <v>358</v>
      </c>
      <c r="F4" s="1">
        <v>398</v>
      </c>
      <c r="G4" s="1">
        <v>502</v>
      </c>
      <c r="H4" s="1">
        <v>383</v>
      </c>
      <c r="I4" s="1">
        <v>326</v>
      </c>
      <c r="J4" s="1">
        <v>401</v>
      </c>
      <c r="K4" s="1">
        <v>495</v>
      </c>
      <c r="L4" s="1">
        <v>350</v>
      </c>
      <c r="M4" s="1">
        <v>349</v>
      </c>
      <c r="N4" s="1">
        <v>407</v>
      </c>
      <c r="O4" s="1">
        <v>520</v>
      </c>
      <c r="P4" s="9">
        <v>396</v>
      </c>
      <c r="Q4" s="1"/>
      <c r="R4" s="1"/>
      <c r="S4" s="1"/>
      <c r="T4" s="1"/>
      <c r="U4" s="1"/>
      <c r="V4" s="24">
        <v>277.82900000000001</v>
      </c>
      <c r="W4" s="24">
        <v>417.45100000000002</v>
      </c>
      <c r="X4" s="24">
        <v>593.77549399999998</v>
      </c>
      <c r="Y4" s="24">
        <v>786.56741899999997</v>
      </c>
      <c r="Z4" s="24">
        <v>964.15984700000001</v>
      </c>
      <c r="AA4" s="24">
        <v>1315.894</v>
      </c>
      <c r="AB4" s="24">
        <v>1485.33</v>
      </c>
      <c r="AC4" s="24">
        <v>1625</v>
      </c>
      <c r="AD4" s="24">
        <v>1605</v>
      </c>
      <c r="AE4" s="24">
        <v>1626</v>
      </c>
      <c r="AF4" s="36">
        <f>AE4*1.1</f>
        <v>1788.6000000000001</v>
      </c>
      <c r="AG4" s="24">
        <f>AF4*1.085</f>
        <v>1940.6310000000001</v>
      </c>
      <c r="AH4" s="24">
        <f t="shared" ref="AH4:AP4" si="0">AG4*1.08</f>
        <v>2095.88148</v>
      </c>
      <c r="AI4" s="24">
        <f t="shared" si="0"/>
        <v>2263.5519984000002</v>
      </c>
      <c r="AJ4" s="24">
        <f t="shared" si="0"/>
        <v>2444.6361582720006</v>
      </c>
      <c r="AK4" s="24">
        <f t="shared" si="0"/>
        <v>2640.2070509337609</v>
      </c>
      <c r="AL4" s="24">
        <f t="shared" si="0"/>
        <v>2851.4236150084621</v>
      </c>
      <c r="AM4" s="24">
        <f t="shared" si="0"/>
        <v>3079.5375042091391</v>
      </c>
      <c r="AN4" s="24">
        <f t="shared" si="0"/>
        <v>3325.9005045458703</v>
      </c>
      <c r="AO4" s="24">
        <f t="shared" si="0"/>
        <v>3591.9725449095399</v>
      </c>
      <c r="AP4" s="24">
        <f t="shared" si="0"/>
        <v>3879.3303485023034</v>
      </c>
    </row>
    <row r="5" spans="1:137" x14ac:dyDescent="0.25">
      <c r="A5" s="2" t="s">
        <v>2</v>
      </c>
      <c r="B5" s="11">
        <v>50.782200000000003</v>
      </c>
      <c r="C5" s="2" t="s">
        <v>38</v>
      </c>
      <c r="D5" s="2">
        <v>-230</v>
      </c>
      <c r="E5" s="2">
        <v>-232</v>
      </c>
      <c r="F5" s="2">
        <v>-248</v>
      </c>
      <c r="G5" s="2">
        <v>-308</v>
      </c>
      <c r="H5" s="2">
        <v>-246</v>
      </c>
      <c r="I5" s="2">
        <v>-213</v>
      </c>
      <c r="J5" s="2">
        <v>-259</v>
      </c>
      <c r="K5" s="2">
        <v>-332</v>
      </c>
      <c r="L5" s="2">
        <v>-229</v>
      </c>
      <c r="M5" s="2">
        <v>-236</v>
      </c>
      <c r="N5" s="2">
        <v>-271</v>
      </c>
      <c r="O5" s="2">
        <v>-338</v>
      </c>
      <c r="P5" s="4">
        <v>-253</v>
      </c>
      <c r="V5" s="25">
        <v>-153.393</v>
      </c>
      <c r="W5" s="25">
        <v>-231.15700000000001</v>
      </c>
      <c r="X5" s="25">
        <v>-336.04035399999998</v>
      </c>
      <c r="Y5" s="25">
        <v>-464.256078</v>
      </c>
      <c r="Z5" s="25">
        <v>-589.66905999999994</v>
      </c>
      <c r="AA5" s="25">
        <v>-798.38900000000001</v>
      </c>
      <c r="AB5" s="25">
        <v>-912.30499999999995</v>
      </c>
      <c r="AC5" s="25">
        <v>-1018</v>
      </c>
      <c r="AD5" s="25">
        <v>-1050</v>
      </c>
      <c r="AE5" s="25">
        <v>-1074</v>
      </c>
      <c r="AF5" s="37">
        <f>AF4*-0.65</f>
        <v>-1162.5900000000001</v>
      </c>
      <c r="AG5" s="57">
        <f t="shared" ref="AG5:AP5" si="1">AG4*-0.65</f>
        <v>-1261.4101500000002</v>
      </c>
      <c r="AH5" s="57">
        <f t="shared" si="1"/>
        <v>-1362.322962</v>
      </c>
      <c r="AI5" s="57">
        <f t="shared" si="1"/>
        <v>-1471.3087989600001</v>
      </c>
      <c r="AJ5" s="57">
        <f t="shared" si="1"/>
        <v>-1589.0135028768004</v>
      </c>
      <c r="AK5" s="57">
        <f t="shared" si="1"/>
        <v>-1716.1345831069445</v>
      </c>
      <c r="AL5" s="57">
        <f t="shared" si="1"/>
        <v>-1853.4253497555005</v>
      </c>
      <c r="AM5" s="57">
        <f t="shared" si="1"/>
        <v>-2001.6993777359405</v>
      </c>
      <c r="AN5" s="57">
        <f t="shared" si="1"/>
        <v>-2161.835327954816</v>
      </c>
      <c r="AO5" s="57">
        <f t="shared" si="1"/>
        <v>-2334.7821541912012</v>
      </c>
      <c r="AP5" s="57">
        <f t="shared" si="1"/>
        <v>-2521.5647265264975</v>
      </c>
    </row>
    <row r="6" spans="1:137" x14ac:dyDescent="0.25">
      <c r="A6" s="2" t="s">
        <v>3</v>
      </c>
      <c r="B6" s="5">
        <f>B4*B5</f>
        <v>812.51520000000005</v>
      </c>
      <c r="C6" s="2" t="s">
        <v>136</v>
      </c>
      <c r="D6" s="49">
        <f t="shared" ref="D6:O6" si="2">SUM(D4:D5)</f>
        <v>137</v>
      </c>
      <c r="E6" s="49">
        <f t="shared" si="2"/>
        <v>126</v>
      </c>
      <c r="F6" s="49">
        <f t="shared" si="2"/>
        <v>150</v>
      </c>
      <c r="G6" s="49">
        <f t="shared" si="2"/>
        <v>194</v>
      </c>
      <c r="H6" s="49">
        <f t="shared" si="2"/>
        <v>137</v>
      </c>
      <c r="I6" s="49">
        <f t="shared" si="2"/>
        <v>113</v>
      </c>
      <c r="J6" s="49">
        <f t="shared" si="2"/>
        <v>142</v>
      </c>
      <c r="K6" s="49">
        <f t="shared" si="2"/>
        <v>163</v>
      </c>
      <c r="L6" s="49">
        <f t="shared" si="2"/>
        <v>121</v>
      </c>
      <c r="M6" s="49">
        <f t="shared" si="2"/>
        <v>113</v>
      </c>
      <c r="N6" s="49">
        <f t="shared" si="2"/>
        <v>136</v>
      </c>
      <c r="O6" s="49">
        <f t="shared" si="2"/>
        <v>182</v>
      </c>
      <c r="P6" s="4">
        <f>SUM(P4:P5)</f>
        <v>143</v>
      </c>
      <c r="V6" s="57">
        <f t="shared" ref="V6:AE6" si="3">SUM(V4:V5)</f>
        <v>124.43600000000001</v>
      </c>
      <c r="W6" s="57">
        <f t="shared" si="3"/>
        <v>186.29400000000001</v>
      </c>
      <c r="X6" s="57">
        <f t="shared" si="3"/>
        <v>257.73514</v>
      </c>
      <c r="Y6" s="57">
        <f t="shared" si="3"/>
        <v>322.31134099999997</v>
      </c>
      <c r="Z6" s="57">
        <f t="shared" si="3"/>
        <v>374.49078700000007</v>
      </c>
      <c r="AA6" s="57">
        <f t="shared" si="3"/>
        <v>517.505</v>
      </c>
      <c r="AB6" s="57">
        <f t="shared" si="3"/>
        <v>573.02499999999998</v>
      </c>
      <c r="AC6" s="57">
        <f t="shared" si="3"/>
        <v>607</v>
      </c>
      <c r="AD6" s="57">
        <f t="shared" si="3"/>
        <v>555</v>
      </c>
      <c r="AE6" s="57">
        <f t="shared" si="3"/>
        <v>552</v>
      </c>
      <c r="AF6" s="37">
        <f>SUM(AF4:AF5)</f>
        <v>626.01</v>
      </c>
      <c r="AG6" s="57">
        <f t="shared" ref="AG6:AP6" si="4">SUM(AG4:AG5)</f>
        <v>679.22084999999993</v>
      </c>
      <c r="AH6" s="57">
        <f>SUM(AH4:AH5)</f>
        <v>733.55851800000005</v>
      </c>
      <c r="AI6" s="57">
        <f t="shared" si="4"/>
        <v>792.24319944000013</v>
      </c>
      <c r="AJ6" s="57">
        <f t="shared" si="4"/>
        <v>855.62265539520013</v>
      </c>
      <c r="AK6" s="57">
        <f t="shared" si="4"/>
        <v>924.07246782681636</v>
      </c>
      <c r="AL6" s="57">
        <f t="shared" si="4"/>
        <v>997.99826525296157</v>
      </c>
      <c r="AM6" s="57">
        <f t="shared" si="4"/>
        <v>1077.8381264731986</v>
      </c>
      <c r="AN6" s="57">
        <f t="shared" si="4"/>
        <v>1164.0651765910543</v>
      </c>
      <c r="AO6" s="57">
        <f t="shared" si="4"/>
        <v>1257.1903907183387</v>
      </c>
      <c r="AP6" s="57">
        <f t="shared" si="4"/>
        <v>1357.765621975806</v>
      </c>
    </row>
    <row r="7" spans="1:137" x14ac:dyDescent="0.25">
      <c r="A7" s="2" t="s">
        <v>4</v>
      </c>
      <c r="B7" s="5">
        <v>95</v>
      </c>
      <c r="C7" s="2" t="s">
        <v>39</v>
      </c>
      <c r="D7" s="2">
        <v>-63</v>
      </c>
      <c r="E7" s="49">
        <v>-47</v>
      </c>
      <c r="F7" s="52">
        <v>-70.543000000000006</v>
      </c>
      <c r="G7" s="49">
        <v>-74</v>
      </c>
      <c r="H7" s="49">
        <v>-68</v>
      </c>
      <c r="I7" s="49">
        <v>-52</v>
      </c>
      <c r="J7" s="49">
        <v>-75</v>
      </c>
      <c r="K7" s="49">
        <v>-77</v>
      </c>
      <c r="L7" s="49">
        <v>-65</v>
      </c>
      <c r="M7" s="49">
        <v>-48</v>
      </c>
      <c r="N7" s="49">
        <v>-74</v>
      </c>
      <c r="O7" s="49">
        <v>-79</v>
      </c>
      <c r="P7" s="4">
        <v>-73</v>
      </c>
      <c r="V7" s="57">
        <v>-50.323999999999998</v>
      </c>
      <c r="W7" s="57">
        <v>-80.599999999999994</v>
      </c>
      <c r="X7" s="57">
        <v>-117.86964</v>
      </c>
      <c r="Y7" s="57">
        <v>-144.492603</v>
      </c>
      <c r="Z7" s="57">
        <v>-176.14433700000001</v>
      </c>
      <c r="AA7" s="57">
        <v>-219.29400000000001</v>
      </c>
      <c r="AB7" s="57">
        <v>-243.321</v>
      </c>
      <c r="AC7" s="57">
        <v>-255</v>
      </c>
      <c r="AD7" s="57">
        <v>-272</v>
      </c>
      <c r="AE7" s="57">
        <v>-266</v>
      </c>
      <c r="AF7" s="37">
        <f>AE7*1.02</f>
        <v>-271.32</v>
      </c>
      <c r="AG7" s="25">
        <f>AF7*1.03</f>
        <v>-279.45960000000002</v>
      </c>
      <c r="AH7" s="25">
        <f>AG7*1.07</f>
        <v>-299.02177200000006</v>
      </c>
      <c r="AI7" s="25">
        <f t="shared" ref="AI7:AP7" si="5">AH7*1.07</f>
        <v>-319.95329604000005</v>
      </c>
      <c r="AJ7" s="25">
        <f t="shared" si="5"/>
        <v>-342.3500267628001</v>
      </c>
      <c r="AK7" s="25">
        <f t="shared" si="5"/>
        <v>-366.31452863619614</v>
      </c>
      <c r="AL7" s="25">
        <f>AK7*1.075</f>
        <v>-393.78811828391082</v>
      </c>
      <c r="AM7" s="25">
        <f t="shared" ref="AM7:AP7" si="6">AL7*1.075</f>
        <v>-423.32222715520413</v>
      </c>
      <c r="AN7" s="25">
        <f t="shared" si="6"/>
        <v>-455.07139419184443</v>
      </c>
      <c r="AO7" s="25">
        <f t="shared" si="6"/>
        <v>-489.20174875623275</v>
      </c>
      <c r="AP7" s="25">
        <f t="shared" si="6"/>
        <v>-525.89187991295023</v>
      </c>
    </row>
    <row r="8" spans="1:137" x14ac:dyDescent="0.25">
      <c r="A8" s="2" t="s">
        <v>5</v>
      </c>
      <c r="B8" s="5">
        <f>P43+P46</f>
        <v>220</v>
      </c>
      <c r="C8" s="2" t="s">
        <v>40</v>
      </c>
      <c r="D8" s="2">
        <v>-22</v>
      </c>
      <c r="E8" s="49">
        <v>-23</v>
      </c>
      <c r="F8" s="52">
        <v>-23.71</v>
      </c>
      <c r="G8" s="49">
        <v>-23</v>
      </c>
      <c r="H8" s="49">
        <v>-25</v>
      </c>
      <c r="I8" s="49">
        <v>-26</v>
      </c>
      <c r="J8" s="49">
        <v>-26</v>
      </c>
      <c r="K8" s="49">
        <v>-19</v>
      </c>
      <c r="L8" s="49">
        <v>-28</v>
      </c>
      <c r="M8" s="49">
        <v>-25</v>
      </c>
      <c r="N8" s="49">
        <v>-29</v>
      </c>
      <c r="O8" s="49">
        <v>-29</v>
      </c>
      <c r="P8" s="4">
        <v>-29</v>
      </c>
      <c r="V8" s="57">
        <v>-13.54</v>
      </c>
      <c r="W8" s="57">
        <f>-16.943</f>
        <v>-16.943000000000001</v>
      </c>
      <c r="X8" s="57">
        <f>-21.263035-3.145</f>
        <v>-24.408034999999998</v>
      </c>
      <c r="Y8" s="57">
        <f>-27.230979-2.46</f>
        <v>-29.690979000000002</v>
      </c>
      <c r="Z8" s="57">
        <f>-28.105644-0.736</f>
        <v>-28.841644000000002</v>
      </c>
      <c r="AA8" s="57">
        <v>-70.739999999999995</v>
      </c>
      <c r="AB8" s="57">
        <v>-77.325000000000003</v>
      </c>
      <c r="AC8" s="57">
        <v>-92</v>
      </c>
      <c r="AD8" s="57">
        <v>-96</v>
      </c>
      <c r="AE8" s="57">
        <v>-111</v>
      </c>
      <c r="AF8" s="37">
        <f>AE8*1.02</f>
        <v>-113.22</v>
      </c>
      <c r="AG8" s="25">
        <f>AF8*1.03</f>
        <v>-116.61660000000001</v>
      </c>
      <c r="AH8" s="25">
        <f t="shared" ref="AH8:AP9" si="7">AG8*1.07</f>
        <v>-124.77976200000002</v>
      </c>
      <c r="AI8" s="25">
        <f t="shared" si="7"/>
        <v>-133.51434534000003</v>
      </c>
      <c r="AJ8" s="25">
        <f t="shared" si="7"/>
        <v>-142.86034951380003</v>
      </c>
      <c r="AK8" s="25">
        <f t="shared" si="7"/>
        <v>-152.86057397976603</v>
      </c>
      <c r="AL8" s="25">
        <f t="shared" ref="AL8:AP9" si="8">AK8*1.075</f>
        <v>-164.32511702824848</v>
      </c>
      <c r="AM8" s="25">
        <f t="shared" si="8"/>
        <v>-176.64950080536713</v>
      </c>
      <c r="AN8" s="25">
        <f t="shared" si="8"/>
        <v>-189.89821336576966</v>
      </c>
      <c r="AO8" s="25">
        <f t="shared" si="8"/>
        <v>-204.14057936820237</v>
      </c>
      <c r="AP8" s="25">
        <f t="shared" si="8"/>
        <v>-219.45112282081755</v>
      </c>
    </row>
    <row r="9" spans="1:137" x14ac:dyDescent="0.25">
      <c r="A9" s="3" t="s">
        <v>6</v>
      </c>
      <c r="B9" s="6">
        <f>B6-B7+B8</f>
        <v>937.51520000000005</v>
      </c>
      <c r="C9" s="2" t="s">
        <v>41</v>
      </c>
      <c r="D9" s="2">
        <v>-30</v>
      </c>
      <c r="E9" s="49">
        <v>-29</v>
      </c>
      <c r="F9" s="49">
        <v>-34</v>
      </c>
      <c r="G9" s="49">
        <v>-50</v>
      </c>
      <c r="H9" s="49">
        <v>-37</v>
      </c>
      <c r="I9" s="49">
        <v>-30</v>
      </c>
      <c r="J9" s="49">
        <v>-38</v>
      </c>
      <c r="K9" s="49">
        <v>-40</v>
      </c>
      <c r="L9" s="49">
        <v>-32</v>
      </c>
      <c r="M9" s="49">
        <v>-35</v>
      </c>
      <c r="N9" s="49">
        <v>-33</v>
      </c>
      <c r="O9" s="49">
        <v>-38</v>
      </c>
      <c r="P9" s="4">
        <v>-34</v>
      </c>
      <c r="V9" s="57">
        <v>-38.485999999999997</v>
      </c>
      <c r="W9" s="57">
        <v>-56.4</v>
      </c>
      <c r="X9" s="57">
        <v>-75.756888000000004</v>
      </c>
      <c r="Y9" s="57">
        <v>-106.93600000000001</v>
      </c>
      <c r="Z9" s="57">
        <v>-121.107907</v>
      </c>
      <c r="AA9" s="57">
        <v>-94.081000000000003</v>
      </c>
      <c r="AB9" s="57">
        <v>-107.446</v>
      </c>
      <c r="AC9" s="57">
        <v>-146</v>
      </c>
      <c r="AD9" s="57">
        <v>-145</v>
      </c>
      <c r="AE9" s="57">
        <v>-138</v>
      </c>
      <c r="AF9" s="37">
        <v>-140</v>
      </c>
      <c r="AG9" s="25">
        <v>-150</v>
      </c>
      <c r="AH9" s="25">
        <f t="shared" si="7"/>
        <v>-160.5</v>
      </c>
      <c r="AI9" s="25">
        <f t="shared" si="7"/>
        <v>-171.73500000000001</v>
      </c>
      <c r="AJ9" s="25">
        <f t="shared" si="7"/>
        <v>-183.75645000000003</v>
      </c>
      <c r="AK9" s="25">
        <f t="shared" si="7"/>
        <v>-196.61940150000004</v>
      </c>
      <c r="AL9" s="25">
        <f t="shared" si="8"/>
        <v>-211.36585661250004</v>
      </c>
      <c r="AM9" s="25">
        <f t="shared" si="8"/>
        <v>-227.21829585843753</v>
      </c>
      <c r="AN9" s="25">
        <f t="shared" si="8"/>
        <v>-244.25966804782033</v>
      </c>
      <c r="AO9" s="25">
        <f t="shared" si="8"/>
        <v>-262.57914315140687</v>
      </c>
      <c r="AP9" s="25">
        <f t="shared" si="8"/>
        <v>-282.27257888776239</v>
      </c>
    </row>
    <row r="10" spans="1:137" x14ac:dyDescent="0.25">
      <c r="C10" s="2" t="s">
        <v>126</v>
      </c>
      <c r="D10" s="49">
        <f t="shared" ref="D10:O10" si="9">D5+D7+D8+D9</f>
        <v>-345</v>
      </c>
      <c r="E10" s="49">
        <f t="shared" si="9"/>
        <v>-331</v>
      </c>
      <c r="F10" s="52">
        <f t="shared" si="9"/>
        <v>-376.25299999999999</v>
      </c>
      <c r="G10" s="49">
        <f t="shared" si="9"/>
        <v>-455</v>
      </c>
      <c r="H10" s="49">
        <f t="shared" si="9"/>
        <v>-376</v>
      </c>
      <c r="I10" s="49">
        <f t="shared" si="9"/>
        <v>-321</v>
      </c>
      <c r="J10" s="49">
        <f t="shared" si="9"/>
        <v>-398</v>
      </c>
      <c r="K10" s="49">
        <f t="shared" si="9"/>
        <v>-468</v>
      </c>
      <c r="L10" s="49">
        <f t="shared" si="9"/>
        <v>-354</v>
      </c>
      <c r="M10" s="49">
        <f t="shared" si="9"/>
        <v>-344</v>
      </c>
      <c r="N10" s="49">
        <f t="shared" si="9"/>
        <v>-407</v>
      </c>
      <c r="O10" s="49">
        <f t="shared" si="9"/>
        <v>-484</v>
      </c>
      <c r="P10" s="4">
        <f>P5+P7+P8+P9</f>
        <v>-389</v>
      </c>
      <c r="V10" s="57">
        <f>V5+V7+V8+V9</f>
        <v>-255.74299999999997</v>
      </c>
      <c r="W10" s="57">
        <f t="shared" ref="W10:AP10" si="10">W5+W7+W8+W9</f>
        <v>-385.09999999999997</v>
      </c>
      <c r="X10" s="57">
        <f t="shared" si="10"/>
        <v>-554.07491699999991</v>
      </c>
      <c r="Y10" s="57">
        <f t="shared" si="10"/>
        <v>-745.37566000000004</v>
      </c>
      <c r="Z10" s="57">
        <f t="shared" si="10"/>
        <v>-915.76294799999982</v>
      </c>
      <c r="AA10" s="57">
        <f t="shared" si="10"/>
        <v>-1182.5039999999999</v>
      </c>
      <c r="AB10" s="57">
        <f t="shared" si="10"/>
        <v>-1340.3969999999999</v>
      </c>
      <c r="AC10" s="57">
        <f t="shared" si="10"/>
        <v>-1511</v>
      </c>
      <c r="AD10" s="57">
        <f t="shared" si="10"/>
        <v>-1563</v>
      </c>
      <c r="AE10" s="57">
        <f t="shared" si="10"/>
        <v>-1589</v>
      </c>
      <c r="AF10" s="37">
        <f t="shared" si="10"/>
        <v>-1687.13</v>
      </c>
      <c r="AG10" s="25">
        <f t="shared" si="10"/>
        <v>-1807.4863500000004</v>
      </c>
      <c r="AH10" s="25">
        <f t="shared" si="10"/>
        <v>-1946.6244960000001</v>
      </c>
      <c r="AI10" s="25">
        <f t="shared" si="10"/>
        <v>-2096.5114403400003</v>
      </c>
      <c r="AJ10" s="25">
        <f t="shared" si="10"/>
        <v>-2257.9803291534004</v>
      </c>
      <c r="AK10" s="25">
        <f t="shared" si="10"/>
        <v>-2431.9290872229067</v>
      </c>
      <c r="AL10" s="25">
        <f t="shared" si="10"/>
        <v>-2622.9044416801598</v>
      </c>
      <c r="AM10" s="25">
        <f t="shared" si="10"/>
        <v>-2828.8894015549495</v>
      </c>
      <c r="AN10" s="25">
        <f t="shared" si="10"/>
        <v>-3051.0646035602504</v>
      </c>
      <c r="AO10" s="25">
        <f t="shared" si="10"/>
        <v>-3290.7036254670434</v>
      </c>
      <c r="AP10" s="25">
        <f t="shared" si="10"/>
        <v>-3549.1803081480275</v>
      </c>
    </row>
    <row r="11" spans="1:137" x14ac:dyDescent="0.25">
      <c r="C11" s="1" t="s">
        <v>42</v>
      </c>
      <c r="D11" s="1">
        <f>D4+D10</f>
        <v>22</v>
      </c>
      <c r="E11" s="54">
        <f>E4+E10</f>
        <v>27</v>
      </c>
      <c r="F11" s="55">
        <f>F4+F10</f>
        <v>21.747000000000014</v>
      </c>
      <c r="G11" s="54">
        <f>G4+G10</f>
        <v>47</v>
      </c>
      <c r="H11" s="54">
        <f>H4+H10</f>
        <v>7</v>
      </c>
      <c r="I11" s="54">
        <f>I4+I10</f>
        <v>5</v>
      </c>
      <c r="J11" s="54">
        <f>J4+J10</f>
        <v>3</v>
      </c>
      <c r="K11" s="54">
        <f>K4+K10</f>
        <v>27</v>
      </c>
      <c r="L11" s="54">
        <f>L4+L10</f>
        <v>-4</v>
      </c>
      <c r="M11" s="54">
        <f>M4+M10</f>
        <v>5</v>
      </c>
      <c r="N11" s="54">
        <f>N4+N10</f>
        <v>0</v>
      </c>
      <c r="O11" s="54">
        <f>O4+O10</f>
        <v>36</v>
      </c>
      <c r="P11" s="9">
        <f>P4+P10</f>
        <v>7</v>
      </c>
      <c r="V11" s="58">
        <f>V4+V10</f>
        <v>22.086000000000041</v>
      </c>
      <c r="W11" s="58">
        <f>W4+W10</f>
        <v>32.351000000000056</v>
      </c>
      <c r="X11" s="58">
        <f>X4+X10</f>
        <v>39.700577000000067</v>
      </c>
      <c r="Y11" s="58">
        <f>Y4+Y10</f>
        <v>41.191758999999934</v>
      </c>
      <c r="Z11" s="58">
        <f>Z4+Z10</f>
        <v>48.39689900000019</v>
      </c>
      <c r="AA11" s="58">
        <f>AA4+AA10</f>
        <v>133.3900000000001</v>
      </c>
      <c r="AB11" s="58">
        <f>AB4+AB10</f>
        <v>144.93299999999999</v>
      </c>
      <c r="AC11" s="58">
        <f>AC4+AC10</f>
        <v>114</v>
      </c>
      <c r="AD11" s="58">
        <f>AD4+AD10</f>
        <v>42</v>
      </c>
      <c r="AE11" s="58">
        <f>AE4+AE10</f>
        <v>37</v>
      </c>
      <c r="AF11" s="36">
        <f>AF4+AF10</f>
        <v>101.47000000000003</v>
      </c>
      <c r="AG11" s="24">
        <f>AG4+AG10</f>
        <v>133.14464999999973</v>
      </c>
      <c r="AH11" s="24">
        <f>AH4+AH10</f>
        <v>149.25698399999987</v>
      </c>
      <c r="AI11" s="24">
        <f>AI4+AI10</f>
        <v>167.04055805999997</v>
      </c>
      <c r="AJ11" s="24">
        <f>AJ4+AJ10</f>
        <v>186.6558291186002</v>
      </c>
      <c r="AK11" s="24">
        <f>AK4+AK10</f>
        <v>208.27796371085424</v>
      </c>
      <c r="AL11" s="24">
        <f>AL4+AL10</f>
        <v>228.51917332830226</v>
      </c>
      <c r="AM11" s="24">
        <f>AM4+AM10</f>
        <v>250.64810265418964</v>
      </c>
      <c r="AN11" s="24">
        <f>AN4+AN10</f>
        <v>274.8359009856199</v>
      </c>
      <c r="AO11" s="24">
        <f>AO4+AO10</f>
        <v>301.26891944249655</v>
      </c>
      <c r="AP11" s="24">
        <f>AP4+AP10</f>
        <v>330.15004035427592</v>
      </c>
    </row>
    <row r="12" spans="1:137" x14ac:dyDescent="0.25">
      <c r="C12" s="2" t="s">
        <v>43</v>
      </c>
      <c r="D12" s="2">
        <v>-8</v>
      </c>
      <c r="E12" s="49">
        <v>-8</v>
      </c>
      <c r="F12" s="49">
        <v>-7</v>
      </c>
      <c r="G12" s="49">
        <v>-23</v>
      </c>
      <c r="H12" s="49">
        <v>-12</v>
      </c>
      <c r="I12" s="49">
        <v>-14</v>
      </c>
      <c r="J12" s="49">
        <v>-12</v>
      </c>
      <c r="K12" s="49">
        <v>-18</v>
      </c>
      <c r="L12" s="49">
        <v>-8</v>
      </c>
      <c r="M12" s="49">
        <v>-12</v>
      </c>
      <c r="N12" s="49">
        <v>30</v>
      </c>
      <c r="O12" s="49">
        <v>-5</v>
      </c>
      <c r="P12" s="4">
        <v>-16</v>
      </c>
      <c r="V12" s="57">
        <v>-8.4960000000000004</v>
      </c>
      <c r="W12" s="57">
        <v>-9.4</v>
      </c>
      <c r="X12" s="57">
        <v>-15.442</v>
      </c>
      <c r="Y12" s="57">
        <v>-18.718</v>
      </c>
      <c r="Z12" s="57">
        <v>-15</v>
      </c>
      <c r="AA12" s="57">
        <v>-29.196000000000002</v>
      </c>
      <c r="AB12" s="57">
        <v>-20.353999999999999</v>
      </c>
      <c r="AC12" s="57">
        <v>-46</v>
      </c>
      <c r="AD12" s="57">
        <v>-56</v>
      </c>
      <c r="AE12" s="57">
        <v>5</v>
      </c>
      <c r="AF12" s="37">
        <v>-30</v>
      </c>
      <c r="AG12" s="25">
        <v>-30</v>
      </c>
      <c r="AH12" s="25">
        <v>-30</v>
      </c>
      <c r="AI12" s="25">
        <v>-30</v>
      </c>
      <c r="AJ12" s="25">
        <v>-30</v>
      </c>
      <c r="AK12" s="25">
        <v>-30</v>
      </c>
      <c r="AL12" s="25">
        <v>-30</v>
      </c>
      <c r="AM12" s="25">
        <v>-30</v>
      </c>
      <c r="AN12" s="25">
        <v>-30</v>
      </c>
      <c r="AO12" s="25">
        <v>-30</v>
      </c>
      <c r="AP12" s="25">
        <v>-30</v>
      </c>
    </row>
    <row r="13" spans="1:137" x14ac:dyDescent="0.25">
      <c r="C13" s="2" t="s">
        <v>44</v>
      </c>
      <c r="D13" s="2">
        <f t="shared" ref="D13:N13" si="11">SUM(D11:D12)</f>
        <v>14</v>
      </c>
      <c r="E13" s="49">
        <f t="shared" si="11"/>
        <v>19</v>
      </c>
      <c r="F13" s="52">
        <f t="shared" si="11"/>
        <v>14.747000000000014</v>
      </c>
      <c r="G13" s="49">
        <f t="shared" si="11"/>
        <v>24</v>
      </c>
      <c r="H13" s="49">
        <f t="shared" si="11"/>
        <v>-5</v>
      </c>
      <c r="I13" s="49">
        <f t="shared" si="11"/>
        <v>-9</v>
      </c>
      <c r="J13" s="49">
        <f t="shared" si="11"/>
        <v>-9</v>
      </c>
      <c r="K13" s="49">
        <f t="shared" si="11"/>
        <v>9</v>
      </c>
      <c r="L13" s="49">
        <f t="shared" si="11"/>
        <v>-12</v>
      </c>
      <c r="M13" s="49">
        <f t="shared" si="11"/>
        <v>-7</v>
      </c>
      <c r="N13" s="49">
        <f t="shared" si="11"/>
        <v>30</v>
      </c>
      <c r="O13" s="49">
        <f>SUM(O11:O12)</f>
        <v>31</v>
      </c>
      <c r="P13" s="4">
        <f>SUM(P11:P12)</f>
        <v>-9</v>
      </c>
      <c r="V13" s="57">
        <f t="shared" ref="V13" si="12">SUM(V11:V12)</f>
        <v>13.590000000000041</v>
      </c>
      <c r="W13" s="57">
        <f t="shared" ref="W13:X13" si="13">SUM(W11:W12)</f>
        <v>22.951000000000057</v>
      </c>
      <c r="X13" s="57">
        <f t="shared" si="13"/>
        <v>24.258577000000066</v>
      </c>
      <c r="Y13" s="57">
        <f t="shared" ref="Y13:Z13" si="14">SUM(Y11:Y12)</f>
        <v>22.473758999999934</v>
      </c>
      <c r="Z13" s="57">
        <f t="shared" si="14"/>
        <v>33.39689900000019</v>
      </c>
      <c r="AA13" s="57">
        <f t="shared" ref="AA13:AB13" si="15">SUM(AA11:AA12)</f>
        <v>104.1940000000001</v>
      </c>
      <c r="AB13" s="57">
        <f t="shared" si="15"/>
        <v>124.57899999999999</v>
      </c>
      <c r="AC13" s="57">
        <f t="shared" ref="AC13:AD13" si="16">SUM(AC11:AC12)</f>
        <v>68</v>
      </c>
      <c r="AD13" s="57">
        <f t="shared" si="16"/>
        <v>-14</v>
      </c>
      <c r="AE13" s="57">
        <f>SUM(AE11:AE12)</f>
        <v>42</v>
      </c>
      <c r="AF13" s="37">
        <f t="shared" ref="AF13:AP13" si="17">SUM(AF11:AF12)</f>
        <v>71.470000000000027</v>
      </c>
      <c r="AG13" s="25">
        <f t="shared" si="17"/>
        <v>103.14464999999973</v>
      </c>
      <c r="AH13" s="25">
        <f t="shared" si="17"/>
        <v>119.25698399999987</v>
      </c>
      <c r="AI13" s="25">
        <f t="shared" si="17"/>
        <v>137.04055805999997</v>
      </c>
      <c r="AJ13" s="25">
        <f t="shared" si="17"/>
        <v>156.6558291186002</v>
      </c>
      <c r="AK13" s="25">
        <f t="shared" si="17"/>
        <v>178.27796371085424</v>
      </c>
      <c r="AL13" s="25">
        <f t="shared" si="17"/>
        <v>198.51917332830226</v>
      </c>
      <c r="AM13" s="25">
        <f t="shared" si="17"/>
        <v>220.64810265418964</v>
      </c>
      <c r="AN13" s="25">
        <f t="shared" si="17"/>
        <v>244.8359009856199</v>
      </c>
      <c r="AO13" s="25">
        <f t="shared" si="17"/>
        <v>271.26891944249655</v>
      </c>
      <c r="AP13" s="25">
        <f t="shared" si="17"/>
        <v>300.15004035427592</v>
      </c>
    </row>
    <row r="14" spans="1:137" x14ac:dyDescent="0.25">
      <c r="C14" s="2" t="s">
        <v>45</v>
      </c>
      <c r="D14" s="2">
        <v>-3</v>
      </c>
      <c r="E14" s="49">
        <v>-4</v>
      </c>
      <c r="F14" s="49">
        <v>-3</v>
      </c>
      <c r="G14" s="49">
        <v>-7</v>
      </c>
      <c r="H14" s="49">
        <v>1</v>
      </c>
      <c r="I14" s="49">
        <v>2</v>
      </c>
      <c r="J14" s="49">
        <v>3</v>
      </c>
      <c r="K14" s="49">
        <v>-2</v>
      </c>
      <c r="L14" s="49">
        <v>1</v>
      </c>
      <c r="M14" s="49">
        <v>2</v>
      </c>
      <c r="N14" s="49">
        <v>2</v>
      </c>
      <c r="O14" s="49">
        <v>-9</v>
      </c>
      <c r="P14" s="4">
        <v>2</v>
      </c>
      <c r="V14" s="57">
        <v>-6.7</v>
      </c>
      <c r="W14" s="57">
        <v>-9</v>
      </c>
      <c r="X14" s="57">
        <v>-9.5</v>
      </c>
      <c r="Y14" s="57">
        <v>-7.9</v>
      </c>
      <c r="Z14" s="57">
        <v>-9.6</v>
      </c>
      <c r="AA14" s="57">
        <v>-22.919</v>
      </c>
      <c r="AB14" s="57">
        <v>-27.327999999999999</v>
      </c>
      <c r="AC14" s="57">
        <v>-17</v>
      </c>
      <c r="AD14" s="57">
        <v>4</v>
      </c>
      <c r="AE14" s="57">
        <v>-4</v>
      </c>
      <c r="AF14" s="37">
        <f>AF13*-0.22</f>
        <v>-15.723400000000007</v>
      </c>
      <c r="AG14" s="25">
        <f t="shared" ref="AG14:AP14" si="18">AG13*-0.22</f>
        <v>-22.691822999999939</v>
      </c>
      <c r="AH14" s="25">
        <f t="shared" si="18"/>
        <v>-26.236536479999973</v>
      </c>
      <c r="AI14" s="25">
        <f t="shared" si="18"/>
        <v>-30.148922773199992</v>
      </c>
      <c r="AJ14" s="25">
        <f t="shared" si="18"/>
        <v>-34.464282406092046</v>
      </c>
      <c r="AK14" s="25">
        <f t="shared" si="18"/>
        <v>-39.221152016387933</v>
      </c>
      <c r="AL14" s="25">
        <f t="shared" si="18"/>
        <v>-43.6742181322265</v>
      </c>
      <c r="AM14" s="25">
        <f t="shared" si="18"/>
        <v>-48.542582583921721</v>
      </c>
      <c r="AN14" s="25">
        <f t="shared" si="18"/>
        <v>-53.863898216836375</v>
      </c>
      <c r="AO14" s="25">
        <f t="shared" si="18"/>
        <v>-59.679162277349242</v>
      </c>
      <c r="AP14" s="25">
        <f t="shared" si="18"/>
        <v>-66.033008877940702</v>
      </c>
    </row>
    <row r="15" spans="1:137" x14ac:dyDescent="0.25">
      <c r="C15" s="1" t="s">
        <v>46</v>
      </c>
      <c r="D15" s="1">
        <f t="shared" ref="D15:N15" si="19">SUM(D13:D14)</f>
        <v>11</v>
      </c>
      <c r="E15" s="54">
        <f t="shared" si="19"/>
        <v>15</v>
      </c>
      <c r="F15" s="54">
        <f t="shared" si="19"/>
        <v>11.747000000000014</v>
      </c>
      <c r="G15" s="54">
        <f t="shared" si="19"/>
        <v>17</v>
      </c>
      <c r="H15" s="54">
        <f t="shared" si="19"/>
        <v>-4</v>
      </c>
      <c r="I15" s="54">
        <f t="shared" si="19"/>
        <v>-7</v>
      </c>
      <c r="J15" s="54">
        <f t="shared" si="19"/>
        <v>-6</v>
      </c>
      <c r="K15" s="54">
        <f t="shared" si="19"/>
        <v>7</v>
      </c>
      <c r="L15" s="54">
        <f t="shared" si="19"/>
        <v>-11</v>
      </c>
      <c r="M15" s="54">
        <f t="shared" si="19"/>
        <v>-5</v>
      </c>
      <c r="N15" s="54">
        <f t="shared" si="19"/>
        <v>32</v>
      </c>
      <c r="O15" s="54">
        <f>SUM(O13:O14)</f>
        <v>22</v>
      </c>
      <c r="P15" s="9">
        <f>SUM(P13:P14)</f>
        <v>-7</v>
      </c>
      <c r="V15" s="58">
        <f t="shared" ref="V15" si="20">SUM(V13:V14)</f>
        <v>6.8900000000000405</v>
      </c>
      <c r="W15" s="58">
        <f t="shared" ref="W15:X15" si="21">SUM(W13:W14)</f>
        <v>13.951000000000057</v>
      </c>
      <c r="X15" s="58">
        <f t="shared" si="21"/>
        <v>14.758577000000066</v>
      </c>
      <c r="Y15" s="58">
        <f t="shared" ref="Y15:Z15" si="22">SUM(Y13:Y14)</f>
        <v>14.573758999999933</v>
      </c>
      <c r="Z15" s="58">
        <f t="shared" si="22"/>
        <v>23.796899000000188</v>
      </c>
      <c r="AA15" s="58">
        <f t="shared" ref="AA15:AB15" si="23">SUM(AA13:AA14)</f>
        <v>81.275000000000105</v>
      </c>
      <c r="AB15" s="58">
        <f t="shared" si="23"/>
        <v>97.250999999999991</v>
      </c>
      <c r="AC15" s="58">
        <f>SUM(AC13:AC14)</f>
        <v>51</v>
      </c>
      <c r="AD15" s="58">
        <f>SUM(AD13:AD14)</f>
        <v>-10</v>
      </c>
      <c r="AE15" s="58">
        <f>SUM(AE13:AE14)</f>
        <v>38</v>
      </c>
      <c r="AF15" s="36">
        <f t="shared" ref="AF15:AP15" si="24">SUM(AF13:AF14)</f>
        <v>55.746600000000022</v>
      </c>
      <c r="AG15" s="24">
        <f t="shared" si="24"/>
        <v>80.452826999999786</v>
      </c>
      <c r="AH15" s="24">
        <f t="shared" si="24"/>
        <v>93.020447519999905</v>
      </c>
      <c r="AI15" s="24">
        <f t="shared" si="24"/>
        <v>106.89163528679998</v>
      </c>
      <c r="AJ15" s="24">
        <f t="shared" si="24"/>
        <v>122.19154671250814</v>
      </c>
      <c r="AK15" s="24">
        <f t="shared" si="24"/>
        <v>139.05681169446632</v>
      </c>
      <c r="AL15" s="24">
        <f t="shared" si="24"/>
        <v>154.84495519607577</v>
      </c>
      <c r="AM15" s="24">
        <f t="shared" si="24"/>
        <v>172.10552007026791</v>
      </c>
      <c r="AN15" s="24">
        <f t="shared" si="24"/>
        <v>190.97200276878351</v>
      </c>
      <c r="AO15" s="24">
        <f t="shared" si="24"/>
        <v>211.58975716514732</v>
      </c>
      <c r="AP15" s="24">
        <f t="shared" si="24"/>
        <v>234.11703147633523</v>
      </c>
      <c r="AQ15" s="30">
        <f>AP15*(1+$AS$18)</f>
        <v>231.77586116157187</v>
      </c>
      <c r="AR15" s="30">
        <f>AQ15*(1+$AS$18)</f>
        <v>229.45810254995615</v>
      </c>
      <c r="AS15" s="30">
        <f>AR15*(1+$AS$18)</f>
        <v>227.1635215244566</v>
      </c>
      <c r="AT15" s="30">
        <f>AS15*(1+$AS$18)</f>
        <v>224.89188630921203</v>
      </c>
      <c r="AU15" s="30">
        <f>AT15*(1+$AS$18)</f>
        <v>222.64296744611991</v>
      </c>
      <c r="AV15" s="30">
        <f>AU15*(1+$AS$18)</f>
        <v>220.41653777165871</v>
      </c>
      <c r="AW15" s="30">
        <f>AV15*(1+$AS$18)</f>
        <v>218.21237239394213</v>
      </c>
      <c r="AX15" s="30">
        <f>AW15*(1+$AS$18)</f>
        <v>216.03024867000272</v>
      </c>
      <c r="AY15" s="30">
        <f>AX15*(1+$AS$18)</f>
        <v>213.86994618330269</v>
      </c>
      <c r="AZ15" s="30">
        <f>AY15*(1+$AS$18)</f>
        <v>211.73124672146966</v>
      </c>
      <c r="BA15" s="30">
        <f>AZ15*(1+$AS$18)</f>
        <v>209.61393425425496</v>
      </c>
      <c r="BB15" s="30">
        <f>BA15*(1+$AS$18)</f>
        <v>207.5177949117124</v>
      </c>
      <c r="BC15" s="30">
        <f>BB15*(1+$AS$18)</f>
        <v>205.44261696259528</v>
      </c>
      <c r="BD15" s="30">
        <f>BC15*(1+$AS$18)</f>
        <v>203.38819079296934</v>
      </c>
      <c r="BE15" s="30">
        <f>BD15*(1+$AS$18)</f>
        <v>201.35430888503964</v>
      </c>
      <c r="BF15" s="30">
        <f>BE15*(1+$AS$18)</f>
        <v>199.34076579618923</v>
      </c>
      <c r="BG15" s="30">
        <f>BF15*(1+$AS$18)</f>
        <v>197.34735813822735</v>
      </c>
      <c r="BH15" s="30">
        <f>BG15*(1+$AS$18)</f>
        <v>195.37388455684507</v>
      </c>
      <c r="BI15" s="30">
        <f>BH15*(1+$AS$18)</f>
        <v>193.4201457112766</v>
      </c>
      <c r="BJ15" s="30">
        <f>BI15*(1+$AS$18)</f>
        <v>191.48594425416383</v>
      </c>
      <c r="BK15" s="30">
        <f>BJ15*(1+$AS$18)</f>
        <v>189.5710848116222</v>
      </c>
      <c r="BL15" s="30">
        <f>BK15*(1+$AS$18)</f>
        <v>187.67537396350599</v>
      </c>
      <c r="BM15" s="30">
        <f>BL15*(1+$AS$18)</f>
        <v>185.79862022387093</v>
      </c>
      <c r="BN15" s="30">
        <f>BM15*(1+$AS$18)</f>
        <v>183.94063402163221</v>
      </c>
      <c r="BO15" s="30">
        <f>BN15*(1+$AS$18)</f>
        <v>182.10122768141588</v>
      </c>
      <c r="BP15" s="30">
        <f>BO15*(1+$AS$18)</f>
        <v>180.28021540460171</v>
      </c>
      <c r="BQ15" s="30">
        <f>BP15*(1+$AS$18)</f>
        <v>178.47741325055568</v>
      </c>
      <c r="BR15" s="30">
        <f>BQ15*(1+$AS$18)</f>
        <v>176.69263911805012</v>
      </c>
      <c r="BS15" s="30">
        <f>BR15*(1+$AS$18)</f>
        <v>174.92571272686962</v>
      </c>
      <c r="BT15" s="30">
        <f>BS15*(1+$AS$18)</f>
        <v>173.17645559960093</v>
      </c>
      <c r="BU15" s="30">
        <f>BT15*(1+$AS$18)</f>
        <v>171.44469104360491</v>
      </c>
      <c r="BV15" s="30">
        <f>BU15*(1+$AS$18)</f>
        <v>169.73024413316887</v>
      </c>
      <c r="BW15" s="30">
        <f>BV15*(1+$AS$18)</f>
        <v>168.03294169183718</v>
      </c>
      <c r="BX15" s="30">
        <f>BW15*(1+$AS$18)</f>
        <v>166.35261227491881</v>
      </c>
      <c r="BY15" s="30">
        <f>BX15*(1+$AS$18)</f>
        <v>164.68908615216961</v>
      </c>
      <c r="BZ15" s="30">
        <f>BY15*(1+$AS$18)</f>
        <v>163.0421952906479</v>
      </c>
      <c r="CA15" s="30">
        <f>BZ15*(1+$AS$18)</f>
        <v>161.41177333774141</v>
      </c>
      <c r="CB15" s="30">
        <f>CA15*(1+$AS$18)</f>
        <v>159.797655604364</v>
      </c>
      <c r="CC15" s="30">
        <f>CB15*(1+$AS$18)</f>
        <v>158.19967904832035</v>
      </c>
      <c r="CD15" s="30">
        <f>CC15*(1+$AS$18)</f>
        <v>156.61768225783715</v>
      </c>
      <c r="CE15" s="30">
        <f>CD15*(1+$AS$18)</f>
        <v>155.05150543525878</v>
      </c>
      <c r="CF15" s="30">
        <f>CE15*(1+$AS$18)</f>
        <v>153.50099038090619</v>
      </c>
      <c r="CG15" s="30">
        <f>CF15*(1+$AS$18)</f>
        <v>151.96598047709713</v>
      </c>
      <c r="CH15" s="30">
        <f>CG15*(1+$AS$18)</f>
        <v>150.44632067232615</v>
      </c>
      <c r="CI15" s="30">
        <f>CH15*(1+$AS$18)</f>
        <v>148.94185746560288</v>
      </c>
      <c r="CJ15" s="30">
        <f>CI15*(1+$AS$18)</f>
        <v>147.45243889094684</v>
      </c>
      <c r="CK15" s="30">
        <f>CJ15*(1+$AS$18)</f>
        <v>145.97791450203738</v>
      </c>
      <c r="CL15" s="30">
        <f>CK15*(1+$AS$18)</f>
        <v>144.518135357017</v>
      </c>
      <c r="CM15" s="30">
        <f>CL15*(1+$AS$18)</f>
        <v>143.07295400344682</v>
      </c>
      <c r="CN15" s="30">
        <f>CM15*(1+$AS$18)</f>
        <v>141.64222446341236</v>
      </c>
      <c r="CO15" s="30">
        <f>CN15*(1+$AS$18)</f>
        <v>140.22580221877823</v>
      </c>
      <c r="CP15" s="30">
        <f>CO15*(1+$AS$18)</f>
        <v>138.82354419659043</v>
      </c>
      <c r="CQ15" s="30">
        <f>CP15*(1+$AS$18)</f>
        <v>137.43530875462451</v>
      </c>
      <c r="CR15" s="30">
        <f>CQ15*(1+$AS$18)</f>
        <v>136.06095566707828</v>
      </c>
      <c r="CS15" s="30">
        <f>CR15*(1+$AS$18)</f>
        <v>134.70034611040748</v>
      </c>
      <c r="CT15" s="30">
        <f>CS15*(1+$AS$18)</f>
        <v>133.35334264930341</v>
      </c>
      <c r="CU15" s="30">
        <f>CT15*(1+$AS$18)</f>
        <v>132.01980922281038</v>
      </c>
      <c r="CV15" s="30">
        <f>CU15*(1+$AS$18)</f>
        <v>130.69961113058227</v>
      </c>
      <c r="CW15" s="30">
        <f>CV15*(1+$AS$18)</f>
        <v>129.39261501927643</v>
      </c>
      <c r="CX15" s="30">
        <f>CW15*(1+$AS$18)</f>
        <v>128.09868886908367</v>
      </c>
      <c r="CY15" s="30">
        <f>CX15*(1+$AS$18)</f>
        <v>126.81770198039284</v>
      </c>
      <c r="CZ15" s="30">
        <f>CY15*(1+$AS$18)</f>
        <v>125.54952496058891</v>
      </c>
      <c r="DA15" s="30">
        <f>CZ15*(1+$AS$18)</f>
        <v>124.29402971098303</v>
      </c>
      <c r="DB15" s="30">
        <f>DA15*(1+$AS$18)</f>
        <v>123.0510894138732</v>
      </c>
      <c r="DC15" s="30">
        <f>DB15*(1+$AS$18)</f>
        <v>121.82057851973447</v>
      </c>
      <c r="DD15" s="30">
        <f>DC15*(1+$AS$18)</f>
        <v>120.60237273453713</v>
      </c>
      <c r="DE15" s="30">
        <f>DD15*(1+$AS$18)</f>
        <v>119.39634900719176</v>
      </c>
      <c r="DF15" s="30">
        <f>DE15*(1+$AS$18)</f>
        <v>118.20238551711984</v>
      </c>
      <c r="DG15" s="30">
        <f>DF15*(1+$AS$18)</f>
        <v>117.02036166194864</v>
      </c>
      <c r="DH15" s="30">
        <f>DG15*(1+$AS$18)</f>
        <v>115.85015804532915</v>
      </c>
      <c r="DI15" s="30">
        <f>DH15*(1+$AS$18)</f>
        <v>114.69165646487586</v>
      </c>
      <c r="DJ15" s="30">
        <f>DI15*(1+$AS$18)</f>
        <v>113.5447399002271</v>
      </c>
      <c r="DK15" s="30">
        <f>DJ15*(1+$AS$18)</f>
        <v>112.40929250122483</v>
      </c>
      <c r="DL15" s="30">
        <f>DK15*(1+$AS$18)</f>
        <v>111.28519957621258</v>
      </c>
      <c r="DM15" s="30">
        <f>DL15*(1+$AS$18)</f>
        <v>110.17234758045045</v>
      </c>
      <c r="DN15" s="30">
        <f>DM15*(1+$AS$18)</f>
        <v>109.07062410464594</v>
      </c>
      <c r="DO15" s="30">
        <f>DN15*(1+$AS$18)</f>
        <v>107.97991786359948</v>
      </c>
      <c r="DP15" s="30">
        <f>DO15*(1+$AS$18)</f>
        <v>106.90011868496349</v>
      </c>
      <c r="DQ15" s="30">
        <f>DP15*(1+$AS$18)</f>
        <v>105.83111749811385</v>
      </c>
      <c r="DR15" s="30">
        <f>DQ15*(1+$AS$18)</f>
        <v>104.77280632313271</v>
      </c>
      <c r="DS15" s="30">
        <f>DR15*(1+$AS$18)</f>
        <v>103.72507825990138</v>
      </c>
      <c r="DT15" s="30">
        <f>DS15*(1+$AS$18)</f>
        <v>102.68782747730236</v>
      </c>
      <c r="DU15" s="30">
        <f>DT15*(1+$AS$18)</f>
        <v>101.66094920252934</v>
      </c>
      <c r="DV15" s="30">
        <f>DU15*(1+$AS$18)</f>
        <v>100.64433971050404</v>
      </c>
      <c r="DW15" s="30">
        <f>DV15*(1+$AS$18)</f>
        <v>99.637896313398997</v>
      </c>
      <c r="DX15" s="30">
        <f>DW15*(1+$AS$18)</f>
        <v>98.641517350265005</v>
      </c>
      <c r="DY15" s="30">
        <f>DX15*(1+$AS$18)</f>
        <v>97.655102176762355</v>
      </c>
      <c r="DZ15" s="30">
        <f>DY15*(1+$AS$18)</f>
        <v>96.678551154994736</v>
      </c>
      <c r="EA15" s="30">
        <f>DZ15*(1+$AS$18)</f>
        <v>95.711765643444792</v>
      </c>
      <c r="EB15" s="30">
        <f>EA15*(1+$AS$18)</f>
        <v>94.754647987010344</v>
      </c>
      <c r="EC15" s="30">
        <f>EB15*(1+$AS$18)</f>
        <v>93.807101507140246</v>
      </c>
      <c r="ED15" s="30">
        <f>EC15*(1+$AS$18)</f>
        <v>92.869030492068845</v>
      </c>
      <c r="EE15" s="30">
        <f>ED15*(1+$AS$18)</f>
        <v>91.940340187148152</v>
      </c>
      <c r="EF15" s="30">
        <f>EE15*(1+$AS$18)</f>
        <v>91.020936785276675</v>
      </c>
      <c r="EG15" s="30">
        <f>EF15*(1+$AS$18)</f>
        <v>90.110727417423902</v>
      </c>
    </row>
    <row r="16" spans="1:137" x14ac:dyDescent="0.25">
      <c r="C16" s="2" t="s">
        <v>47</v>
      </c>
      <c r="D16" s="12">
        <v>22.7822</v>
      </c>
      <c r="E16" s="51">
        <v>22.7822</v>
      </c>
      <c r="F16" s="51">
        <v>25.7822</v>
      </c>
      <c r="G16" s="51">
        <v>20.7822</v>
      </c>
      <c r="H16" s="51">
        <v>22.7822</v>
      </c>
      <c r="I16" s="51">
        <v>22.7822</v>
      </c>
      <c r="J16" s="51">
        <v>25.7822</v>
      </c>
      <c r="K16" s="51">
        <v>25.7822</v>
      </c>
      <c r="L16" s="51">
        <v>50.8</v>
      </c>
      <c r="M16" s="51">
        <v>50.782200000000003</v>
      </c>
      <c r="N16" s="51">
        <v>50.782200000000003</v>
      </c>
      <c r="O16" s="51">
        <v>50.782200000000003</v>
      </c>
      <c r="P16" s="11">
        <v>50.782200000000003</v>
      </c>
      <c r="V16" s="49"/>
      <c r="W16" s="49"/>
      <c r="X16" s="49"/>
      <c r="Y16" s="49"/>
      <c r="Z16" s="49"/>
      <c r="AA16" s="51">
        <v>21.3</v>
      </c>
      <c r="AB16" s="51">
        <v>21.3</v>
      </c>
      <c r="AC16" s="51">
        <v>50.782200000000003</v>
      </c>
      <c r="AD16" s="51">
        <v>50.782200000000003</v>
      </c>
      <c r="AE16" s="51">
        <v>50.782200000000003</v>
      </c>
      <c r="AF16" s="11">
        <v>50.782200000000003</v>
      </c>
      <c r="AG16" s="12">
        <v>50.782200000000003</v>
      </c>
      <c r="AH16" s="12">
        <v>50.782200000000003</v>
      </c>
      <c r="AI16" s="12">
        <v>50.782200000000003</v>
      </c>
      <c r="AJ16" s="12">
        <v>50.782200000000003</v>
      </c>
      <c r="AK16" s="12">
        <v>50.782200000000003</v>
      </c>
      <c r="AL16" s="12">
        <v>50.782200000000003</v>
      </c>
      <c r="AM16" s="12">
        <v>50.782200000000003</v>
      </c>
      <c r="AN16" s="12">
        <v>50.782200000000003</v>
      </c>
      <c r="AO16" s="12">
        <v>50.782200000000003</v>
      </c>
      <c r="AP16" s="12">
        <v>50.782200000000003</v>
      </c>
    </row>
    <row r="17" spans="2:45" x14ac:dyDescent="0.25">
      <c r="C17" s="2" t="s">
        <v>48</v>
      </c>
      <c r="D17" s="13">
        <f t="shared" ref="D17:N17" si="25">D15/D16</f>
        <v>0.48283308899052768</v>
      </c>
      <c r="E17" s="50">
        <f t="shared" si="25"/>
        <v>0.65840875771435592</v>
      </c>
      <c r="F17" s="50">
        <f t="shared" si="25"/>
        <v>0.45562442305156325</v>
      </c>
      <c r="G17" s="50">
        <f t="shared" si="25"/>
        <v>0.81800771814341122</v>
      </c>
      <c r="H17" s="50">
        <f t="shared" si="25"/>
        <v>-0.17557566872382827</v>
      </c>
      <c r="I17" s="50">
        <f t="shared" si="25"/>
        <v>-0.30725742026669944</v>
      </c>
      <c r="J17" s="50">
        <f t="shared" si="25"/>
        <v>-0.23271869739587778</v>
      </c>
      <c r="K17" s="50">
        <f t="shared" si="25"/>
        <v>0.2715051469618574</v>
      </c>
      <c r="L17" s="50">
        <f t="shared" si="25"/>
        <v>-0.21653543307086615</v>
      </c>
      <c r="M17" s="50">
        <f t="shared" si="25"/>
        <v>-9.8459696507831485E-2</v>
      </c>
      <c r="N17" s="50">
        <f t="shared" si="25"/>
        <v>0.63014205765012143</v>
      </c>
      <c r="O17" s="50">
        <f>O15/O16</f>
        <v>0.43322266463445852</v>
      </c>
      <c r="P17" s="10">
        <f>P15/P16</f>
        <v>-0.13784357511096407</v>
      </c>
      <c r="V17" s="49"/>
      <c r="W17" s="49"/>
      <c r="X17" s="49"/>
      <c r="Y17" s="49"/>
      <c r="Z17" s="49"/>
      <c r="AA17" s="50">
        <f>AA15/AA16</f>
        <v>3.8157276995305214</v>
      </c>
      <c r="AB17" s="50">
        <f>AB15/AB16</f>
        <v>4.5657746478873236</v>
      </c>
      <c r="AC17" s="50">
        <f t="shared" ref="AC17" si="26">AC15/AC16</f>
        <v>1.0042889043798811</v>
      </c>
      <c r="AD17" s="50">
        <f t="shared" ref="AD17:AP17" si="27">AD15/AD16</f>
        <v>-0.19691939301566297</v>
      </c>
      <c r="AE17" s="50">
        <f t="shared" ref="AE17" si="28">AE15/AE16</f>
        <v>0.74829369345951924</v>
      </c>
      <c r="AF17" s="10">
        <f t="shared" si="27"/>
        <v>1.097758663468696</v>
      </c>
      <c r="AG17" s="13">
        <f t="shared" si="27"/>
        <v>1.5842721859234099</v>
      </c>
      <c r="AH17" s="13">
        <f t="shared" si="27"/>
        <v>1.8317530063683711</v>
      </c>
      <c r="AI17" s="13">
        <f t="shared" si="27"/>
        <v>2.1049035939128271</v>
      </c>
      <c r="AJ17" s="13">
        <f t="shared" si="27"/>
        <v>2.4061885210272131</v>
      </c>
      <c r="AK17" s="13">
        <f t="shared" si="27"/>
        <v>2.7382982953567652</v>
      </c>
      <c r="AL17" s="13">
        <f t="shared" si="27"/>
        <v>3.0491974588748767</v>
      </c>
      <c r="AM17" s="13">
        <f t="shared" si="27"/>
        <v>3.3890914546882156</v>
      </c>
      <c r="AN17" s="13">
        <f t="shared" si="27"/>
        <v>3.7606090868214355</v>
      </c>
      <c r="AO17" s="13">
        <f t="shared" si="27"/>
        <v>4.1666126549292333</v>
      </c>
      <c r="AP17" s="13">
        <f t="shared" si="27"/>
        <v>4.6102183732948792</v>
      </c>
      <c r="AR17" s="2" t="s">
        <v>94</v>
      </c>
      <c r="AS17" s="29">
        <v>0.08</v>
      </c>
    </row>
    <row r="18" spans="2:45" x14ac:dyDescent="0.25"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R18" s="2" t="s">
        <v>95</v>
      </c>
      <c r="AS18" s="29">
        <v>-0.01</v>
      </c>
    </row>
    <row r="19" spans="2:45" x14ac:dyDescent="0.25">
      <c r="B19" s="4" t="s">
        <v>128</v>
      </c>
      <c r="C19" s="1" t="s">
        <v>34</v>
      </c>
      <c r="D19" s="16">
        <v>6.3E-2</v>
      </c>
      <c r="E19" s="56">
        <v>0.11600000000000001</v>
      </c>
      <c r="F19" s="56">
        <v>0.106</v>
      </c>
      <c r="G19" s="56">
        <v>9.4E-2</v>
      </c>
      <c r="H19" s="56">
        <f>(H4-D4)/D4</f>
        <v>4.3596730245231606E-2</v>
      </c>
      <c r="I19" s="56">
        <f>(I4-E4)/E4</f>
        <v>-8.9385474860335198E-2</v>
      </c>
      <c r="J19" s="56">
        <f>(J4-F4)/F4</f>
        <v>7.537688442211055E-3</v>
      </c>
      <c r="K19" s="56">
        <f>(K4-G4)/G4</f>
        <v>-1.3944223107569721E-2</v>
      </c>
      <c r="L19" s="56">
        <f>(L4-H4)/H4</f>
        <v>-8.6161879895561358E-2</v>
      </c>
      <c r="M19" s="56">
        <f>(M4-I4)/I4</f>
        <v>7.0552147239263799E-2</v>
      </c>
      <c r="N19" s="56">
        <f>(N4-J4)/J4</f>
        <v>1.4962593516209476E-2</v>
      </c>
      <c r="O19" s="56">
        <f>(O4-K4)/K4</f>
        <v>5.0505050505050504E-2</v>
      </c>
      <c r="P19" s="17">
        <f>(P4-L4)/L4</f>
        <v>0.13142857142857142</v>
      </c>
      <c r="Q19" s="16">
        <f>(Q4-M4)/M4</f>
        <v>-1</v>
      </c>
      <c r="R19" s="16">
        <f>(R4-N4)/N4</f>
        <v>-1</v>
      </c>
      <c r="S19" s="16">
        <f>(S4-O4)/O4</f>
        <v>-1</v>
      </c>
      <c r="V19" s="49"/>
      <c r="W19" s="56">
        <f>(W4-V4)/V4</f>
        <v>0.50254653041979058</v>
      </c>
      <c r="X19" s="56">
        <f>(X4-W4)/W4</f>
        <v>0.42238369054092562</v>
      </c>
      <c r="Y19" s="56">
        <f>(Y4-X4)/X4</f>
        <v>0.32468824824892489</v>
      </c>
      <c r="Z19" s="56">
        <f>(Z4-Y4)/Y4</f>
        <v>0.22578157156036494</v>
      </c>
      <c r="AA19" s="56">
        <f>(AA4-Z4)/Z4</f>
        <v>0.36480896201436608</v>
      </c>
      <c r="AB19" s="56">
        <f>(AB4-AA4)/AA4</f>
        <v>0.12876113121573615</v>
      </c>
      <c r="AC19" s="56">
        <f>(AC4-AB4)/AB4</f>
        <v>9.4032975837019431E-2</v>
      </c>
      <c r="AD19" s="56">
        <f>(AD4-AC4)/AC4</f>
        <v>-1.2307692307692308E-2</v>
      </c>
      <c r="AE19" s="56">
        <f>(AE4-AD4)/AD4</f>
        <v>1.3084112149532711E-2</v>
      </c>
      <c r="AF19" s="17">
        <f>(AF4-AE4)/AE4</f>
        <v>0.10000000000000009</v>
      </c>
      <c r="AG19" s="16">
        <f>(AG4-AF4)/AF4</f>
        <v>8.4999999999999964E-2</v>
      </c>
      <c r="AH19" s="16">
        <f>(AH4-AG4)/AG4</f>
        <v>7.999999999999996E-2</v>
      </c>
      <c r="AI19" s="16">
        <f>(AI4-AH4)/AH4</f>
        <v>8.0000000000000099E-2</v>
      </c>
      <c r="AJ19" s="16">
        <f>(AJ4-AI4)/AI4</f>
        <v>8.000000000000014E-2</v>
      </c>
      <c r="AK19" s="16">
        <f>(AK4-AJ4)/AJ4</f>
        <v>8.0000000000000127E-2</v>
      </c>
      <c r="AL19" s="16">
        <f>(AL4-AK4)/AK4</f>
        <v>8.0000000000000113E-2</v>
      </c>
      <c r="AM19" s="16">
        <f>(AM4-AL4)/AL4</f>
        <v>8.0000000000000016E-2</v>
      </c>
      <c r="AN19" s="16">
        <f>(AN4-AM4)/AM4</f>
        <v>0.08</v>
      </c>
      <c r="AO19" s="16">
        <f>(AO4-AN4)/AN4</f>
        <v>8.0000000000000016E-2</v>
      </c>
      <c r="AP19" s="16">
        <f>(AP4-AO4)/AO4</f>
        <v>8.0000000000000085E-2</v>
      </c>
      <c r="AR19" s="22" t="s">
        <v>96</v>
      </c>
      <c r="AS19" s="31">
        <f>NPV(AS17,AF15:EG15)</f>
        <v>2025.2903927065347</v>
      </c>
    </row>
    <row r="20" spans="2:45" x14ac:dyDescent="0.25">
      <c r="C20" s="1" t="s">
        <v>125</v>
      </c>
      <c r="D20" s="16">
        <v>-1.2E-2</v>
      </c>
      <c r="E20" s="56">
        <v>-2.4E-2</v>
      </c>
      <c r="F20" s="56">
        <v>-1.4E-2</v>
      </c>
      <c r="G20" s="56">
        <v>-2.5000000000000001E-2</v>
      </c>
      <c r="H20" s="56">
        <v>-3.2000000000000001E-2</v>
      </c>
      <c r="I20" s="56">
        <v>-0.107</v>
      </c>
      <c r="J20" s="56">
        <v>-3.3000000000000002E-2</v>
      </c>
      <c r="K20" s="56">
        <v>-4.1000000000000002E-2</v>
      </c>
      <c r="L20" s="56">
        <v>-0.10199999999999999</v>
      </c>
      <c r="M20" s="56">
        <v>4.3999999999999997E-2</v>
      </c>
      <c r="N20" s="56">
        <v>1.0999999999999999E-2</v>
      </c>
      <c r="O20" s="56">
        <v>1.7999999999999999E-2</v>
      </c>
      <c r="P20" s="17">
        <v>8.7999999999999995E-2</v>
      </c>
      <c r="Q20" s="16"/>
      <c r="R20" s="16"/>
      <c r="S20" s="16"/>
      <c r="T20" s="23"/>
      <c r="U20" s="23"/>
      <c r="V20" s="59"/>
      <c r="W20" s="59"/>
      <c r="X20" s="59"/>
      <c r="Y20" s="59"/>
      <c r="Z20" s="59"/>
      <c r="AA20" s="56"/>
      <c r="AB20" s="56"/>
      <c r="AC20" s="56"/>
      <c r="AD20" s="56"/>
      <c r="AE20" s="56"/>
      <c r="AF20" s="38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R20" s="2" t="s">
        <v>2</v>
      </c>
      <c r="AS20" s="12">
        <v>50.782200000000003</v>
      </c>
    </row>
    <row r="21" spans="2:45" x14ac:dyDescent="0.25">
      <c r="C21" s="2" t="s">
        <v>127</v>
      </c>
      <c r="E21" s="49"/>
      <c r="F21" s="49"/>
      <c r="G21" s="49"/>
      <c r="H21" s="53">
        <f t="shared" ref="H21:O21" si="29">(H10-D10)/D10</f>
        <v>8.9855072463768115E-2</v>
      </c>
      <c r="I21" s="53">
        <f t="shared" si="29"/>
        <v>-3.0211480362537766E-2</v>
      </c>
      <c r="J21" s="53">
        <f t="shared" si="29"/>
        <v>5.7798874693357968E-2</v>
      </c>
      <c r="K21" s="53">
        <f t="shared" si="29"/>
        <v>2.8571428571428571E-2</v>
      </c>
      <c r="L21" s="53">
        <f t="shared" si="29"/>
        <v>-5.8510638297872342E-2</v>
      </c>
      <c r="M21" s="53">
        <f t="shared" si="29"/>
        <v>7.1651090342679122E-2</v>
      </c>
      <c r="N21" s="53">
        <f t="shared" si="29"/>
        <v>2.2613065326633167E-2</v>
      </c>
      <c r="O21" s="53">
        <f t="shared" si="29"/>
        <v>3.4188034188034191E-2</v>
      </c>
      <c r="P21" s="15">
        <f>(P10-L10)/L10</f>
        <v>9.8870056497175146E-2</v>
      </c>
      <c r="Q21" s="14">
        <f t="shared" ref="Q21:S21" si="30">(Q10-M10)/M10</f>
        <v>-1</v>
      </c>
      <c r="R21" s="14">
        <f t="shared" si="30"/>
        <v>-1</v>
      </c>
      <c r="S21" s="14">
        <f t="shared" si="30"/>
        <v>-1</v>
      </c>
      <c r="V21" s="49"/>
      <c r="W21" s="53">
        <f t="shared" ref="W21" si="31">(W10-V10)/V10</f>
        <v>0.50580856563033993</v>
      </c>
      <c r="X21" s="53">
        <f t="shared" ref="X21" si="32">(X10-W10)/W10</f>
        <v>0.43878191898208246</v>
      </c>
      <c r="Y21" s="53">
        <f t="shared" ref="Y21" si="33">(Y10-X10)/X10</f>
        <v>0.34526151090864154</v>
      </c>
      <c r="Z21" s="53">
        <f t="shared" ref="Z21" si="34">(Z10-Y10)/Y10</f>
        <v>0.22859250327546216</v>
      </c>
      <c r="AA21" s="53">
        <f t="shared" ref="AA21" si="35">(AA10-Z10)/Z10</f>
        <v>0.29127740162730426</v>
      </c>
      <c r="AB21" s="53">
        <f t="shared" ref="AB21:AE21" si="36">(AB10-AA10)/AA10</f>
        <v>0.13352428406161843</v>
      </c>
      <c r="AC21" s="53">
        <f t="shared" si="36"/>
        <v>0.12727796317061293</v>
      </c>
      <c r="AD21" s="53">
        <f t="shared" si="36"/>
        <v>3.4414295168762411E-2</v>
      </c>
      <c r="AE21" s="53">
        <f t="shared" si="36"/>
        <v>1.6634676903390915E-2</v>
      </c>
      <c r="AF21" s="15">
        <f>(AF10-AE10)/AE10</f>
        <v>6.1755821271239845E-2</v>
      </c>
      <c r="AG21" s="14">
        <f t="shared" ref="AG21:AP21" si="37">(AG10-AF10)/AF10</f>
        <v>7.1337922981631677E-2</v>
      </c>
      <c r="AH21" s="14">
        <f t="shared" si="37"/>
        <v>7.6978808719634181E-2</v>
      </c>
      <c r="AI21" s="14">
        <f t="shared" si="37"/>
        <v>7.6998385999967459E-2</v>
      </c>
      <c r="AJ21" s="14">
        <f t="shared" si="37"/>
        <v>7.7017890628449895E-2</v>
      </c>
      <c r="AK21" s="14">
        <f t="shared" si="37"/>
        <v>7.7037322169554098E-2</v>
      </c>
      <c r="AL21" s="14">
        <f t="shared" si="37"/>
        <v>7.8528340098655461E-2</v>
      </c>
      <c r="AM21" s="14">
        <f t="shared" si="37"/>
        <v>7.853315454483023E-2</v>
      </c>
      <c r="AN21" s="14">
        <f t="shared" si="37"/>
        <v>7.8537959767242344E-2</v>
      </c>
      <c r="AO21" s="14">
        <f t="shared" si="37"/>
        <v>7.8542755740786716E-2</v>
      </c>
      <c r="AP21" s="14">
        <f t="shared" si="37"/>
        <v>7.8547542440653262E-2</v>
      </c>
      <c r="AR21" s="1" t="s">
        <v>97</v>
      </c>
      <c r="AS21" s="32">
        <f>AS19/AS20</f>
        <v>39.88189548122245</v>
      </c>
    </row>
    <row r="22" spans="2:45" x14ac:dyDescent="0.25">
      <c r="C22" s="2" t="s">
        <v>86</v>
      </c>
      <c r="D22" s="53">
        <f t="shared" ref="D22:O22" si="38">D6/D4</f>
        <v>0.37329700272479566</v>
      </c>
      <c r="E22" s="53">
        <f t="shared" si="38"/>
        <v>0.35195530726256985</v>
      </c>
      <c r="F22" s="53">
        <f t="shared" si="38"/>
        <v>0.37688442211055279</v>
      </c>
      <c r="G22" s="53">
        <f t="shared" si="38"/>
        <v>0.38645418326693226</v>
      </c>
      <c r="H22" s="53">
        <f t="shared" si="38"/>
        <v>0.35770234986945171</v>
      </c>
      <c r="I22" s="53">
        <f t="shared" si="38"/>
        <v>0.34662576687116564</v>
      </c>
      <c r="J22" s="53">
        <f t="shared" si="38"/>
        <v>0.35411471321695759</v>
      </c>
      <c r="K22" s="53">
        <f t="shared" si="38"/>
        <v>0.3292929292929293</v>
      </c>
      <c r="L22" s="53">
        <f t="shared" si="38"/>
        <v>0.3457142857142857</v>
      </c>
      <c r="M22" s="53">
        <f t="shared" si="38"/>
        <v>0.32378223495702008</v>
      </c>
      <c r="N22" s="53">
        <f t="shared" si="38"/>
        <v>0.33415233415233414</v>
      </c>
      <c r="O22" s="53">
        <f t="shared" si="38"/>
        <v>0.35</v>
      </c>
      <c r="P22" s="15">
        <f>P6/P4</f>
        <v>0.3611111111111111</v>
      </c>
      <c r="Q22" s="14" t="e">
        <f>(Q4+Q5)/Q4</f>
        <v>#DIV/0!</v>
      </c>
      <c r="R22" s="14" t="e">
        <f>(R4+R5)/R4</f>
        <v>#DIV/0!</v>
      </c>
      <c r="S22" s="14" t="e">
        <f>(S4+S5)/S4</f>
        <v>#DIV/0!</v>
      </c>
      <c r="V22" s="53">
        <f t="shared" ref="V22:AE22" si="39">V6/V4</f>
        <v>0.44788700963542322</v>
      </c>
      <c r="W22" s="53">
        <f t="shared" si="39"/>
        <v>0.4462655497291898</v>
      </c>
      <c r="X22" s="53">
        <f t="shared" si="39"/>
        <v>0.43406159837239766</v>
      </c>
      <c r="Y22" s="53">
        <f t="shared" si="39"/>
        <v>0.40976950381414157</v>
      </c>
      <c r="Z22" s="53">
        <f t="shared" si="39"/>
        <v>0.38841151512919214</v>
      </c>
      <c r="AA22" s="53">
        <f t="shared" si="39"/>
        <v>0.3932725584279585</v>
      </c>
      <c r="AB22" s="53">
        <f t="shared" si="39"/>
        <v>0.38578968983323569</v>
      </c>
      <c r="AC22" s="53">
        <f t="shared" si="39"/>
        <v>0.37353846153846154</v>
      </c>
      <c r="AD22" s="53">
        <f t="shared" si="39"/>
        <v>0.34579439252336447</v>
      </c>
      <c r="AE22" s="53">
        <f t="shared" si="39"/>
        <v>0.33948339483394835</v>
      </c>
      <c r="AF22" s="15">
        <f>AF6/AF4</f>
        <v>0.35</v>
      </c>
      <c r="AG22" s="53">
        <f t="shared" ref="AG22:AP22" si="40">AG6/AG4</f>
        <v>0.34999999999999992</v>
      </c>
      <c r="AH22" s="53">
        <f t="shared" si="40"/>
        <v>0.35000000000000003</v>
      </c>
      <c r="AI22" s="53">
        <f t="shared" si="40"/>
        <v>0.35000000000000003</v>
      </c>
      <c r="AJ22" s="53">
        <f t="shared" si="40"/>
        <v>0.35</v>
      </c>
      <c r="AK22" s="53">
        <f t="shared" si="40"/>
        <v>0.35000000000000003</v>
      </c>
      <c r="AL22" s="53">
        <f t="shared" si="40"/>
        <v>0.34999999999999992</v>
      </c>
      <c r="AM22" s="53">
        <f t="shared" si="40"/>
        <v>0.35</v>
      </c>
      <c r="AN22" s="53">
        <f t="shared" si="40"/>
        <v>0.34999999999999992</v>
      </c>
      <c r="AO22" s="53">
        <f t="shared" si="40"/>
        <v>0.34999999999999992</v>
      </c>
      <c r="AP22" s="53">
        <f t="shared" si="40"/>
        <v>0.34999999999999992</v>
      </c>
      <c r="AR22" s="1" t="s">
        <v>98</v>
      </c>
      <c r="AS22" s="16">
        <f>(AS21-B4)/B4</f>
        <v>1.4926184675764032</v>
      </c>
    </row>
    <row r="23" spans="2:45" x14ac:dyDescent="0.25">
      <c r="C23" s="2" t="s">
        <v>53</v>
      </c>
      <c r="D23" s="14">
        <f>D11/D4</f>
        <v>5.9945504087193457E-2</v>
      </c>
      <c r="E23" s="14">
        <f>E11/E4</f>
        <v>7.5418994413407825E-2</v>
      </c>
      <c r="F23" s="14">
        <f>F11/F4</f>
        <v>5.4640703517587978E-2</v>
      </c>
      <c r="G23" s="14">
        <f>G11/G4</f>
        <v>9.3625498007968128E-2</v>
      </c>
      <c r="H23" s="14">
        <f>H11/H4</f>
        <v>1.8276762402088774E-2</v>
      </c>
      <c r="I23" s="14">
        <f>I11/I4</f>
        <v>1.5337423312883436E-2</v>
      </c>
      <c r="J23" s="14">
        <f>J11/J4</f>
        <v>7.481296758104738E-3</v>
      </c>
      <c r="K23" s="14">
        <f>K11/K4</f>
        <v>5.4545454545454543E-2</v>
      </c>
      <c r="L23" s="14">
        <f>L11/L4</f>
        <v>-1.1428571428571429E-2</v>
      </c>
      <c r="M23" s="14">
        <f>M11/M4</f>
        <v>1.4326647564469915E-2</v>
      </c>
      <c r="N23" s="14">
        <f>N11/N4</f>
        <v>0</v>
      </c>
      <c r="O23" s="14">
        <f>O11/O4</f>
        <v>6.9230769230769235E-2</v>
      </c>
      <c r="P23" s="15">
        <f>P11/P4</f>
        <v>1.7676767676767676E-2</v>
      </c>
      <c r="Q23" s="14" t="e">
        <f>Q11/Q4</f>
        <v>#DIV/0!</v>
      </c>
      <c r="R23" s="14" t="e">
        <f>R11/R4</f>
        <v>#DIV/0!</v>
      </c>
      <c r="S23" s="14" t="e">
        <f>S11/S4</f>
        <v>#DIV/0!</v>
      </c>
      <c r="V23" s="14">
        <f>V11/V4</f>
        <v>7.9494941132855254E-2</v>
      </c>
      <c r="W23" s="14">
        <f>W11/W4</f>
        <v>7.749652054971734E-2</v>
      </c>
      <c r="X23" s="14">
        <f>X11/X4</f>
        <v>6.6861258844744559E-2</v>
      </c>
      <c r="Y23" s="14">
        <f>Y11/Y4</f>
        <v>5.2369012502919261E-2</v>
      </c>
      <c r="Z23" s="14">
        <f>Z11/Z4</f>
        <v>5.0195928766986073E-2</v>
      </c>
      <c r="AA23" s="14">
        <f>AA11/AA4</f>
        <v>0.10136834729849069</v>
      </c>
      <c r="AB23" s="14">
        <f>AB11/AB4</f>
        <v>9.7576296176607222E-2</v>
      </c>
      <c r="AC23" s="14">
        <f>AC11/AC4</f>
        <v>7.015384615384615E-2</v>
      </c>
      <c r="AD23" s="14">
        <f>AD11/AD4</f>
        <v>2.6168224299065422E-2</v>
      </c>
      <c r="AE23" s="14">
        <f>AE11/AE4</f>
        <v>2.2755227552275523E-2</v>
      </c>
      <c r="AF23" s="15">
        <f>AF11/AF4</f>
        <v>5.6731521860673165E-2</v>
      </c>
      <c r="AG23" s="14">
        <f>AG11/AG4</f>
        <v>6.8608947296008221E-2</v>
      </c>
      <c r="AH23" s="14">
        <f>AH11/AH4</f>
        <v>7.1214420006230447E-2</v>
      </c>
      <c r="AI23" s="14">
        <f>AI11/AI4</f>
        <v>7.3795767969135756E-2</v>
      </c>
      <c r="AJ23" s="14">
        <f>AJ11/AJ4</f>
        <v>7.6353214562014216E-2</v>
      </c>
      <c r="AK23" s="14">
        <f>AK11/AK4</f>
        <v>7.8886981093847411E-2</v>
      </c>
      <c r="AL23" s="14">
        <f>AL11/AL4</f>
        <v>8.0142133959153622E-2</v>
      </c>
      <c r="AM23" s="14">
        <f>AM11/AM4</f>
        <v>8.1391475931564913E-2</v>
      </c>
      <c r="AN23" s="14">
        <f>AN11/AN4</f>
        <v>8.2635033913363243E-2</v>
      </c>
      <c r="AO23" s="14">
        <f>AO11/AO4</f>
        <v>8.3872834682282821E-2</v>
      </c>
      <c r="AP23" s="14">
        <f>AP11/AP4</f>
        <v>8.5104904892087177E-2</v>
      </c>
    </row>
    <row r="24" spans="2:45" x14ac:dyDescent="0.25">
      <c r="C24" s="2" t="s">
        <v>129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48"/>
      <c r="Q24" s="23"/>
      <c r="R24" s="23"/>
      <c r="S24" s="23"/>
      <c r="T24" s="23"/>
      <c r="U24" s="23"/>
      <c r="V24" s="23">
        <v>0.379</v>
      </c>
      <c r="W24" s="23">
        <v>0.38100000000000001</v>
      </c>
      <c r="X24" s="23">
        <v>0.13100000000000001</v>
      </c>
      <c r="Y24" s="23">
        <v>0.14099999999999999</v>
      </c>
      <c r="Z24" s="23">
        <v>0.17699999999999999</v>
      </c>
      <c r="AA24" s="23"/>
      <c r="AB24" s="23"/>
      <c r="AC24" s="23">
        <f>AC15/G41</f>
        <v>0.15407854984894259</v>
      </c>
      <c r="AD24" s="23">
        <f>AD15/K41</f>
        <v>-2.3255813953488372E-2</v>
      </c>
      <c r="AE24" s="23">
        <f>AE15/O41</f>
        <v>5.6886227544910177E-2</v>
      </c>
      <c r="AF24" s="48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6" spans="2:45" x14ac:dyDescent="0.25">
      <c r="C26" s="3" t="s">
        <v>35</v>
      </c>
    </row>
    <row r="28" spans="2:45" x14ac:dyDescent="0.25">
      <c r="C28" s="2" t="s">
        <v>54</v>
      </c>
      <c r="D28" s="25">
        <v>413.17899999999997</v>
      </c>
      <c r="E28" s="25">
        <v>395.15300000000002</v>
      </c>
      <c r="F28" s="25">
        <v>395.15300000000002</v>
      </c>
      <c r="G28" s="25">
        <v>432</v>
      </c>
      <c r="H28" s="25">
        <v>432</v>
      </c>
      <c r="I28" s="25">
        <v>432</v>
      </c>
      <c r="J28" s="25">
        <v>432</v>
      </c>
      <c r="K28" s="25">
        <v>432</v>
      </c>
      <c r="L28" s="25">
        <v>452</v>
      </c>
      <c r="M28" s="25">
        <v>449</v>
      </c>
      <c r="N28" s="25">
        <v>459</v>
      </c>
      <c r="O28" s="25">
        <v>456</v>
      </c>
      <c r="P28" s="37">
        <v>462</v>
      </c>
    </row>
    <row r="29" spans="2:45" x14ac:dyDescent="0.25">
      <c r="C29" s="2" t="s">
        <v>55</v>
      </c>
      <c r="D29" s="25">
        <v>6.6689999999999996</v>
      </c>
      <c r="E29" s="25">
        <v>6.53</v>
      </c>
      <c r="F29" s="25">
        <v>6.6289999999999996</v>
      </c>
      <c r="G29" s="25">
        <v>22</v>
      </c>
      <c r="H29" s="25">
        <v>22</v>
      </c>
      <c r="I29" s="25">
        <v>22</v>
      </c>
      <c r="J29" s="25">
        <v>22</v>
      </c>
      <c r="K29" s="25">
        <v>21</v>
      </c>
      <c r="L29" s="25">
        <v>20</v>
      </c>
      <c r="M29" s="25">
        <v>20</v>
      </c>
      <c r="N29" s="25">
        <v>18</v>
      </c>
      <c r="O29" s="25">
        <v>58</v>
      </c>
      <c r="P29" s="37">
        <v>57</v>
      </c>
    </row>
    <row r="30" spans="2:45" x14ac:dyDescent="0.25">
      <c r="C30" s="2" t="s">
        <v>56</v>
      </c>
      <c r="D30" s="25">
        <v>5.234</v>
      </c>
      <c r="E30" s="25">
        <v>5.6289999999999996</v>
      </c>
      <c r="F30" s="25">
        <v>5.5469999999999997</v>
      </c>
      <c r="G30" s="25">
        <v>8</v>
      </c>
      <c r="H30" s="25">
        <v>9</v>
      </c>
      <c r="I30" s="25">
        <v>11</v>
      </c>
      <c r="J30" s="25">
        <v>14</v>
      </c>
      <c r="K30" s="25">
        <v>16</v>
      </c>
      <c r="L30" s="25">
        <v>18</v>
      </c>
      <c r="M30" s="25">
        <v>21</v>
      </c>
      <c r="N30" s="25">
        <v>22</v>
      </c>
      <c r="O30" s="25">
        <v>21</v>
      </c>
      <c r="P30" s="37">
        <v>27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45" x14ac:dyDescent="0.25">
      <c r="C31" s="2" t="s">
        <v>57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2</v>
      </c>
      <c r="P31" s="37">
        <f>2+406</f>
        <v>408</v>
      </c>
      <c r="AA31" s="1"/>
      <c r="AB31" s="1"/>
    </row>
    <row r="32" spans="2:45" x14ac:dyDescent="0.25">
      <c r="C32" s="2" t="s">
        <v>58</v>
      </c>
      <c r="D32" s="25">
        <v>488.154</v>
      </c>
      <c r="E32" s="25">
        <v>473.09699999999998</v>
      </c>
      <c r="F32" s="25">
        <v>470.25400000000002</v>
      </c>
      <c r="G32" s="25">
        <v>463</v>
      </c>
      <c r="H32" s="25">
        <v>471</v>
      </c>
      <c r="I32" s="25">
        <v>473</v>
      </c>
      <c r="J32" s="25">
        <v>450</v>
      </c>
      <c r="K32" s="25">
        <v>497</v>
      </c>
      <c r="L32" s="25">
        <v>545</v>
      </c>
      <c r="M32" s="25">
        <v>525</v>
      </c>
      <c r="N32" s="25">
        <v>528</v>
      </c>
      <c r="O32" s="25">
        <v>489</v>
      </c>
      <c r="P32" s="37">
        <v>81</v>
      </c>
    </row>
    <row r="33" spans="3:16" x14ac:dyDescent="0.25">
      <c r="C33" s="2" t="s">
        <v>59</v>
      </c>
      <c r="D33" s="25">
        <v>326.13799999999998</v>
      </c>
      <c r="E33" s="25">
        <v>311.60000000000002</v>
      </c>
      <c r="F33" s="25">
        <v>310.25</v>
      </c>
      <c r="G33" s="25">
        <v>319</v>
      </c>
      <c r="H33" s="25">
        <v>335</v>
      </c>
      <c r="I33" s="25">
        <v>356</v>
      </c>
      <c r="J33" s="25">
        <v>410</v>
      </c>
      <c r="K33" s="25">
        <v>357</v>
      </c>
      <c r="L33" s="25">
        <v>338</v>
      </c>
      <c r="M33" s="25">
        <v>324</v>
      </c>
      <c r="N33" s="25">
        <v>354</v>
      </c>
      <c r="O33" s="25">
        <v>339</v>
      </c>
      <c r="P33" s="37">
        <v>369</v>
      </c>
    </row>
    <row r="34" spans="3:16" x14ac:dyDescent="0.25">
      <c r="C34" s="2" t="s">
        <v>60</v>
      </c>
      <c r="D34" s="25">
        <v>80.141999999999996</v>
      </c>
      <c r="E34" s="25">
        <v>86.049000000000007</v>
      </c>
      <c r="F34" s="25">
        <v>100.39700000000001</v>
      </c>
      <c r="G34" s="25">
        <v>70</v>
      </c>
      <c r="H34" s="25">
        <v>80</v>
      </c>
      <c r="I34" s="25">
        <v>79</v>
      </c>
      <c r="J34" s="25">
        <v>96</v>
      </c>
      <c r="K34" s="25">
        <v>66</v>
      </c>
      <c r="L34" s="25">
        <v>70</v>
      </c>
      <c r="M34" s="25">
        <v>82</v>
      </c>
      <c r="N34" s="25">
        <v>86</v>
      </c>
      <c r="O34" s="25">
        <v>53</v>
      </c>
      <c r="P34" s="37">
        <v>75</v>
      </c>
    </row>
    <row r="35" spans="3:16" x14ac:dyDescent="0.25">
      <c r="C35" s="2" t="s">
        <v>61</v>
      </c>
      <c r="D35" s="25">
        <v>34.896999999999998</v>
      </c>
      <c r="E35" s="25">
        <v>49.655000000000001</v>
      </c>
      <c r="F35" s="25">
        <v>45.223999999999997</v>
      </c>
      <c r="G35" s="25">
        <v>40</v>
      </c>
      <c r="H35" s="25">
        <v>37</v>
      </c>
      <c r="I35" s="25">
        <v>32</v>
      </c>
      <c r="J35" s="25">
        <v>52</v>
      </c>
      <c r="K35" s="25">
        <v>23</v>
      </c>
      <c r="L35" s="25">
        <v>32</v>
      </c>
      <c r="M35" s="25">
        <v>31</v>
      </c>
      <c r="N35" s="25">
        <v>21</v>
      </c>
      <c r="O35" s="25">
        <v>16</v>
      </c>
      <c r="P35" s="37">
        <v>21</v>
      </c>
    </row>
    <row r="36" spans="3:16" x14ac:dyDescent="0.25">
      <c r="C36" s="2" t="s">
        <v>62</v>
      </c>
      <c r="D36" s="25">
        <v>23.9</v>
      </c>
      <c r="E36" s="25">
        <v>0</v>
      </c>
      <c r="F36" s="25">
        <v>0</v>
      </c>
      <c r="G36" s="25">
        <v>3</v>
      </c>
      <c r="H36" s="25">
        <v>0</v>
      </c>
      <c r="I36" s="25">
        <v>22</v>
      </c>
      <c r="J36" s="25">
        <v>0</v>
      </c>
      <c r="K36" s="25">
        <v>0</v>
      </c>
      <c r="L36" s="25">
        <v>58</v>
      </c>
      <c r="M36" s="25">
        <v>85</v>
      </c>
      <c r="N36" s="25">
        <v>97</v>
      </c>
      <c r="O36" s="25">
        <v>139</v>
      </c>
      <c r="P36" s="37">
        <v>95</v>
      </c>
    </row>
    <row r="37" spans="3:16" x14ac:dyDescent="0.25">
      <c r="C37" s="1" t="s">
        <v>63</v>
      </c>
      <c r="D37" s="24">
        <f t="shared" ref="D37:N37" si="41">SUM(D28:D36)</f>
        <v>1378.3129999999999</v>
      </c>
      <c r="E37" s="24">
        <f t="shared" si="41"/>
        <v>1327.713</v>
      </c>
      <c r="F37" s="24">
        <f t="shared" si="41"/>
        <v>1333.454</v>
      </c>
      <c r="G37" s="24">
        <f t="shared" si="41"/>
        <v>1357</v>
      </c>
      <c r="H37" s="24">
        <f t="shared" si="41"/>
        <v>1386</v>
      </c>
      <c r="I37" s="24">
        <f t="shared" si="41"/>
        <v>1427</v>
      </c>
      <c r="J37" s="24">
        <f t="shared" si="41"/>
        <v>1476</v>
      </c>
      <c r="K37" s="24">
        <f t="shared" si="41"/>
        <v>1412</v>
      </c>
      <c r="L37" s="24">
        <f t="shared" si="41"/>
        <v>1533</v>
      </c>
      <c r="M37" s="24">
        <f t="shared" si="41"/>
        <v>1537</v>
      </c>
      <c r="N37" s="24">
        <f t="shared" si="41"/>
        <v>1585</v>
      </c>
      <c r="O37" s="24">
        <f>SUM(O28:O36)</f>
        <v>1573</v>
      </c>
      <c r="P37" s="36">
        <f>SUM(P28:P36)</f>
        <v>1595</v>
      </c>
    </row>
    <row r="38" spans="3:16" x14ac:dyDescent="0.25">
      <c r="C38" s="2" t="s">
        <v>64</v>
      </c>
      <c r="D38" s="25">
        <v>13</v>
      </c>
      <c r="E38" s="25">
        <v>13.010999999999999</v>
      </c>
      <c r="F38" s="25">
        <v>13.010999999999999</v>
      </c>
      <c r="G38" s="25">
        <v>78</v>
      </c>
      <c r="H38" s="25">
        <v>78</v>
      </c>
      <c r="I38" s="25">
        <v>196</v>
      </c>
      <c r="J38" s="25">
        <v>196</v>
      </c>
      <c r="K38" s="25">
        <v>196</v>
      </c>
      <c r="L38" s="25">
        <v>341</v>
      </c>
      <c r="M38" s="25">
        <v>369</v>
      </c>
      <c r="N38" s="25">
        <v>369</v>
      </c>
      <c r="O38" s="25">
        <v>369</v>
      </c>
      <c r="P38" s="37">
        <v>369</v>
      </c>
    </row>
    <row r="39" spans="3:16" x14ac:dyDescent="0.25">
      <c r="C39" s="2" t="s">
        <v>65</v>
      </c>
      <c r="D39" s="25">
        <v>275.15899999999999</v>
      </c>
      <c r="E39" s="25">
        <v>289.01</v>
      </c>
      <c r="F39" s="25">
        <v>299.75400000000002</v>
      </c>
      <c r="G39" s="25">
        <v>253</v>
      </c>
      <c r="H39" s="25">
        <v>239</v>
      </c>
      <c r="I39" s="25">
        <v>229</v>
      </c>
      <c r="J39" s="25">
        <v>223</v>
      </c>
      <c r="K39" s="25">
        <v>234</v>
      </c>
      <c r="L39" s="25">
        <v>242</v>
      </c>
      <c r="M39" s="25">
        <v>234</v>
      </c>
      <c r="N39" s="25">
        <v>278</v>
      </c>
      <c r="O39" s="25">
        <v>298</v>
      </c>
      <c r="P39" s="37">
        <v>297</v>
      </c>
    </row>
    <row r="40" spans="3:16" x14ac:dyDescent="0.25">
      <c r="C40" s="2" t="s">
        <v>66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2</v>
      </c>
      <c r="M40" s="25">
        <v>2</v>
      </c>
      <c r="N40" s="25">
        <v>1</v>
      </c>
      <c r="O40" s="25">
        <v>1</v>
      </c>
      <c r="P40" s="37">
        <v>2</v>
      </c>
    </row>
    <row r="41" spans="3:16" x14ac:dyDescent="0.25">
      <c r="C41" s="18" t="s">
        <v>67</v>
      </c>
      <c r="D41" s="34">
        <f t="shared" ref="D41:N41" si="42">SUM(D38:D40)</f>
        <v>288.15899999999999</v>
      </c>
      <c r="E41" s="34">
        <f t="shared" si="42"/>
        <v>302.02100000000002</v>
      </c>
      <c r="F41" s="34">
        <f t="shared" si="42"/>
        <v>312.76500000000004</v>
      </c>
      <c r="G41" s="34">
        <f t="shared" si="42"/>
        <v>331</v>
      </c>
      <c r="H41" s="34">
        <f t="shared" si="42"/>
        <v>317</v>
      </c>
      <c r="I41" s="34">
        <f t="shared" si="42"/>
        <v>425</v>
      </c>
      <c r="J41" s="34">
        <f t="shared" si="42"/>
        <v>419</v>
      </c>
      <c r="K41" s="34">
        <f t="shared" si="42"/>
        <v>430</v>
      </c>
      <c r="L41" s="34">
        <f t="shared" si="42"/>
        <v>585</v>
      </c>
      <c r="M41" s="34">
        <f t="shared" si="42"/>
        <v>605</v>
      </c>
      <c r="N41" s="34">
        <f t="shared" si="42"/>
        <v>648</v>
      </c>
      <c r="O41" s="34">
        <f>SUM(O38:O40)</f>
        <v>668</v>
      </c>
      <c r="P41" s="39">
        <f>SUM(P38:P40)</f>
        <v>668</v>
      </c>
    </row>
    <row r="42" spans="3:16" x14ac:dyDescent="0.25">
      <c r="C42" s="2" t="s">
        <v>68</v>
      </c>
      <c r="D42" s="25">
        <v>321.76100000000002</v>
      </c>
      <c r="E42" s="25">
        <v>318.81299999999999</v>
      </c>
      <c r="F42" s="25">
        <v>363.89100000000002</v>
      </c>
      <c r="G42" s="25">
        <v>306</v>
      </c>
      <c r="H42" s="25">
        <v>328</v>
      </c>
      <c r="I42" s="25">
        <v>355</v>
      </c>
      <c r="J42" s="25">
        <v>356</v>
      </c>
      <c r="K42" s="25">
        <v>340</v>
      </c>
      <c r="L42" s="25">
        <v>386</v>
      </c>
      <c r="M42" s="25">
        <v>369</v>
      </c>
      <c r="N42" s="25">
        <v>372</v>
      </c>
      <c r="O42" s="25">
        <v>368</v>
      </c>
      <c r="P42" s="37">
        <v>363</v>
      </c>
    </row>
    <row r="43" spans="3:16" x14ac:dyDescent="0.25">
      <c r="C43" s="2" t="s">
        <v>71</v>
      </c>
      <c r="D43" s="25">
        <v>355</v>
      </c>
      <c r="E43" s="25">
        <v>335</v>
      </c>
      <c r="F43" s="25">
        <v>335</v>
      </c>
      <c r="G43" s="25">
        <v>295</v>
      </c>
      <c r="H43" s="25">
        <v>295</v>
      </c>
      <c r="I43" s="25">
        <v>295</v>
      </c>
      <c r="J43" s="25">
        <v>295</v>
      </c>
      <c r="K43" s="25">
        <v>255</v>
      </c>
      <c r="L43" s="25">
        <v>220</v>
      </c>
      <c r="M43" s="25">
        <v>220</v>
      </c>
      <c r="N43" s="25">
        <v>220</v>
      </c>
      <c r="O43" s="25">
        <v>180</v>
      </c>
      <c r="P43" s="37">
        <v>180</v>
      </c>
    </row>
    <row r="44" spans="3:16" x14ac:dyDescent="0.25">
      <c r="C44" s="2" t="s">
        <v>69</v>
      </c>
      <c r="D44" s="25">
        <v>-3.4540000000000002</v>
      </c>
      <c r="E44" s="25">
        <v>25.335999999999999</v>
      </c>
      <c r="F44" s="25">
        <v>-1.9790000000000001</v>
      </c>
      <c r="G44" s="25">
        <v>42</v>
      </c>
      <c r="H44" s="25">
        <v>42</v>
      </c>
      <c r="I44" s="25">
        <v>41</v>
      </c>
      <c r="J44" s="25">
        <v>41</v>
      </c>
      <c r="K44" s="25">
        <v>43</v>
      </c>
      <c r="L44" s="25">
        <v>44</v>
      </c>
      <c r="M44" s="25">
        <v>44</v>
      </c>
      <c r="N44" s="25">
        <v>0</v>
      </c>
      <c r="O44" s="25">
        <v>0</v>
      </c>
      <c r="P44" s="37">
        <v>0</v>
      </c>
    </row>
    <row r="45" spans="3:16" x14ac:dyDescent="0.25">
      <c r="C45" s="2" t="s">
        <v>70</v>
      </c>
      <c r="D45" s="25">
        <v>61</v>
      </c>
      <c r="E45" s="25">
        <v>30</v>
      </c>
      <c r="F45" s="25">
        <v>15.003</v>
      </c>
      <c r="G45" s="25">
        <v>72</v>
      </c>
      <c r="H45" s="25">
        <v>57</v>
      </c>
      <c r="I45" s="25">
        <v>36</v>
      </c>
      <c r="J45" s="25">
        <v>18</v>
      </c>
      <c r="K45" s="25">
        <v>72</v>
      </c>
      <c r="L45" s="25">
        <v>79</v>
      </c>
      <c r="M45" s="25">
        <v>78</v>
      </c>
      <c r="N45" s="25">
        <v>79</v>
      </c>
      <c r="O45" s="25">
        <v>85</v>
      </c>
      <c r="P45" s="37">
        <v>87</v>
      </c>
    </row>
    <row r="46" spans="3:16" x14ac:dyDescent="0.25">
      <c r="C46" s="2" t="s">
        <v>139</v>
      </c>
      <c r="D46" s="25">
        <v>20</v>
      </c>
      <c r="E46" s="25">
        <v>85.73</v>
      </c>
      <c r="F46" s="25">
        <v>40.462000000000003</v>
      </c>
      <c r="G46" s="25">
        <v>44</v>
      </c>
      <c r="H46" s="25">
        <v>108</v>
      </c>
      <c r="I46" s="25">
        <v>40</v>
      </c>
      <c r="J46" s="25">
        <v>57</v>
      </c>
      <c r="K46" s="25">
        <v>43</v>
      </c>
      <c r="L46" s="25">
        <v>0</v>
      </c>
      <c r="M46" s="25">
        <v>0</v>
      </c>
      <c r="N46" s="25">
        <v>0</v>
      </c>
      <c r="O46" s="25">
        <v>40</v>
      </c>
      <c r="P46" s="37">
        <v>40</v>
      </c>
    </row>
    <row r="47" spans="3:16" x14ac:dyDescent="0.25">
      <c r="C47" s="2" t="s">
        <v>72</v>
      </c>
      <c r="D47" s="25">
        <v>136.619</v>
      </c>
      <c r="E47" s="25">
        <v>116.565</v>
      </c>
      <c r="F47" s="25">
        <v>140.92099999999999</v>
      </c>
      <c r="G47" s="25">
        <v>154</v>
      </c>
      <c r="H47" s="25">
        <v>127</v>
      </c>
      <c r="I47" s="25">
        <v>155</v>
      </c>
      <c r="J47" s="25">
        <v>196</v>
      </c>
      <c r="K47" s="25">
        <v>126</v>
      </c>
      <c r="L47" s="25">
        <v>121</v>
      </c>
      <c r="M47" s="25">
        <v>151</v>
      </c>
      <c r="N47" s="25">
        <v>168</v>
      </c>
      <c r="O47" s="25">
        <v>122</v>
      </c>
      <c r="P47" s="37">
        <v>145</v>
      </c>
    </row>
    <row r="48" spans="3:16" x14ac:dyDescent="0.25">
      <c r="C48" s="2" t="s">
        <v>73</v>
      </c>
      <c r="D48" s="25">
        <v>22.241</v>
      </c>
      <c r="E48" s="25">
        <v>11.74</v>
      </c>
      <c r="F48" s="25">
        <v>26.654</v>
      </c>
      <c r="G48" s="25">
        <v>21</v>
      </c>
      <c r="H48" s="25">
        <v>5</v>
      </c>
      <c r="I48" s="25">
        <v>-7</v>
      </c>
      <c r="J48" s="25">
        <v>-7</v>
      </c>
      <c r="K48" s="25">
        <v>3</v>
      </c>
      <c r="L48" s="25">
        <v>0</v>
      </c>
      <c r="M48" s="25">
        <v>-2</v>
      </c>
      <c r="N48" s="25">
        <v>-4</v>
      </c>
      <c r="O48" s="25">
        <v>4</v>
      </c>
      <c r="P48" s="37">
        <v>4</v>
      </c>
    </row>
    <row r="49" spans="3:31" x14ac:dyDescent="0.25">
      <c r="C49" s="2" t="s">
        <v>105</v>
      </c>
      <c r="D49" s="25">
        <v>60</v>
      </c>
      <c r="E49" s="25">
        <v>30</v>
      </c>
      <c r="F49" s="25">
        <v>0</v>
      </c>
      <c r="G49" s="25">
        <v>0</v>
      </c>
      <c r="H49" s="25">
        <v>11</v>
      </c>
      <c r="I49" s="25">
        <v>11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37">
        <v>0</v>
      </c>
    </row>
    <row r="50" spans="3:31" x14ac:dyDescent="0.25">
      <c r="C50" s="2" t="s">
        <v>74</v>
      </c>
      <c r="D50" s="25">
        <v>48</v>
      </c>
      <c r="E50" s="25">
        <v>42.162999999999997</v>
      </c>
      <c r="F50" s="25">
        <v>55.57</v>
      </c>
      <c r="G50" s="25">
        <v>46</v>
      </c>
      <c r="H50" s="25">
        <v>47</v>
      </c>
      <c r="I50" s="25">
        <v>41</v>
      </c>
      <c r="J50" s="25">
        <v>51</v>
      </c>
      <c r="K50" s="25">
        <v>55</v>
      </c>
      <c r="L50" s="25">
        <v>47</v>
      </c>
      <c r="M50" s="25">
        <v>34</v>
      </c>
      <c r="N50" s="25">
        <v>50</v>
      </c>
      <c r="O50" s="25">
        <v>61</v>
      </c>
      <c r="P50" s="37">
        <v>46</v>
      </c>
    </row>
    <row r="51" spans="3:31" x14ac:dyDescent="0.25">
      <c r="C51" s="2" t="s">
        <v>75</v>
      </c>
      <c r="D51" s="25">
        <v>69</v>
      </c>
      <c r="E51" s="25">
        <v>30.341999999999999</v>
      </c>
      <c r="F51" s="25">
        <v>45.167000000000002</v>
      </c>
      <c r="G51" s="25">
        <v>47</v>
      </c>
      <c r="H51" s="25">
        <v>50</v>
      </c>
      <c r="I51" s="25">
        <v>35</v>
      </c>
      <c r="J51" s="25">
        <v>50</v>
      </c>
      <c r="K51" s="25">
        <v>47</v>
      </c>
      <c r="L51" s="25">
        <v>50</v>
      </c>
      <c r="M51" s="25">
        <v>37</v>
      </c>
      <c r="N51" s="25">
        <v>51</v>
      </c>
      <c r="O51" s="25">
        <v>44</v>
      </c>
      <c r="P51" s="37">
        <v>59</v>
      </c>
    </row>
    <row r="52" spans="3:31" x14ac:dyDescent="0.25">
      <c r="C52" s="18" t="s">
        <v>76</v>
      </c>
      <c r="D52" s="34">
        <f t="shared" ref="D52:O52" si="43">SUM(D42:D51)</f>
        <v>1090.1669999999999</v>
      </c>
      <c r="E52" s="34">
        <f t="shared" si="43"/>
        <v>1025.6890000000001</v>
      </c>
      <c r="F52" s="34">
        <f t="shared" si="43"/>
        <v>1020.6890000000001</v>
      </c>
      <c r="G52" s="34">
        <f t="shared" si="43"/>
        <v>1027</v>
      </c>
      <c r="H52" s="34">
        <f t="shared" si="43"/>
        <v>1070</v>
      </c>
      <c r="I52" s="34">
        <f t="shared" si="43"/>
        <v>1002</v>
      </c>
      <c r="J52" s="34">
        <f t="shared" si="43"/>
        <v>1057</v>
      </c>
      <c r="K52" s="34">
        <f t="shared" si="43"/>
        <v>984</v>
      </c>
      <c r="L52" s="34">
        <f t="shared" si="43"/>
        <v>947</v>
      </c>
      <c r="M52" s="34">
        <f t="shared" si="43"/>
        <v>931</v>
      </c>
      <c r="N52" s="34">
        <f t="shared" si="43"/>
        <v>936</v>
      </c>
      <c r="O52" s="34">
        <f t="shared" si="43"/>
        <v>904</v>
      </c>
      <c r="P52" s="39">
        <f t="shared" ref="P52" si="44">SUM(P42:P51)</f>
        <v>924</v>
      </c>
    </row>
    <row r="53" spans="3:31" x14ac:dyDescent="0.25">
      <c r="C53" s="1" t="s">
        <v>77</v>
      </c>
      <c r="D53" s="24">
        <f t="shared" ref="D53:O53" si="45">D41+D52</f>
        <v>1378.326</v>
      </c>
      <c r="E53" s="24">
        <f t="shared" si="45"/>
        <v>1327.71</v>
      </c>
      <c r="F53" s="24">
        <f t="shared" si="45"/>
        <v>1333.4540000000002</v>
      </c>
      <c r="G53" s="24">
        <f t="shared" si="45"/>
        <v>1358</v>
      </c>
      <c r="H53" s="24">
        <f t="shared" si="45"/>
        <v>1387</v>
      </c>
      <c r="I53" s="24">
        <f t="shared" si="45"/>
        <v>1427</v>
      </c>
      <c r="J53" s="24">
        <f t="shared" si="45"/>
        <v>1476</v>
      </c>
      <c r="K53" s="24">
        <f t="shared" si="45"/>
        <v>1414</v>
      </c>
      <c r="L53" s="24">
        <f t="shared" si="45"/>
        <v>1532</v>
      </c>
      <c r="M53" s="24">
        <f t="shared" si="45"/>
        <v>1536</v>
      </c>
      <c r="N53" s="24">
        <f t="shared" si="45"/>
        <v>1584</v>
      </c>
      <c r="O53" s="24">
        <f t="shared" si="45"/>
        <v>1572</v>
      </c>
      <c r="P53" s="36">
        <f t="shared" ref="P53" si="46">P41+P52</f>
        <v>1592</v>
      </c>
    </row>
    <row r="55" spans="3:31" x14ac:dyDescent="0.25">
      <c r="C55" s="3" t="s">
        <v>36</v>
      </c>
    </row>
    <row r="56" spans="3:31" x14ac:dyDescent="0.25">
      <c r="C56" s="2" t="s">
        <v>110</v>
      </c>
      <c r="D56" s="35">
        <f t="shared" ref="D56:P56" si="47">D13</f>
        <v>14</v>
      </c>
      <c r="E56" s="35">
        <f t="shared" si="47"/>
        <v>19</v>
      </c>
      <c r="F56" s="35">
        <f t="shared" si="47"/>
        <v>14.747000000000014</v>
      </c>
      <c r="G56" s="2">
        <f t="shared" si="47"/>
        <v>24</v>
      </c>
      <c r="H56" s="2">
        <f t="shared" si="47"/>
        <v>-5</v>
      </c>
      <c r="I56" s="2">
        <f t="shared" si="47"/>
        <v>-9</v>
      </c>
      <c r="J56" s="2">
        <f t="shared" si="47"/>
        <v>-9</v>
      </c>
      <c r="K56" s="2">
        <f t="shared" si="47"/>
        <v>9</v>
      </c>
      <c r="L56" s="2">
        <f t="shared" si="47"/>
        <v>-12</v>
      </c>
      <c r="M56" s="2">
        <f t="shared" si="47"/>
        <v>-7</v>
      </c>
      <c r="N56" s="2">
        <f t="shared" si="47"/>
        <v>30</v>
      </c>
      <c r="O56" s="2">
        <f t="shared" si="47"/>
        <v>31</v>
      </c>
      <c r="P56" s="4">
        <f t="shared" si="47"/>
        <v>-9</v>
      </c>
      <c r="AA56" s="25">
        <f>AA13</f>
        <v>104.1940000000001</v>
      </c>
      <c r="AB56" s="25">
        <f>AB13</f>
        <v>124.57899999999999</v>
      </c>
      <c r="AC56" s="25">
        <f>AC13</f>
        <v>68</v>
      </c>
      <c r="AD56" s="25">
        <f>AD13</f>
        <v>-14</v>
      </c>
      <c r="AE56" s="25">
        <f>AE13</f>
        <v>42</v>
      </c>
    </row>
    <row r="57" spans="3:31" x14ac:dyDescent="0.25">
      <c r="C57" s="2" t="s">
        <v>111</v>
      </c>
      <c r="D57" s="35">
        <v>12</v>
      </c>
      <c r="E57" s="35">
        <v>18</v>
      </c>
      <c r="F57" s="35">
        <v>14</v>
      </c>
      <c r="G57" s="2">
        <v>25</v>
      </c>
      <c r="H57" s="2">
        <v>-5</v>
      </c>
      <c r="I57" s="2">
        <v>-10</v>
      </c>
      <c r="J57" s="2">
        <v>-9</v>
      </c>
      <c r="K57" s="2">
        <v>9</v>
      </c>
      <c r="L57" s="2">
        <v>-12</v>
      </c>
      <c r="M57" s="2">
        <v>-7</v>
      </c>
      <c r="N57" s="2">
        <v>31</v>
      </c>
      <c r="O57" s="2">
        <v>32</v>
      </c>
      <c r="P57" s="4">
        <v>-10</v>
      </c>
      <c r="AA57" s="25">
        <v>103</v>
      </c>
      <c r="AB57" s="25">
        <v>125</v>
      </c>
      <c r="AC57" s="25">
        <v>67</v>
      </c>
      <c r="AD57" s="25">
        <v>-16</v>
      </c>
      <c r="AE57" s="25">
        <f>SUM(L57:O57)</f>
        <v>44</v>
      </c>
    </row>
    <row r="58" spans="3:31" x14ac:dyDescent="0.25">
      <c r="C58" s="2" t="s">
        <v>112</v>
      </c>
      <c r="D58" s="35">
        <v>-13.26</v>
      </c>
      <c r="E58" s="35">
        <v>-13.26</v>
      </c>
      <c r="F58" s="35">
        <v>12.109</v>
      </c>
      <c r="G58" s="2">
        <v>-14</v>
      </c>
      <c r="H58" s="2">
        <v>-17</v>
      </c>
      <c r="I58" s="2">
        <v>-8</v>
      </c>
      <c r="J58" s="2">
        <v>0</v>
      </c>
      <c r="K58" s="2">
        <v>5</v>
      </c>
      <c r="L58" s="2">
        <v>-3</v>
      </c>
      <c r="M58" s="2">
        <v>-3</v>
      </c>
      <c r="N58" s="2">
        <v>0</v>
      </c>
      <c r="O58" s="2">
        <v>1</v>
      </c>
      <c r="P58" s="4">
        <v>-3</v>
      </c>
      <c r="AA58" s="25">
        <v>-7.99</v>
      </c>
      <c r="AB58" s="25">
        <v>-26.518000000000001</v>
      </c>
      <c r="AC58" s="25">
        <v>-28.408999999999999</v>
      </c>
      <c r="AD58" s="25">
        <v>-21.867999999999999</v>
      </c>
      <c r="AE58" s="25">
        <f>SUM(L58:O58)</f>
        <v>-5</v>
      </c>
    </row>
    <row r="59" spans="3:31" x14ac:dyDescent="0.25">
      <c r="C59" s="2" t="s">
        <v>40</v>
      </c>
      <c r="D59" s="35">
        <v>22.491</v>
      </c>
      <c r="E59" s="35">
        <v>23.132000000000001</v>
      </c>
      <c r="F59" s="35">
        <v>23.71</v>
      </c>
      <c r="G59" s="2">
        <v>23</v>
      </c>
      <c r="H59" s="2">
        <v>25</v>
      </c>
      <c r="I59" s="2">
        <v>26</v>
      </c>
      <c r="J59" s="2">
        <v>26</v>
      </c>
      <c r="K59" s="2">
        <v>19</v>
      </c>
      <c r="L59" s="2">
        <v>28</v>
      </c>
      <c r="M59" s="2">
        <v>25</v>
      </c>
      <c r="N59" s="2">
        <v>29</v>
      </c>
      <c r="O59" s="2">
        <v>29</v>
      </c>
      <c r="P59" s="4">
        <v>29</v>
      </c>
      <c r="AA59" s="25">
        <v>72.103999999999999</v>
      </c>
      <c r="AB59" s="25">
        <v>77.325000000000003</v>
      </c>
      <c r="AC59" s="25">
        <v>88.622</v>
      </c>
      <c r="AD59" s="25">
        <v>95.295000000000002</v>
      </c>
      <c r="AE59" s="25">
        <f>SUM(L59:O59)</f>
        <v>111</v>
      </c>
    </row>
    <row r="60" spans="3:31" x14ac:dyDescent="0.25">
      <c r="C60" s="2" t="s">
        <v>113</v>
      </c>
      <c r="D60" s="35">
        <v>8.4039999999999999</v>
      </c>
      <c r="E60" s="35">
        <v>8</v>
      </c>
      <c r="F60" s="35">
        <v>7.375</v>
      </c>
      <c r="G60" s="2">
        <v>23</v>
      </c>
      <c r="H60" s="2">
        <v>12</v>
      </c>
      <c r="I60" s="2">
        <v>14</v>
      </c>
      <c r="J60" s="2">
        <v>12</v>
      </c>
      <c r="K60" s="2">
        <v>18</v>
      </c>
      <c r="L60" s="2">
        <v>8</v>
      </c>
      <c r="M60" s="2">
        <v>12</v>
      </c>
      <c r="N60" s="2">
        <f>-30</f>
        <v>-30</v>
      </c>
      <c r="O60" s="2">
        <v>5</v>
      </c>
      <c r="P60" s="4">
        <f>9-10+1</f>
        <v>0</v>
      </c>
      <c r="AA60" s="25">
        <v>25.712</v>
      </c>
      <c r="AB60" s="25">
        <v>24.704000000000001</v>
      </c>
      <c r="AC60" s="25">
        <v>46.712000000000003</v>
      </c>
      <c r="AD60" s="25">
        <v>56.034999999999997</v>
      </c>
      <c r="AE60" s="25">
        <f>SUM(L60:O60)</f>
        <v>-5</v>
      </c>
    </row>
    <row r="61" spans="3:31" x14ac:dyDescent="0.25">
      <c r="C61" s="2" t="s">
        <v>114</v>
      </c>
      <c r="D61" s="35">
        <f>-49.924-17.389-17+11.619</f>
        <v>-72.694000000000003</v>
      </c>
      <c r="E61" s="35">
        <f>15.148-5.9-20-53.427</f>
        <v>-64.179000000000002</v>
      </c>
      <c r="F61" s="35">
        <f>1.35-14.348+24.356+31.772</f>
        <v>43.129999999999995</v>
      </c>
      <c r="G61" s="2">
        <f>-21+32+17-8</f>
        <v>20</v>
      </c>
      <c r="H61" s="2">
        <f>-16-10-27+8</f>
        <v>-45</v>
      </c>
      <c r="I61" s="2">
        <f>-21+1+28-26</f>
        <v>-18</v>
      </c>
      <c r="J61" s="2">
        <f>-54-17+41+5</f>
        <v>-25</v>
      </c>
      <c r="K61" s="2">
        <f>53+30-70+31</f>
        <v>44</v>
      </c>
      <c r="L61" s="2">
        <f>19+4-14-7</f>
        <v>2</v>
      </c>
      <c r="M61" s="2">
        <f>13-11+29-26</f>
        <v>5</v>
      </c>
      <c r="N61" s="2">
        <f>-30-4+17+39</f>
        <v>22</v>
      </c>
      <c r="O61" s="2">
        <f>16+33-47+7</f>
        <v>9</v>
      </c>
      <c r="P61" s="4">
        <f>-30-22+24-4</f>
        <v>-32</v>
      </c>
      <c r="AA61" s="25">
        <f>-3.605-13.815+29.849+41.92</f>
        <v>54.349000000000004</v>
      </c>
      <c r="AB61" s="25">
        <f>-55.737-9.853+28.872-11.807</f>
        <v>-48.525000000000006</v>
      </c>
      <c r="AC61" s="25">
        <f>-37.464-6.595-5.279-10.913</f>
        <v>-60.250999999999991</v>
      </c>
      <c r="AD61" s="25">
        <f>-37.315-4.449-18.341+22.323</f>
        <v>-37.781999999999996</v>
      </c>
      <c r="AE61" s="25">
        <f>SUM(L61:O61)</f>
        <v>38</v>
      </c>
    </row>
    <row r="62" spans="3:31" x14ac:dyDescent="0.25">
      <c r="C62" s="1" t="s">
        <v>80</v>
      </c>
      <c r="D62" s="30">
        <f t="shared" ref="D62:N62" si="48">SUM(D57:D61)</f>
        <v>-43.058999999999997</v>
      </c>
      <c r="E62" s="30">
        <f t="shared" si="48"/>
        <v>-28.307000000000002</v>
      </c>
      <c r="F62" s="30">
        <f t="shared" si="48"/>
        <v>100.324</v>
      </c>
      <c r="G62" s="1">
        <f t="shared" si="48"/>
        <v>77</v>
      </c>
      <c r="H62" s="1">
        <f t="shared" si="48"/>
        <v>-30</v>
      </c>
      <c r="I62" s="1">
        <f t="shared" si="48"/>
        <v>4</v>
      </c>
      <c r="J62" s="1">
        <f t="shared" si="48"/>
        <v>4</v>
      </c>
      <c r="K62" s="1">
        <f t="shared" si="48"/>
        <v>95</v>
      </c>
      <c r="L62" s="1">
        <f t="shared" si="48"/>
        <v>23</v>
      </c>
      <c r="M62" s="1">
        <f t="shared" si="48"/>
        <v>32</v>
      </c>
      <c r="N62" s="1">
        <f t="shared" si="48"/>
        <v>52</v>
      </c>
      <c r="O62" s="1">
        <f>SUM(O57:O61)</f>
        <v>76</v>
      </c>
      <c r="P62" s="9">
        <f>SUM(P57:P61)</f>
        <v>-16</v>
      </c>
      <c r="AA62" s="24">
        <f t="shared" ref="AA62:AD62" si="49">SUM(AA57:AA61)</f>
        <v>247.17500000000001</v>
      </c>
      <c r="AB62" s="24">
        <f>SUM(AB57:AB61)</f>
        <v>151.98600000000002</v>
      </c>
      <c r="AC62" s="24">
        <f t="shared" si="49"/>
        <v>113.67400000000002</v>
      </c>
      <c r="AD62" s="24">
        <f t="shared" si="49"/>
        <v>75.680000000000007</v>
      </c>
      <c r="AE62" s="24">
        <f>SUM(AE57:AE61)</f>
        <v>183</v>
      </c>
    </row>
    <row r="63" spans="3:31" x14ac:dyDescent="0.25">
      <c r="D63" s="35"/>
      <c r="E63" s="35"/>
      <c r="F63" s="35"/>
      <c r="AA63" s="25"/>
      <c r="AB63" s="25"/>
      <c r="AC63" s="25"/>
      <c r="AD63" s="25"/>
      <c r="AE63" s="25"/>
    </row>
    <row r="64" spans="3:31" x14ac:dyDescent="0.25">
      <c r="C64" s="2" t="s">
        <v>115</v>
      </c>
      <c r="D64" s="35">
        <v>-179.47800000000001</v>
      </c>
      <c r="E64" s="35">
        <v>11.5</v>
      </c>
      <c r="F64" s="35">
        <v>-5</v>
      </c>
      <c r="G64" s="2">
        <v>-8</v>
      </c>
      <c r="H64" s="2">
        <v>-12</v>
      </c>
      <c r="I64" s="2">
        <v>-6</v>
      </c>
      <c r="J64" s="2">
        <v>-5</v>
      </c>
      <c r="K64" s="2">
        <v>-7</v>
      </c>
      <c r="L64" s="2">
        <v>-3</v>
      </c>
      <c r="M64" s="2">
        <v>-3</v>
      </c>
      <c r="N64" s="2">
        <v>-7</v>
      </c>
      <c r="O64" s="2">
        <v>-7</v>
      </c>
      <c r="P64" s="4">
        <v>-7</v>
      </c>
      <c r="AA64" s="25">
        <v>-31</v>
      </c>
      <c r="AB64" s="25">
        <v>-34.920999999999999</v>
      </c>
      <c r="AC64" s="25">
        <f>-35.366-152.954</f>
        <v>-188.32</v>
      </c>
      <c r="AD64" s="25">
        <v>-27.407</v>
      </c>
      <c r="AE64" s="25">
        <f>SUM(L64:O64)</f>
        <v>-20</v>
      </c>
    </row>
    <row r="65" spans="3:31" x14ac:dyDescent="0.25">
      <c r="C65" s="1" t="s">
        <v>78</v>
      </c>
      <c r="D65" s="30">
        <f t="shared" ref="D65:N65" si="50">SUM(D64)</f>
        <v>-179.47800000000001</v>
      </c>
      <c r="E65" s="30">
        <f t="shared" si="50"/>
        <v>11.5</v>
      </c>
      <c r="F65" s="30">
        <f t="shared" si="50"/>
        <v>-5</v>
      </c>
      <c r="G65" s="1">
        <f t="shared" si="50"/>
        <v>-8</v>
      </c>
      <c r="H65" s="1">
        <f t="shared" si="50"/>
        <v>-12</v>
      </c>
      <c r="I65" s="1">
        <f t="shared" si="50"/>
        <v>-6</v>
      </c>
      <c r="J65" s="1">
        <f t="shared" si="50"/>
        <v>-5</v>
      </c>
      <c r="K65" s="1">
        <f t="shared" si="50"/>
        <v>-7</v>
      </c>
      <c r="L65" s="1">
        <f t="shared" si="50"/>
        <v>-3</v>
      </c>
      <c r="M65" s="1">
        <f t="shared" si="50"/>
        <v>-3</v>
      </c>
      <c r="N65" s="1">
        <f t="shared" si="50"/>
        <v>-7</v>
      </c>
      <c r="O65" s="1">
        <f>SUM(O64)</f>
        <v>-7</v>
      </c>
      <c r="P65" s="9">
        <f>SUM(P64)</f>
        <v>-7</v>
      </c>
      <c r="AA65" s="24">
        <f t="shared" ref="AA65:AD65" si="51">SUM(AA64)</f>
        <v>-31</v>
      </c>
      <c r="AB65" s="24">
        <f t="shared" si="51"/>
        <v>-34.920999999999999</v>
      </c>
      <c r="AC65" s="24">
        <f t="shared" si="51"/>
        <v>-188.32</v>
      </c>
      <c r="AD65" s="24">
        <f t="shared" si="51"/>
        <v>-27.407</v>
      </c>
      <c r="AE65" s="24">
        <f>SUM(AE64)</f>
        <v>-20</v>
      </c>
    </row>
    <row r="66" spans="3:31" x14ac:dyDescent="0.25">
      <c r="D66" s="35"/>
      <c r="E66" s="35"/>
      <c r="F66" s="35"/>
      <c r="AA66" s="25"/>
      <c r="AB66" s="25"/>
      <c r="AC66" s="25"/>
      <c r="AD66" s="25"/>
      <c r="AE66" s="25"/>
    </row>
    <row r="67" spans="3:31" x14ac:dyDescent="0.25">
      <c r="C67" s="2" t="s">
        <v>116</v>
      </c>
      <c r="D67" s="35">
        <v>190</v>
      </c>
      <c r="E67" s="35">
        <v>0</v>
      </c>
      <c r="F67" s="35">
        <v>0</v>
      </c>
      <c r="G67" s="2">
        <v>-40</v>
      </c>
      <c r="H67" s="2">
        <v>0</v>
      </c>
      <c r="I67" s="2">
        <v>0</v>
      </c>
      <c r="J67" s="2">
        <v>0</v>
      </c>
      <c r="K67" s="2">
        <v>-40</v>
      </c>
      <c r="L67" s="2">
        <v>-75</v>
      </c>
      <c r="M67" s="2">
        <v>0</v>
      </c>
      <c r="N67" s="2">
        <v>0</v>
      </c>
      <c r="O67" s="2">
        <v>0</v>
      </c>
      <c r="P67" s="4">
        <v>0</v>
      </c>
      <c r="AA67" s="25">
        <v>-205</v>
      </c>
      <c r="AB67" s="25">
        <v>-20</v>
      </c>
      <c r="AC67" s="25">
        <v>190</v>
      </c>
      <c r="AD67" s="25">
        <v>-40</v>
      </c>
      <c r="AE67" s="25">
        <f t="shared" ref="AE67:AE73" si="52">SUM(L67:O67)</f>
        <v>-75</v>
      </c>
    </row>
    <row r="68" spans="3:31" x14ac:dyDescent="0.25">
      <c r="C68" s="2" t="s">
        <v>137</v>
      </c>
      <c r="D68" s="35">
        <v>-4.2629999999999999</v>
      </c>
      <c r="E68" s="35">
        <v>45.73</v>
      </c>
      <c r="F68" s="35">
        <v>-45.27</v>
      </c>
      <c r="G68" s="2">
        <v>0</v>
      </c>
      <c r="H68" s="2">
        <v>64</v>
      </c>
      <c r="I68" s="2">
        <v>-68</v>
      </c>
      <c r="J68" s="2">
        <v>17</v>
      </c>
      <c r="K68" s="2">
        <v>-5</v>
      </c>
      <c r="L68" s="2">
        <v>-12</v>
      </c>
      <c r="M68" s="2">
        <v>0</v>
      </c>
      <c r="N68" s="2">
        <v>0</v>
      </c>
      <c r="O68" s="2">
        <v>0</v>
      </c>
      <c r="P68" s="4">
        <v>0</v>
      </c>
      <c r="AA68" s="25">
        <f>205-32.201</f>
        <v>172.79900000000001</v>
      </c>
      <c r="AB68" s="25">
        <v>0</v>
      </c>
      <c r="AC68" s="25">
        <v>-40</v>
      </c>
      <c r="AD68" s="25">
        <v>7.7309999999999999</v>
      </c>
      <c r="AE68" s="25">
        <f t="shared" si="52"/>
        <v>-12</v>
      </c>
    </row>
    <row r="69" spans="3:31" x14ac:dyDescent="0.25">
      <c r="C69" s="2" t="s">
        <v>117</v>
      </c>
      <c r="D69" s="35">
        <v>0</v>
      </c>
      <c r="E69" s="35">
        <v>-6.5590000000000002</v>
      </c>
      <c r="F69" s="35">
        <v>-4</v>
      </c>
      <c r="G69" s="2">
        <v>-8</v>
      </c>
      <c r="H69" s="2">
        <v>0</v>
      </c>
      <c r="I69" s="2">
        <v>117</v>
      </c>
      <c r="J69" s="2">
        <v>0</v>
      </c>
      <c r="K69" s="2">
        <v>0</v>
      </c>
      <c r="L69" s="2">
        <v>146</v>
      </c>
      <c r="M69" s="2">
        <v>28</v>
      </c>
      <c r="N69" s="2">
        <v>0</v>
      </c>
      <c r="O69" s="2">
        <v>0</v>
      </c>
      <c r="P69" s="4">
        <v>0</v>
      </c>
      <c r="AA69" s="25">
        <v>0</v>
      </c>
      <c r="AB69" s="25">
        <v>0</v>
      </c>
      <c r="AC69" s="25">
        <v>0</v>
      </c>
      <c r="AD69" s="25">
        <v>116.821</v>
      </c>
      <c r="AE69" s="25">
        <f t="shared" si="52"/>
        <v>174</v>
      </c>
    </row>
    <row r="70" spans="3:31" x14ac:dyDescent="0.25">
      <c r="C70" s="2" t="s">
        <v>138</v>
      </c>
      <c r="D70" s="35">
        <v>0</v>
      </c>
      <c r="E70" s="35">
        <v>0</v>
      </c>
      <c r="F70" s="35">
        <v>0</v>
      </c>
      <c r="G70" s="2">
        <v>-20</v>
      </c>
      <c r="H70" s="2">
        <v>0</v>
      </c>
      <c r="I70" s="2">
        <v>0</v>
      </c>
      <c r="J70" s="2">
        <v>0</v>
      </c>
      <c r="K70" s="2">
        <v>3</v>
      </c>
      <c r="L70" s="2">
        <v>0</v>
      </c>
      <c r="M70" s="2">
        <v>0</v>
      </c>
      <c r="N70" s="2">
        <v>0</v>
      </c>
      <c r="O70" s="2">
        <v>0</v>
      </c>
      <c r="P70" s="4">
        <v>0</v>
      </c>
      <c r="AA70" s="25">
        <v>-51.204000000000001</v>
      </c>
      <c r="AB70" s="25">
        <v>0</v>
      </c>
      <c r="AC70" s="25">
        <v>0</v>
      </c>
      <c r="AD70" s="25">
        <v>3.2</v>
      </c>
      <c r="AE70" s="25">
        <f t="shared" si="52"/>
        <v>0</v>
      </c>
    </row>
    <row r="71" spans="3:31" x14ac:dyDescent="0.25">
      <c r="C71" s="2" t="s">
        <v>118</v>
      </c>
      <c r="D71" s="35">
        <v>0</v>
      </c>
      <c r="E71" s="2">
        <v>0</v>
      </c>
      <c r="F71" s="35">
        <v>0</v>
      </c>
      <c r="G71" s="2">
        <v>0</v>
      </c>
      <c r="H71" s="2">
        <v>-8</v>
      </c>
      <c r="I71" s="2">
        <v>-10</v>
      </c>
      <c r="J71" s="2">
        <v>-8</v>
      </c>
      <c r="K71" s="2">
        <v>-16</v>
      </c>
      <c r="L71" s="2">
        <v>-8</v>
      </c>
      <c r="M71" s="2">
        <v>-12</v>
      </c>
      <c r="N71" s="2">
        <v>-13</v>
      </c>
      <c r="O71" s="2">
        <v>-5</v>
      </c>
      <c r="P71" s="4">
        <v>0</v>
      </c>
      <c r="AA71" s="25">
        <v>-9.8759999999999994</v>
      </c>
      <c r="AB71" s="25">
        <v>-5.4610000000000003</v>
      </c>
      <c r="AC71" s="25">
        <v>-26.972999999999999</v>
      </c>
      <c r="AD71" s="25">
        <v>-56.034999999999997</v>
      </c>
      <c r="AE71" s="25">
        <f t="shared" si="52"/>
        <v>-38</v>
      </c>
    </row>
    <row r="72" spans="3:31" x14ac:dyDescent="0.25">
      <c r="C72" s="2" t="s">
        <v>119</v>
      </c>
      <c r="D72" s="35">
        <v>-15.47</v>
      </c>
      <c r="E72" s="35">
        <v>-15.88</v>
      </c>
      <c r="F72" s="35">
        <v>-15.814</v>
      </c>
      <c r="G72" s="2">
        <v>0</v>
      </c>
      <c r="H72" s="2">
        <v>-18</v>
      </c>
      <c r="I72" s="2">
        <v>-18</v>
      </c>
      <c r="J72" s="2">
        <v>-18</v>
      </c>
      <c r="K72" s="2">
        <v>-21</v>
      </c>
      <c r="L72" s="2">
        <v>-22</v>
      </c>
      <c r="M72" s="2">
        <v>-19</v>
      </c>
      <c r="N72" s="2">
        <v>-19</v>
      </c>
      <c r="O72" s="2">
        <v>-20</v>
      </c>
      <c r="P72" s="4">
        <v>-21</v>
      </c>
      <c r="AA72" s="25">
        <v>-30</v>
      </c>
      <c r="AB72" s="25">
        <v>-59.036000000000001</v>
      </c>
      <c r="AC72" s="25">
        <v>-62.051000000000002</v>
      </c>
      <c r="AD72" s="25">
        <v>-63.420999999999999</v>
      </c>
      <c r="AE72" s="25">
        <f t="shared" si="52"/>
        <v>-80</v>
      </c>
    </row>
    <row r="73" spans="3:31" x14ac:dyDescent="0.25">
      <c r="C73" s="2" t="s">
        <v>120</v>
      </c>
      <c r="D73" s="35">
        <v>0</v>
      </c>
      <c r="E73" s="35">
        <v>-30</v>
      </c>
      <c r="F73" s="35">
        <v>-30</v>
      </c>
      <c r="G73" s="2">
        <v>0</v>
      </c>
      <c r="H73" s="2">
        <v>0</v>
      </c>
      <c r="I73" s="2">
        <v>0</v>
      </c>
      <c r="J73" s="2">
        <v>-11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4">
        <v>0</v>
      </c>
      <c r="AA73" s="25">
        <v>0</v>
      </c>
      <c r="AB73" s="25">
        <v>-50</v>
      </c>
      <c r="AC73" s="25">
        <v>-60</v>
      </c>
      <c r="AD73" s="25">
        <v>-10.791</v>
      </c>
      <c r="AE73" s="25">
        <f t="shared" si="52"/>
        <v>0</v>
      </c>
    </row>
    <row r="74" spans="3:31" x14ac:dyDescent="0.25">
      <c r="C74" s="1" t="s">
        <v>79</v>
      </c>
      <c r="D74" s="30">
        <f t="shared" ref="D74:N74" si="53">SUM(D67:D73)</f>
        <v>170.267</v>
      </c>
      <c r="E74" s="30">
        <f t="shared" si="53"/>
        <v>-6.7090000000000032</v>
      </c>
      <c r="F74" s="30">
        <f t="shared" si="53"/>
        <v>-95.084000000000003</v>
      </c>
      <c r="G74" s="1">
        <f t="shared" si="53"/>
        <v>-68</v>
      </c>
      <c r="H74" s="1">
        <f t="shared" si="53"/>
        <v>38</v>
      </c>
      <c r="I74" s="1">
        <f t="shared" si="53"/>
        <v>21</v>
      </c>
      <c r="J74" s="1">
        <f t="shared" si="53"/>
        <v>-20</v>
      </c>
      <c r="K74" s="1">
        <f t="shared" si="53"/>
        <v>-79</v>
      </c>
      <c r="L74" s="1">
        <f t="shared" si="53"/>
        <v>29</v>
      </c>
      <c r="M74" s="1">
        <f t="shared" si="53"/>
        <v>-3</v>
      </c>
      <c r="N74" s="1">
        <f t="shared" si="53"/>
        <v>-32</v>
      </c>
      <c r="O74" s="1">
        <f>SUM(O67:O73)</f>
        <v>-25</v>
      </c>
      <c r="P74" s="9">
        <f>SUM(P67:P73)</f>
        <v>-21</v>
      </c>
      <c r="AA74" s="24">
        <f t="shared" ref="AA74:AE74" si="54">SUM(AA67:AA73)</f>
        <v>-123.28100000000001</v>
      </c>
      <c r="AB74" s="24">
        <f t="shared" si="54"/>
        <v>-134.49700000000001</v>
      </c>
      <c r="AC74" s="24">
        <f t="shared" si="54"/>
        <v>0.97599999999999909</v>
      </c>
      <c r="AD74" s="24">
        <f t="shared" si="54"/>
        <v>-42.495000000000005</v>
      </c>
      <c r="AE74" s="24">
        <f t="shared" si="54"/>
        <v>-31</v>
      </c>
    </row>
    <row r="75" spans="3:31" x14ac:dyDescent="0.25">
      <c r="D75" s="35"/>
      <c r="E75" s="35"/>
      <c r="F75" s="35"/>
      <c r="AA75" s="25"/>
      <c r="AB75" s="25"/>
      <c r="AC75" s="25"/>
      <c r="AD75" s="25"/>
      <c r="AE75" s="25"/>
    </row>
    <row r="76" spans="3:31" x14ac:dyDescent="0.25">
      <c r="C76" s="2" t="s">
        <v>121</v>
      </c>
      <c r="D76" s="35">
        <f t="shared" ref="D76:N76" si="55">D62+D65+D74</f>
        <v>-52.27000000000001</v>
      </c>
      <c r="E76" s="35">
        <f t="shared" si="55"/>
        <v>-23.516000000000005</v>
      </c>
      <c r="F76" s="35">
        <f t="shared" si="55"/>
        <v>0.23999999999999488</v>
      </c>
      <c r="G76" s="2">
        <f t="shared" si="55"/>
        <v>1</v>
      </c>
      <c r="H76" s="2">
        <f t="shared" si="55"/>
        <v>-4</v>
      </c>
      <c r="I76" s="2">
        <f t="shared" si="55"/>
        <v>19</v>
      </c>
      <c r="J76" s="2">
        <f t="shared" si="55"/>
        <v>-21</v>
      </c>
      <c r="K76" s="2">
        <f t="shared" si="55"/>
        <v>9</v>
      </c>
      <c r="L76" s="2">
        <f t="shared" si="55"/>
        <v>49</v>
      </c>
      <c r="M76" s="2">
        <f t="shared" si="55"/>
        <v>26</v>
      </c>
      <c r="N76" s="2">
        <f t="shared" si="55"/>
        <v>13</v>
      </c>
      <c r="O76" s="2">
        <f>O62+O65+O74</f>
        <v>44</v>
      </c>
      <c r="P76" s="4">
        <f>P62+P65+P74</f>
        <v>-44</v>
      </c>
      <c r="AA76" s="25">
        <f t="shared" ref="AA76:AD76" si="56">AA74+AA65+AA62</f>
        <v>92.894000000000005</v>
      </c>
      <c r="AB76" s="25">
        <f t="shared" si="56"/>
        <v>-17.431999999999988</v>
      </c>
      <c r="AC76" s="25">
        <f t="shared" si="56"/>
        <v>-73.669999999999973</v>
      </c>
      <c r="AD76" s="25">
        <f t="shared" si="56"/>
        <v>5.7780000000000058</v>
      </c>
      <c r="AE76" s="25">
        <f>AE74+AE65+AE62</f>
        <v>132</v>
      </c>
    </row>
    <row r="77" spans="3:31" x14ac:dyDescent="0.25">
      <c r="D77" s="35"/>
      <c r="E77" s="35"/>
      <c r="F77" s="35"/>
      <c r="AA77" s="25"/>
      <c r="AB77" s="25"/>
      <c r="AC77" s="25"/>
      <c r="AD77" s="25"/>
      <c r="AE77" s="25"/>
    </row>
    <row r="78" spans="3:31" x14ac:dyDescent="0.25">
      <c r="C78" s="2" t="s">
        <v>122</v>
      </c>
      <c r="D78" s="35">
        <f t="shared" ref="D78:N78" si="57">D62-D64</f>
        <v>136.41900000000001</v>
      </c>
      <c r="E78" s="35">
        <f t="shared" si="57"/>
        <v>-39.807000000000002</v>
      </c>
      <c r="F78" s="35">
        <f t="shared" si="57"/>
        <v>105.324</v>
      </c>
      <c r="G78" s="2">
        <f t="shared" si="57"/>
        <v>85</v>
      </c>
      <c r="H78" s="2">
        <f t="shared" si="57"/>
        <v>-18</v>
      </c>
      <c r="I78" s="2">
        <f t="shared" si="57"/>
        <v>10</v>
      </c>
      <c r="J78" s="2">
        <f t="shared" si="57"/>
        <v>9</v>
      </c>
      <c r="K78" s="2">
        <f t="shared" si="57"/>
        <v>102</v>
      </c>
      <c r="L78" s="2">
        <f t="shared" si="57"/>
        <v>26</v>
      </c>
      <c r="M78" s="2">
        <f t="shared" si="57"/>
        <v>35</v>
      </c>
      <c r="N78" s="2">
        <f t="shared" si="57"/>
        <v>59</v>
      </c>
      <c r="O78" s="2">
        <f>O62-O64</f>
        <v>83</v>
      </c>
      <c r="P78" s="4">
        <f>P62-P64</f>
        <v>-9</v>
      </c>
      <c r="AA78" s="25">
        <f t="shared" ref="AA78:AD78" si="58">AA62-AA64</f>
        <v>278.17500000000001</v>
      </c>
      <c r="AB78" s="25">
        <f t="shared" si="58"/>
        <v>186.90700000000001</v>
      </c>
      <c r="AC78" s="25">
        <f t="shared" si="58"/>
        <v>301.99400000000003</v>
      </c>
      <c r="AD78" s="25">
        <f t="shared" si="58"/>
        <v>103.087</v>
      </c>
      <c r="AE78" s="25">
        <f>AE62-AE64</f>
        <v>203</v>
      </c>
    </row>
    <row r="79" spans="3:31" x14ac:dyDescent="0.25">
      <c r="AA79" s="25"/>
      <c r="AB79" s="25"/>
      <c r="AC79" s="25"/>
      <c r="AD79" s="25"/>
      <c r="AE79" s="25"/>
    </row>
  </sheetData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E7F3-DAD7-B84C-B5BC-B13AC4EABC5F}">
  <dimension ref="A4:W30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U10" sqref="U10"/>
    </sheetView>
  </sheetViews>
  <sheetFormatPr baseColWidth="10" defaultRowHeight="19" x14ac:dyDescent="0.25"/>
  <cols>
    <col min="1" max="1" width="3.83203125" style="2" customWidth="1"/>
    <col min="2" max="2" width="13.5" style="2" bestFit="1" customWidth="1"/>
    <col min="3" max="16384" width="10.83203125" style="2"/>
  </cols>
  <sheetData>
    <row r="4" spans="1:23" x14ac:dyDescent="0.25">
      <c r="B4" s="2" t="s">
        <v>83</v>
      </c>
      <c r="C4" s="7" t="s">
        <v>7</v>
      </c>
      <c r="D4" s="7" t="s">
        <v>8</v>
      </c>
      <c r="E4" s="7" t="s">
        <v>9</v>
      </c>
      <c r="F4" s="7" t="s">
        <v>10</v>
      </c>
      <c r="G4" s="40">
        <v>2022</v>
      </c>
      <c r="H4" s="7" t="s">
        <v>11</v>
      </c>
      <c r="I4" s="7" t="s">
        <v>12</v>
      </c>
      <c r="J4" s="7" t="s">
        <v>13</v>
      </c>
      <c r="K4" s="7" t="s">
        <v>14</v>
      </c>
      <c r="L4" s="40">
        <v>2023</v>
      </c>
      <c r="M4" s="7" t="s">
        <v>15</v>
      </c>
      <c r="N4" s="7" t="s">
        <v>16</v>
      </c>
      <c r="O4" s="7" t="s">
        <v>17</v>
      </c>
      <c r="P4" s="7" t="s">
        <v>18</v>
      </c>
      <c r="Q4" s="40">
        <v>2024</v>
      </c>
      <c r="R4" s="7" t="s">
        <v>49</v>
      </c>
      <c r="S4" s="7" t="s">
        <v>50</v>
      </c>
      <c r="T4" s="7" t="s">
        <v>51</v>
      </c>
      <c r="U4" s="7" t="s">
        <v>52</v>
      </c>
      <c r="V4" s="41">
        <v>2025</v>
      </c>
    </row>
    <row r="5" spans="1:23" x14ac:dyDescent="0.25">
      <c r="B5" s="1" t="s">
        <v>84</v>
      </c>
      <c r="G5" s="41"/>
      <c r="L5" s="41"/>
      <c r="Q5" s="41"/>
      <c r="V5" s="44"/>
    </row>
    <row r="6" spans="1:23" x14ac:dyDescent="0.25">
      <c r="A6" s="1"/>
      <c r="B6" s="1" t="s">
        <v>37</v>
      </c>
      <c r="C6" s="1"/>
      <c r="D6" s="1">
        <v>358</v>
      </c>
      <c r="E6" s="1">
        <v>370</v>
      </c>
      <c r="F6" s="1">
        <v>464</v>
      </c>
      <c r="G6" s="41"/>
      <c r="H6" s="1">
        <v>352</v>
      </c>
      <c r="I6" s="1">
        <v>296</v>
      </c>
      <c r="J6" s="1">
        <v>362</v>
      </c>
      <c r="K6" s="1">
        <v>451</v>
      </c>
      <c r="L6" s="41">
        <f>SUM(H6:K6)</f>
        <v>1461</v>
      </c>
      <c r="M6" s="1">
        <v>317</v>
      </c>
      <c r="N6" s="1">
        <v>315</v>
      </c>
      <c r="O6" s="1">
        <v>366</v>
      </c>
      <c r="P6" s="1">
        <v>469</v>
      </c>
      <c r="Q6" s="41">
        <f>SUM(M6:P6)</f>
        <v>1467</v>
      </c>
      <c r="R6" s="1">
        <v>356</v>
      </c>
      <c r="S6" s="1"/>
      <c r="T6" s="1"/>
      <c r="U6" s="1"/>
      <c r="V6" s="41">
        <f>SUM(R6:U6)</f>
        <v>356</v>
      </c>
      <c r="W6" s="1"/>
    </row>
    <row r="7" spans="1:23" x14ac:dyDescent="0.25">
      <c r="A7" s="1"/>
      <c r="B7" s="18" t="s">
        <v>93</v>
      </c>
      <c r="C7" s="1"/>
      <c r="D7" s="1"/>
      <c r="E7" s="1"/>
      <c r="F7" s="1"/>
      <c r="G7" s="41"/>
      <c r="H7" s="28"/>
      <c r="I7" s="20">
        <f>(I6-D6)/D6</f>
        <v>-0.17318435754189945</v>
      </c>
      <c r="J7" s="20">
        <f>(J6-E6)/E6</f>
        <v>-2.1621621621621623E-2</v>
      </c>
      <c r="K7" s="20">
        <f>(K6-F6)/F6</f>
        <v>-2.8017241379310345E-2</v>
      </c>
      <c r="L7" s="42"/>
      <c r="M7" s="20">
        <f t="shared" ref="M7:R7" si="0">(M6-H6)/H6</f>
        <v>-9.9431818181818177E-2</v>
      </c>
      <c r="N7" s="20">
        <f t="shared" si="0"/>
        <v>6.4189189189189186E-2</v>
      </c>
      <c r="O7" s="20">
        <f t="shared" si="0"/>
        <v>1.1049723756906077E-2</v>
      </c>
      <c r="P7" s="20">
        <f t="shared" si="0"/>
        <v>3.9911308203991129E-2</v>
      </c>
      <c r="Q7" s="42">
        <f t="shared" si="0"/>
        <v>4.1067761806981521E-3</v>
      </c>
      <c r="R7" s="20">
        <f t="shared" si="0"/>
        <v>0.12302839116719243</v>
      </c>
      <c r="V7" s="42">
        <f>(V6-Q6)/Q6</f>
        <v>-0.75732788002726648</v>
      </c>
    </row>
    <row r="8" spans="1:23" x14ac:dyDescent="0.25">
      <c r="B8" s="2" t="s">
        <v>38</v>
      </c>
      <c r="E8" s="2">
        <v>-227</v>
      </c>
      <c r="F8" s="2">
        <v>-286</v>
      </c>
      <c r="G8" s="41"/>
      <c r="H8" s="2">
        <v>-222</v>
      </c>
      <c r="I8" s="2">
        <v>-190</v>
      </c>
      <c r="J8" s="2">
        <v>-229</v>
      </c>
      <c r="K8" s="2">
        <v>-296</v>
      </c>
      <c r="L8" s="41">
        <f>SUM(H8:K8)</f>
        <v>-937</v>
      </c>
      <c r="M8" s="2">
        <v>-203</v>
      </c>
      <c r="N8" s="2">
        <v>-208</v>
      </c>
      <c r="O8" s="2">
        <v>-225</v>
      </c>
      <c r="P8" s="2">
        <v>-299</v>
      </c>
      <c r="Q8" s="41">
        <f>SUM(M8:P8)</f>
        <v>-935</v>
      </c>
      <c r="R8" s="2">
        <v>-224</v>
      </c>
      <c r="V8" s="41">
        <f>SUM(R8:U8)</f>
        <v>-224</v>
      </c>
    </row>
    <row r="9" spans="1:23" x14ac:dyDescent="0.25">
      <c r="B9" s="2" t="s">
        <v>85</v>
      </c>
      <c r="E9" s="2">
        <v>143</v>
      </c>
      <c r="F9" s="2">
        <v>177</v>
      </c>
      <c r="G9" s="41"/>
      <c r="H9" s="2">
        <v>130</v>
      </c>
      <c r="I9" s="2">
        <v>106</v>
      </c>
      <c r="J9" s="2">
        <v>133</v>
      </c>
      <c r="K9" s="2">
        <v>155</v>
      </c>
      <c r="L9" s="41">
        <f>SUM(H9:K9)</f>
        <v>524</v>
      </c>
      <c r="M9" s="2">
        <v>115</v>
      </c>
      <c r="N9" s="2">
        <v>107</v>
      </c>
      <c r="O9" s="2">
        <v>141</v>
      </c>
      <c r="P9" s="35">
        <f>SUM(P6:P8)</f>
        <v>170.03991130820401</v>
      </c>
      <c r="Q9" s="47">
        <f>SUM(M9:P9)</f>
        <v>533.03991130820395</v>
      </c>
      <c r="R9" s="2">
        <v>132</v>
      </c>
      <c r="V9" s="47">
        <f>SUM(R9:U9)</f>
        <v>132</v>
      </c>
    </row>
    <row r="10" spans="1:23" x14ac:dyDescent="0.25">
      <c r="B10" s="18" t="s">
        <v>86</v>
      </c>
      <c r="C10" s="20"/>
      <c r="D10" s="20"/>
      <c r="E10" s="20">
        <v>0.38600000000000001</v>
      </c>
      <c r="F10" s="20">
        <v>0.38200000000000001</v>
      </c>
      <c r="G10" s="42"/>
      <c r="H10" s="20">
        <v>0.36799999999999999</v>
      </c>
      <c r="I10" s="20">
        <v>0.35899999999999999</v>
      </c>
      <c r="J10" s="20">
        <v>0.36799999999999999</v>
      </c>
      <c r="K10" s="20">
        <v>0.34399999999999997</v>
      </c>
      <c r="L10" s="42">
        <f>L9/L6</f>
        <v>0.35865845311430528</v>
      </c>
      <c r="M10" s="20">
        <v>0.36099999999999999</v>
      </c>
      <c r="N10" s="20">
        <v>0.33900000000000002</v>
      </c>
      <c r="O10" s="20">
        <v>0.38600000000000001</v>
      </c>
      <c r="P10" s="20">
        <f>P9/P6</f>
        <v>0.36255844628614931</v>
      </c>
      <c r="Q10" s="42">
        <f>Q9/Q6</f>
        <v>0.36335372277314515</v>
      </c>
      <c r="R10" s="20">
        <v>0.37</v>
      </c>
      <c r="S10" s="20"/>
      <c r="T10" s="20"/>
      <c r="U10" s="20"/>
      <c r="V10" s="42">
        <f>V9/V6</f>
        <v>0.3707865168539326</v>
      </c>
    </row>
    <row r="11" spans="1:23" x14ac:dyDescent="0.25">
      <c r="B11" s="2" t="s">
        <v>87</v>
      </c>
      <c r="E11" s="2">
        <v>-97</v>
      </c>
      <c r="F11" s="2">
        <v>-106</v>
      </c>
      <c r="G11" s="41"/>
      <c r="H11" s="2">
        <v>-97</v>
      </c>
      <c r="I11" s="2">
        <v>-71</v>
      </c>
      <c r="J11" s="2">
        <v>-100</v>
      </c>
      <c r="K11" s="2">
        <v>-102</v>
      </c>
      <c r="L11" s="41">
        <f>SUM(H11:K11)</f>
        <v>-370</v>
      </c>
      <c r="M11" s="2">
        <v>-87</v>
      </c>
      <c r="N11" s="2">
        <v>-71</v>
      </c>
      <c r="O11" s="2">
        <v>-97</v>
      </c>
      <c r="P11" s="2">
        <v>-104</v>
      </c>
      <c r="Q11" s="41">
        <f>SUM(M11:P11)</f>
        <v>-359</v>
      </c>
      <c r="R11" s="2">
        <v>-96</v>
      </c>
      <c r="V11" s="41">
        <f>SUM(R11:U11)</f>
        <v>-96</v>
      </c>
    </row>
    <row r="12" spans="1:23" x14ac:dyDescent="0.25">
      <c r="B12" s="18" t="s">
        <v>88</v>
      </c>
      <c r="C12" s="20"/>
      <c r="D12" s="20"/>
      <c r="E12" s="20">
        <v>-0.26600000000000001</v>
      </c>
      <c r="F12" s="20">
        <v>-0.22800000000000001</v>
      </c>
      <c r="G12" s="42"/>
      <c r="H12" s="20">
        <v>-0.27500000000000002</v>
      </c>
      <c r="I12" s="20">
        <v>-0.24</v>
      </c>
      <c r="J12" s="20">
        <v>-0.27700000000000002</v>
      </c>
      <c r="K12" s="20">
        <v>-0.22600000000000001</v>
      </c>
      <c r="L12" s="42">
        <f>L11/L6</f>
        <v>-0.25325119780971939</v>
      </c>
      <c r="M12" s="20">
        <v>-0.27400000000000002</v>
      </c>
      <c r="N12" s="20">
        <v>-0.22500000000000001</v>
      </c>
      <c r="O12" s="20">
        <v>-0.26600000000000001</v>
      </c>
      <c r="P12" s="20">
        <f>P11/P6</f>
        <v>-0.22174840085287847</v>
      </c>
      <c r="Q12" s="42">
        <f>Q11/Q6</f>
        <v>-0.2447171097477846</v>
      </c>
      <c r="R12" s="20">
        <v>-0.26900000000000002</v>
      </c>
      <c r="S12" s="20"/>
      <c r="T12" s="20"/>
      <c r="U12" s="20"/>
      <c r="V12" s="42">
        <f>V11/V6</f>
        <v>-0.2696629213483146</v>
      </c>
    </row>
    <row r="13" spans="1:23" x14ac:dyDescent="0.25">
      <c r="B13" s="2" t="s">
        <v>89</v>
      </c>
      <c r="E13" s="2">
        <v>22</v>
      </c>
      <c r="F13" s="2">
        <v>51</v>
      </c>
      <c r="G13" s="41"/>
      <c r="H13" s="2">
        <v>9</v>
      </c>
      <c r="I13" s="2">
        <v>12</v>
      </c>
      <c r="J13" s="2">
        <v>9</v>
      </c>
      <c r="K13" s="2">
        <v>35</v>
      </c>
      <c r="L13" s="41">
        <f>SUM(H13:K13)</f>
        <v>65</v>
      </c>
      <c r="M13" s="2">
        <v>4</v>
      </c>
      <c r="N13" s="2">
        <v>13</v>
      </c>
      <c r="O13" s="2">
        <v>5</v>
      </c>
      <c r="P13" s="2">
        <v>40</v>
      </c>
      <c r="Q13" s="41">
        <f>SUM(M13:P13)</f>
        <v>62</v>
      </c>
      <c r="R13" s="2">
        <v>9</v>
      </c>
      <c r="V13" s="41">
        <f>SUM(R13:U13)</f>
        <v>9</v>
      </c>
    </row>
    <row r="14" spans="1:23" x14ac:dyDescent="0.25">
      <c r="B14" s="18" t="s">
        <v>90</v>
      </c>
      <c r="C14" s="20"/>
      <c r="D14" s="20"/>
      <c r="E14" s="20">
        <v>5.8000000000000003E-2</v>
      </c>
      <c r="F14" s="20">
        <v>0.109</v>
      </c>
      <c r="G14" s="42"/>
      <c r="H14" s="20">
        <v>2.5999999999999999E-2</v>
      </c>
      <c r="I14" s="20">
        <v>3.9E-2</v>
      </c>
      <c r="J14" s="20">
        <v>2.5000000000000001E-2</v>
      </c>
      <c r="K14" s="20">
        <v>7.8E-2</v>
      </c>
      <c r="L14" s="42">
        <f>L13/L6</f>
        <v>4.4490075290896644E-2</v>
      </c>
      <c r="M14" s="20">
        <v>1.2E-2</v>
      </c>
      <c r="N14" s="20">
        <v>0.04</v>
      </c>
      <c r="O14" s="20">
        <v>1.2999999999999999E-2</v>
      </c>
      <c r="P14" s="20">
        <f>P13/P6</f>
        <v>8.5287846481876331E-2</v>
      </c>
      <c r="Q14" s="42">
        <f>Q13/Q6</f>
        <v>4.2263122017723247E-2</v>
      </c>
      <c r="R14" s="20">
        <v>2.7E-2</v>
      </c>
      <c r="S14" s="20"/>
      <c r="T14" s="20"/>
      <c r="U14" s="20"/>
      <c r="V14" s="42">
        <f>V13/V6</f>
        <v>2.5280898876404494E-2</v>
      </c>
    </row>
    <row r="15" spans="1:23" x14ac:dyDescent="0.25">
      <c r="B15" s="2" t="s">
        <v>43</v>
      </c>
      <c r="E15" s="2">
        <v>-7</v>
      </c>
      <c r="G15" s="41"/>
      <c r="H15" s="2">
        <v>-12</v>
      </c>
      <c r="I15" s="2">
        <v>-14</v>
      </c>
      <c r="J15" s="2">
        <v>-12</v>
      </c>
      <c r="K15" s="2">
        <v>-15</v>
      </c>
      <c r="L15" s="41">
        <f>SUM(H15:K15)</f>
        <v>-53</v>
      </c>
      <c r="M15" s="2">
        <v>-7</v>
      </c>
      <c r="N15" s="2">
        <v>-11</v>
      </c>
      <c r="O15" s="2">
        <v>-13</v>
      </c>
      <c r="P15" s="2">
        <v>-4</v>
      </c>
      <c r="Q15" s="41">
        <f>SUM(M15:P15)</f>
        <v>-35</v>
      </c>
      <c r="R15" s="2">
        <v>-15</v>
      </c>
      <c r="V15" s="41">
        <f>SUM(R15:U15)</f>
        <v>-15</v>
      </c>
    </row>
    <row r="16" spans="1:23" x14ac:dyDescent="0.25">
      <c r="B16" s="2" t="s">
        <v>44</v>
      </c>
      <c r="E16" s="2">
        <v>14</v>
      </c>
      <c r="G16" s="41"/>
      <c r="H16" s="2">
        <v>-2</v>
      </c>
      <c r="I16" s="2">
        <v>-2</v>
      </c>
      <c r="J16" s="2">
        <v>-3</v>
      </c>
      <c r="K16" s="2">
        <v>20</v>
      </c>
      <c r="L16" s="41">
        <f>SUM(H16:K16)</f>
        <v>13</v>
      </c>
      <c r="M16" s="2">
        <v>-3</v>
      </c>
      <c r="N16" s="2">
        <v>2</v>
      </c>
      <c r="O16" s="2">
        <v>-8</v>
      </c>
      <c r="P16" s="2">
        <v>36</v>
      </c>
      <c r="Q16" s="41">
        <f>SUM(M16:P16)</f>
        <v>27</v>
      </c>
      <c r="R16" s="2">
        <v>-6</v>
      </c>
      <c r="V16" s="41">
        <f>SUM(R16:U16)</f>
        <v>-6</v>
      </c>
    </row>
    <row r="17" spans="2:22" x14ac:dyDescent="0.25">
      <c r="B17" s="21" t="s">
        <v>91</v>
      </c>
      <c r="C17" s="21"/>
      <c r="D17" s="21"/>
      <c r="E17" s="21">
        <v>11</v>
      </c>
      <c r="F17" s="21"/>
      <c r="G17" s="43"/>
      <c r="H17" s="21">
        <v>-2</v>
      </c>
      <c r="I17" s="21">
        <v>-2</v>
      </c>
      <c r="J17" s="21">
        <v>-1</v>
      </c>
      <c r="K17" s="21">
        <v>16</v>
      </c>
      <c r="L17" s="43">
        <f>SUM(H17:K17)</f>
        <v>11</v>
      </c>
      <c r="M17" s="21">
        <v>-3</v>
      </c>
      <c r="N17" s="21">
        <v>2</v>
      </c>
      <c r="O17" s="21">
        <v>-7</v>
      </c>
      <c r="P17" s="21">
        <v>25</v>
      </c>
      <c r="Q17" s="43">
        <f>SUM(M17:P17)</f>
        <v>17</v>
      </c>
      <c r="R17" s="22">
        <v>-5</v>
      </c>
      <c r="S17" s="22"/>
      <c r="T17" s="22"/>
      <c r="U17" s="22"/>
      <c r="V17" s="43">
        <f>SUM(R17:U17)</f>
        <v>-5</v>
      </c>
    </row>
    <row r="18" spans="2:22" x14ac:dyDescent="0.25">
      <c r="B18" s="1" t="s">
        <v>92</v>
      </c>
      <c r="G18" s="44"/>
      <c r="L18" s="44"/>
      <c r="Q18" s="44"/>
      <c r="V18" s="44"/>
    </row>
    <row r="19" spans="2:22" x14ac:dyDescent="0.25">
      <c r="B19" s="1" t="s">
        <v>37</v>
      </c>
      <c r="C19" s="1"/>
      <c r="D19" s="1"/>
      <c r="E19" s="1">
        <v>28</v>
      </c>
      <c r="F19" s="1">
        <v>38</v>
      </c>
      <c r="G19" s="44"/>
      <c r="H19" s="1">
        <v>31</v>
      </c>
      <c r="I19" s="1">
        <v>30</v>
      </c>
      <c r="J19" s="1">
        <v>39</v>
      </c>
      <c r="K19" s="1">
        <v>43</v>
      </c>
      <c r="L19" s="41">
        <f>SUM(H19:K19)</f>
        <v>143</v>
      </c>
      <c r="M19" s="1">
        <v>33</v>
      </c>
      <c r="N19" s="1">
        <v>34</v>
      </c>
      <c r="O19" s="1">
        <v>42</v>
      </c>
      <c r="P19" s="1">
        <v>52</v>
      </c>
      <c r="Q19" s="41">
        <f>SUM(M19:P19)</f>
        <v>161</v>
      </c>
      <c r="R19" s="1">
        <v>40</v>
      </c>
      <c r="S19" s="1"/>
      <c r="T19" s="1"/>
      <c r="U19" s="1"/>
      <c r="V19" s="41">
        <f>SUM(R19:U19)</f>
        <v>40</v>
      </c>
    </row>
    <row r="20" spans="2:22" x14ac:dyDescent="0.25">
      <c r="B20" s="18" t="s">
        <v>93</v>
      </c>
      <c r="C20" s="1"/>
      <c r="D20" s="1"/>
      <c r="E20" s="1"/>
      <c r="F20" s="1"/>
      <c r="G20" s="44"/>
      <c r="H20" s="28"/>
      <c r="I20" s="20"/>
      <c r="J20" s="20">
        <f t="shared" ref="J20" si="1">(J19-E19)/E19</f>
        <v>0.39285714285714285</v>
      </c>
      <c r="K20" s="20">
        <f t="shared" ref="K20" si="2">(K19-F19)/F19</f>
        <v>0.13157894736842105</v>
      </c>
      <c r="L20" s="42"/>
      <c r="M20" s="20">
        <f t="shared" ref="M20" si="3">(M19-H19)/H19</f>
        <v>6.4516129032258063E-2</v>
      </c>
      <c r="N20" s="20">
        <f t="shared" ref="N20" si="4">(N19-I19)/I19</f>
        <v>0.13333333333333333</v>
      </c>
      <c r="O20" s="20">
        <f t="shared" ref="O20" si="5">(O19-J19)/J19</f>
        <v>7.6923076923076927E-2</v>
      </c>
      <c r="P20" s="20">
        <f>(P19-K19)/K19</f>
        <v>0.20930232558139536</v>
      </c>
      <c r="Q20" s="42">
        <f>(Q19-L19)/L19</f>
        <v>0.12587412587412589</v>
      </c>
      <c r="R20" s="20">
        <f>(R19-M19)/M19</f>
        <v>0.21212121212121213</v>
      </c>
      <c r="V20" s="42">
        <f>(V19-Q19)/Q19</f>
        <v>-0.75155279503105588</v>
      </c>
    </row>
    <row r="21" spans="2:22" x14ac:dyDescent="0.25">
      <c r="B21" s="2" t="s">
        <v>38</v>
      </c>
      <c r="E21" s="2">
        <v>-21</v>
      </c>
      <c r="F21" s="2">
        <v>-28</v>
      </c>
      <c r="G21" s="44"/>
      <c r="H21" s="2">
        <v>-24</v>
      </c>
      <c r="I21" s="2">
        <v>-23</v>
      </c>
      <c r="J21" s="2">
        <v>-30</v>
      </c>
      <c r="K21" s="2">
        <v>-36</v>
      </c>
      <c r="L21" s="41">
        <f>SUM(H21:K21)</f>
        <v>-113</v>
      </c>
      <c r="M21" s="2">
        <v>-26</v>
      </c>
      <c r="N21" s="2">
        <v>-28</v>
      </c>
      <c r="O21" s="2">
        <v>-33</v>
      </c>
      <c r="P21" s="2">
        <v>-40</v>
      </c>
      <c r="Q21" s="41">
        <f>SUM(M21:P21)</f>
        <v>-127</v>
      </c>
      <c r="R21" s="2">
        <v>-29</v>
      </c>
      <c r="V21" s="41">
        <f>SUM(R21:U21)</f>
        <v>-29</v>
      </c>
    </row>
    <row r="22" spans="2:22" x14ac:dyDescent="0.25">
      <c r="B22" s="2" t="s">
        <v>85</v>
      </c>
      <c r="E22" s="2">
        <v>7</v>
      </c>
      <c r="F22" s="2">
        <v>10</v>
      </c>
      <c r="G22" s="44"/>
      <c r="H22" s="2">
        <v>7</v>
      </c>
      <c r="I22" s="2">
        <v>6</v>
      </c>
      <c r="J22" s="2">
        <v>8</v>
      </c>
      <c r="K22" s="2">
        <v>7</v>
      </c>
      <c r="L22" s="47">
        <f>SUM(H22:K22)</f>
        <v>28</v>
      </c>
      <c r="M22" s="2">
        <v>7</v>
      </c>
      <c r="N22" s="2">
        <v>6</v>
      </c>
      <c r="O22" s="2">
        <v>9</v>
      </c>
      <c r="P22" s="35">
        <f>SUM(P19:P21)</f>
        <v>12.209302325581397</v>
      </c>
      <c r="Q22" s="47">
        <f>SUM(M22:P22)</f>
        <v>34.209302325581397</v>
      </c>
      <c r="R22" s="2">
        <v>11</v>
      </c>
      <c r="V22" s="47">
        <f>SUM(R22:U22)</f>
        <v>11</v>
      </c>
    </row>
    <row r="23" spans="2:22" x14ac:dyDescent="0.25">
      <c r="B23" s="18" t="s">
        <v>86</v>
      </c>
      <c r="C23" s="20"/>
      <c r="D23" s="20"/>
      <c r="E23" s="20">
        <v>0.245</v>
      </c>
      <c r="F23" s="20">
        <v>0.26</v>
      </c>
      <c r="G23" s="45"/>
      <c r="H23" s="20">
        <v>0.23</v>
      </c>
      <c r="I23" s="20">
        <v>0.218</v>
      </c>
      <c r="J23" s="20">
        <v>0.21099999999999999</v>
      </c>
      <c r="K23" s="20">
        <v>0.161</v>
      </c>
      <c r="L23" s="42">
        <f>L22/L19</f>
        <v>0.19580419580419581</v>
      </c>
      <c r="M23" s="20">
        <v>0.216</v>
      </c>
      <c r="N23" s="20">
        <v>0.185</v>
      </c>
      <c r="O23" s="20">
        <v>0.20899999999999999</v>
      </c>
      <c r="P23" s="20">
        <v>0.224</v>
      </c>
      <c r="Q23" s="42">
        <f>Q22/Q19</f>
        <v>0.21248013866820745</v>
      </c>
      <c r="R23" s="20">
        <v>0.26900000000000002</v>
      </c>
      <c r="S23" s="20"/>
      <c r="T23" s="20"/>
      <c r="U23" s="20"/>
      <c r="V23" s="42">
        <f>V22/V19</f>
        <v>0.27500000000000002</v>
      </c>
    </row>
    <row r="24" spans="2:22" x14ac:dyDescent="0.25">
      <c r="B24" s="2" t="s">
        <v>87</v>
      </c>
      <c r="E24" s="2">
        <v>-6</v>
      </c>
      <c r="F24" s="2">
        <v>-12</v>
      </c>
      <c r="G24" s="44"/>
      <c r="H24" s="2">
        <v>-8</v>
      </c>
      <c r="I24" s="2">
        <v>-11</v>
      </c>
      <c r="J24" s="2">
        <v>-12</v>
      </c>
      <c r="K24" s="2">
        <v>-15</v>
      </c>
      <c r="L24" s="41">
        <f>SUM(H24:K24)</f>
        <v>-46</v>
      </c>
      <c r="M24" s="2">
        <v>-9</v>
      </c>
      <c r="N24" s="2">
        <v>-9</v>
      </c>
      <c r="O24" s="2">
        <v>-8</v>
      </c>
      <c r="P24" s="2">
        <v>-10</v>
      </c>
      <c r="Q24" s="41">
        <f>SUM(M24:P24)</f>
        <v>-36</v>
      </c>
      <c r="R24" s="2">
        <v>-9</v>
      </c>
      <c r="V24" s="41">
        <f>SUM(R24:U24)</f>
        <v>-9</v>
      </c>
    </row>
    <row r="25" spans="2:22" x14ac:dyDescent="0.25">
      <c r="B25" s="18" t="s">
        <v>88</v>
      </c>
      <c r="C25" s="20"/>
      <c r="D25" s="20"/>
      <c r="E25" s="20">
        <v>-0.22600000000000001</v>
      </c>
      <c r="F25" s="20">
        <v>-0.314</v>
      </c>
      <c r="G25" s="45"/>
      <c r="H25" s="20">
        <v>-0.27300000000000002</v>
      </c>
      <c r="I25" s="20">
        <v>-0.377</v>
      </c>
      <c r="J25" s="20">
        <v>-0.30199999999999999</v>
      </c>
      <c r="K25" s="20">
        <v>-0.33900000000000002</v>
      </c>
      <c r="L25" s="42">
        <f>L24/L19</f>
        <v>-0.32167832167832167</v>
      </c>
      <c r="M25" s="20">
        <v>-0.28299999999999997</v>
      </c>
      <c r="N25" s="20">
        <v>-0.26300000000000001</v>
      </c>
      <c r="O25" s="20">
        <v>-0.19500000000000001</v>
      </c>
      <c r="P25" s="20">
        <f>P24/P19</f>
        <v>-0.19230769230769232</v>
      </c>
      <c r="Q25" s="42">
        <f>Q24/Q19</f>
        <v>-0.2236024844720497</v>
      </c>
      <c r="R25" s="20">
        <v>-0.23499999999999999</v>
      </c>
      <c r="S25" s="20"/>
      <c r="T25" s="20"/>
      <c r="U25" s="20"/>
      <c r="V25" s="42">
        <f>V24/V19</f>
        <v>-0.22500000000000001</v>
      </c>
    </row>
    <row r="26" spans="2:22" x14ac:dyDescent="0.25">
      <c r="B26" s="2" t="s">
        <v>89</v>
      </c>
      <c r="E26" s="2">
        <v>1</v>
      </c>
      <c r="F26" s="2">
        <v>-4</v>
      </c>
      <c r="G26" s="44"/>
      <c r="H26" s="2">
        <v>-2</v>
      </c>
      <c r="I26" s="2">
        <v>-7</v>
      </c>
      <c r="J26" s="2">
        <v>-7</v>
      </c>
      <c r="K26" s="2">
        <v>-9</v>
      </c>
      <c r="L26" s="41">
        <f>SUM(H26:K26)</f>
        <v>-25</v>
      </c>
      <c r="M26" s="2">
        <v>-7</v>
      </c>
      <c r="N26" s="2">
        <v>-8</v>
      </c>
      <c r="O26" s="2">
        <v>-4</v>
      </c>
      <c r="P26" s="2">
        <v>-3</v>
      </c>
      <c r="Q26" s="41">
        <f>SUM(M26:P26)</f>
        <v>-22</v>
      </c>
      <c r="R26" s="2">
        <v>-3</v>
      </c>
      <c r="V26" s="41">
        <f>SUM(R26:U26)</f>
        <v>-3</v>
      </c>
    </row>
    <row r="27" spans="2:22" x14ac:dyDescent="0.25">
      <c r="B27" s="18" t="s">
        <v>90</v>
      </c>
      <c r="C27" s="20"/>
      <c r="D27" s="20"/>
      <c r="E27" s="20">
        <v>1.9E-2</v>
      </c>
      <c r="F27" s="20">
        <v>-9.8000000000000004E-2</v>
      </c>
      <c r="G27" s="45"/>
      <c r="H27" s="20">
        <v>-7.0000000000000007E-2</v>
      </c>
      <c r="I27" s="20">
        <v>-0.24099999999999999</v>
      </c>
      <c r="J27" s="20">
        <v>-0.16900000000000001</v>
      </c>
      <c r="K27" s="20">
        <v>-0.218</v>
      </c>
      <c r="L27" s="42">
        <f>L26/L19</f>
        <v>-0.17482517482517482</v>
      </c>
      <c r="M27" s="20">
        <v>-0.219</v>
      </c>
      <c r="N27" s="20">
        <v>-0.222</v>
      </c>
      <c r="O27" s="20">
        <v>-8.5000000000000006E-2</v>
      </c>
      <c r="P27" s="20">
        <f>P26/P19</f>
        <v>-5.7692307692307696E-2</v>
      </c>
      <c r="Q27" s="42">
        <f>Q26/Q19</f>
        <v>-0.13664596273291926</v>
      </c>
      <c r="R27" s="20">
        <v>-7.1999999999999995E-2</v>
      </c>
      <c r="S27" s="20"/>
      <c r="T27" s="20"/>
      <c r="U27" s="20"/>
      <c r="V27" s="42">
        <f>V26/V19</f>
        <v>-7.4999999999999997E-2</v>
      </c>
    </row>
    <row r="28" spans="2:22" x14ac:dyDescent="0.25">
      <c r="B28" s="2" t="s">
        <v>43</v>
      </c>
      <c r="E28" s="2">
        <v>0</v>
      </c>
      <c r="G28" s="44"/>
      <c r="H28" s="2">
        <v>-1</v>
      </c>
      <c r="I28" s="2">
        <v>-1</v>
      </c>
      <c r="J28" s="2">
        <v>0</v>
      </c>
      <c r="K28" s="2">
        <v>-2</v>
      </c>
      <c r="L28" s="41">
        <f>SUM(H28:K28)</f>
        <v>-4</v>
      </c>
      <c r="M28" s="2">
        <v>-1</v>
      </c>
      <c r="N28" s="2">
        <v>-1</v>
      </c>
      <c r="O28" s="2">
        <v>-1</v>
      </c>
      <c r="P28" s="2">
        <v>-1</v>
      </c>
      <c r="Q28" s="41">
        <f>SUM(M28:P28)</f>
        <v>-4</v>
      </c>
      <c r="R28" s="2">
        <v>-1</v>
      </c>
      <c r="V28" s="41">
        <f>SUM(R28:U28)</f>
        <v>-1</v>
      </c>
    </row>
    <row r="29" spans="2:22" x14ac:dyDescent="0.25">
      <c r="B29" s="2" t="s">
        <v>44</v>
      </c>
      <c r="E29" s="2">
        <v>1</v>
      </c>
      <c r="G29" s="44"/>
      <c r="H29" s="2">
        <v>-8</v>
      </c>
      <c r="I29" s="2">
        <v>-8</v>
      </c>
      <c r="J29" s="2">
        <v>-6</v>
      </c>
      <c r="K29" s="2">
        <v>-12</v>
      </c>
      <c r="L29" s="41">
        <f>SUM(H29:K29)</f>
        <v>-34</v>
      </c>
      <c r="M29" s="2">
        <v>-8</v>
      </c>
      <c r="N29" s="2">
        <v>-9</v>
      </c>
      <c r="O29" s="2">
        <v>-5</v>
      </c>
      <c r="P29" s="2">
        <v>-4</v>
      </c>
      <c r="Q29" s="41">
        <f>SUM(M29:P29)</f>
        <v>-26</v>
      </c>
      <c r="R29" s="2">
        <v>-4</v>
      </c>
      <c r="V29" s="41">
        <f>SUM(R29:U29)</f>
        <v>-4</v>
      </c>
    </row>
    <row r="30" spans="2:22" x14ac:dyDescent="0.25">
      <c r="B30" s="21" t="s">
        <v>91</v>
      </c>
      <c r="C30" s="21"/>
      <c r="D30" s="21"/>
      <c r="E30" s="21">
        <v>1</v>
      </c>
      <c r="F30" s="21"/>
      <c r="G30" s="46"/>
      <c r="H30" s="21">
        <v>-7</v>
      </c>
      <c r="I30" s="21">
        <v>-2</v>
      </c>
      <c r="J30" s="21">
        <v>-6</v>
      </c>
      <c r="K30" s="21">
        <v>-9</v>
      </c>
      <c r="L30" s="43">
        <f>SUM(H30:K30)</f>
        <v>-24</v>
      </c>
      <c r="M30" s="21">
        <v>-7</v>
      </c>
      <c r="N30" s="21">
        <v>-6</v>
      </c>
      <c r="O30" s="21">
        <v>-4</v>
      </c>
      <c r="P30" s="21">
        <v>-3</v>
      </c>
      <c r="Q30" s="43">
        <f>SUM(M30:P30)</f>
        <v>-20</v>
      </c>
      <c r="R30" s="22">
        <v>-3</v>
      </c>
      <c r="S30" s="22"/>
      <c r="T30" s="22"/>
      <c r="U30" s="22"/>
      <c r="V30" s="43">
        <f>SUM(R30:U30)</f>
        <v>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E7:H9"/>
  <sheetViews>
    <sheetView showGridLines="0" workbookViewId="0">
      <selection activeCell="H15" sqref="H15"/>
    </sheetView>
  </sheetViews>
  <sheetFormatPr baseColWidth="10" defaultRowHeight="16" x14ac:dyDescent="0.2"/>
  <cols>
    <col min="5" max="5" width="44.1640625" bestFit="1" customWidth="1"/>
    <col min="6" max="8" width="28.33203125" bestFit="1" customWidth="1"/>
  </cols>
  <sheetData>
    <row r="7" spans="5:8" ht="92" x14ac:dyDescent="1">
      <c r="E7" s="26"/>
      <c r="F7" s="26">
        <v>2025</v>
      </c>
      <c r="G7" s="26">
        <v>2026</v>
      </c>
      <c r="H7" s="26">
        <v>2027</v>
      </c>
    </row>
    <row r="8" spans="5:8" ht="92" x14ac:dyDescent="1">
      <c r="E8" s="26" t="s">
        <v>81</v>
      </c>
      <c r="F8" s="27">
        <f>Modell!$B$9/Modell!AF11</f>
        <v>9.2393337932393784</v>
      </c>
      <c r="G8" s="27">
        <f>Modell!$B$9/Modell!AG11</f>
        <v>7.0413283597951697</v>
      </c>
      <c r="H8" s="27">
        <f>Modell!$B$9/Modell!AH11</f>
        <v>6.2812149547387399</v>
      </c>
    </row>
    <row r="9" spans="5:8" ht="92" x14ac:dyDescent="1">
      <c r="E9" s="26" t="s">
        <v>82</v>
      </c>
      <c r="F9" s="27">
        <f>Modell!$B$4/Modell!AF17</f>
        <v>14.575152565358243</v>
      </c>
      <c r="G9" s="27">
        <f>Modell!$B$4/Modell!AG17</f>
        <v>10.099274696711429</v>
      </c>
      <c r="H9" s="27">
        <f>Modell!$B$4/Modell!AH17</f>
        <v>8.7348020963380648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E610-3F34-C949-8567-F58DE99BBDC9}">
  <dimension ref="A3:DO46"/>
  <sheetViews>
    <sheetView showGridLines="0" tabSelected="1" workbookViewId="0">
      <pane xSplit="3" ySplit="3" topLeftCell="G5" activePane="bottomRight" state="frozen"/>
      <selection pane="topRight" activeCell="D1" sqref="D1"/>
      <selection pane="bottomLeft" activeCell="A4" sqref="A4"/>
      <selection pane="bottomRight" activeCell="Q33" sqref="Q33"/>
    </sheetView>
  </sheetViews>
  <sheetFormatPr baseColWidth="10" defaultRowHeight="19" x14ac:dyDescent="0.25"/>
  <cols>
    <col min="1" max="1" width="10.83203125" style="2"/>
    <col min="2" max="2" width="17.6640625" style="4" customWidth="1"/>
    <col min="3" max="3" width="31.5" style="2" customWidth="1"/>
    <col min="4" max="25" width="10.83203125" style="2"/>
    <col min="26" max="26" width="14.83203125" style="2" bestFit="1" customWidth="1"/>
    <col min="27" max="27" width="12.1640625" style="2" bestFit="1" customWidth="1"/>
    <col min="28" max="16384" width="10.83203125" style="2"/>
  </cols>
  <sheetData>
    <row r="3" spans="1:119" x14ac:dyDescent="0.25">
      <c r="A3" s="1" t="s">
        <v>135</v>
      </c>
      <c r="D3" s="7" t="s">
        <v>133</v>
      </c>
      <c r="E3" s="7" t="s">
        <v>134</v>
      </c>
      <c r="F3" s="7" t="s">
        <v>130</v>
      </c>
      <c r="G3" s="7" t="s">
        <v>131</v>
      </c>
      <c r="H3" s="7" t="s">
        <v>132</v>
      </c>
      <c r="I3" s="7" t="s">
        <v>124</v>
      </c>
      <c r="J3" s="7" t="s">
        <v>123</v>
      </c>
      <c r="K3" s="7" t="s">
        <v>20</v>
      </c>
      <c r="L3" s="7" t="s">
        <v>21</v>
      </c>
      <c r="M3" s="7" t="s">
        <v>22</v>
      </c>
      <c r="N3" s="8" t="s">
        <v>23</v>
      </c>
      <c r="O3" s="7" t="s">
        <v>24</v>
      </c>
      <c r="P3" s="7" t="s">
        <v>25</v>
      </c>
      <c r="Q3" s="7" t="s">
        <v>26</v>
      </c>
      <c r="R3" s="7" t="s">
        <v>27</v>
      </c>
      <c r="S3" s="7" t="s">
        <v>28</v>
      </c>
      <c r="T3" s="7" t="s">
        <v>29</v>
      </c>
      <c r="U3" s="7" t="s">
        <v>30</v>
      </c>
      <c r="V3" s="7" t="s">
        <v>31</v>
      </c>
      <c r="W3" s="7" t="s">
        <v>32</v>
      </c>
      <c r="X3" s="7" t="s">
        <v>33</v>
      </c>
    </row>
    <row r="4" spans="1:119" x14ac:dyDescent="0.25">
      <c r="A4" s="1" t="s">
        <v>140</v>
      </c>
      <c r="C4" s="1" t="s">
        <v>37</v>
      </c>
      <c r="D4" s="24">
        <v>277.82900000000001</v>
      </c>
      <c r="E4" s="24">
        <v>417.45100000000002</v>
      </c>
      <c r="F4" s="24">
        <v>593.77549399999998</v>
      </c>
      <c r="G4" s="24">
        <v>786.56741899999997</v>
      </c>
      <c r="H4" s="24">
        <v>964.15984700000001</v>
      </c>
      <c r="I4" s="24">
        <v>1315.894</v>
      </c>
      <c r="J4" s="24">
        <v>1485.33</v>
      </c>
      <c r="K4" s="24">
        <v>1625</v>
      </c>
      <c r="L4" s="24">
        <v>1605</v>
      </c>
      <c r="M4" s="24">
        <v>1626</v>
      </c>
      <c r="N4" s="36">
        <f>M4*1.1</f>
        <v>1788.6000000000001</v>
      </c>
      <c r="O4" s="24">
        <f>N4*1</f>
        <v>1788.6000000000001</v>
      </c>
      <c r="P4" s="24">
        <f t="shared" ref="P4:X4" si="0">O4*1</f>
        <v>1788.6000000000001</v>
      </c>
      <c r="Q4" s="24">
        <f t="shared" si="0"/>
        <v>1788.6000000000001</v>
      </c>
      <c r="R4" s="24">
        <f t="shared" si="0"/>
        <v>1788.6000000000001</v>
      </c>
      <c r="S4" s="24">
        <f t="shared" si="0"/>
        <v>1788.6000000000001</v>
      </c>
      <c r="T4" s="24">
        <f t="shared" si="0"/>
        <v>1788.6000000000001</v>
      </c>
      <c r="U4" s="24">
        <f t="shared" si="0"/>
        <v>1788.6000000000001</v>
      </c>
      <c r="V4" s="24">
        <f t="shared" si="0"/>
        <v>1788.6000000000001</v>
      </c>
      <c r="W4" s="24">
        <f t="shared" si="0"/>
        <v>1788.6000000000001</v>
      </c>
      <c r="X4" s="24">
        <f t="shared" si="0"/>
        <v>1788.6000000000001</v>
      </c>
    </row>
    <row r="5" spans="1:119" x14ac:dyDescent="0.25">
      <c r="A5" s="32">
        <f>AA22</f>
        <v>13.014437031370685</v>
      </c>
      <c r="C5" s="2" t="s">
        <v>38</v>
      </c>
      <c r="D5" s="25">
        <v>-153.393</v>
      </c>
      <c r="E5" s="25">
        <v>-231.15700000000001</v>
      </c>
      <c r="F5" s="25">
        <v>-336.04035399999998</v>
      </c>
      <c r="G5" s="25">
        <v>-464.256078</v>
      </c>
      <c r="H5" s="25">
        <v>-589.66905999999994</v>
      </c>
      <c r="I5" s="25">
        <v>-798.38900000000001</v>
      </c>
      <c r="J5" s="25">
        <v>-912.30499999999995</v>
      </c>
      <c r="K5" s="25">
        <v>-1018</v>
      </c>
      <c r="L5" s="25">
        <v>-1050</v>
      </c>
      <c r="M5" s="25">
        <v>-1074</v>
      </c>
      <c r="N5" s="37">
        <f>N4*-0.65</f>
        <v>-1162.5900000000001</v>
      </c>
      <c r="O5" s="57">
        <f t="shared" ref="O5:X5" si="1">O4*-0.65</f>
        <v>-1162.5900000000001</v>
      </c>
      <c r="P5" s="57">
        <f t="shared" si="1"/>
        <v>-1162.5900000000001</v>
      </c>
      <c r="Q5" s="57">
        <f t="shared" si="1"/>
        <v>-1162.5900000000001</v>
      </c>
      <c r="R5" s="57">
        <f t="shared" si="1"/>
        <v>-1162.5900000000001</v>
      </c>
      <c r="S5" s="57">
        <f t="shared" si="1"/>
        <v>-1162.5900000000001</v>
      </c>
      <c r="T5" s="57">
        <f t="shared" si="1"/>
        <v>-1162.5900000000001</v>
      </c>
      <c r="U5" s="57">
        <f t="shared" si="1"/>
        <v>-1162.5900000000001</v>
      </c>
      <c r="V5" s="57">
        <f t="shared" si="1"/>
        <v>-1162.5900000000001</v>
      </c>
      <c r="W5" s="57">
        <f t="shared" si="1"/>
        <v>-1162.5900000000001</v>
      </c>
      <c r="X5" s="57">
        <f t="shared" si="1"/>
        <v>-1162.5900000000001</v>
      </c>
    </row>
    <row r="6" spans="1:119" x14ac:dyDescent="0.25">
      <c r="A6" s="16">
        <f>AA23</f>
        <v>-0.1865976855393322</v>
      </c>
      <c r="C6" s="2" t="s">
        <v>136</v>
      </c>
      <c r="D6" s="57">
        <f t="shared" ref="D6:M6" si="2">SUM(D4:D5)</f>
        <v>124.43600000000001</v>
      </c>
      <c r="E6" s="57">
        <f t="shared" si="2"/>
        <v>186.29400000000001</v>
      </c>
      <c r="F6" s="57">
        <f t="shared" si="2"/>
        <v>257.73514</v>
      </c>
      <c r="G6" s="57">
        <f t="shared" si="2"/>
        <v>322.31134099999997</v>
      </c>
      <c r="H6" s="57">
        <f t="shared" si="2"/>
        <v>374.49078700000007</v>
      </c>
      <c r="I6" s="57">
        <f t="shared" si="2"/>
        <v>517.505</v>
      </c>
      <c r="J6" s="57">
        <f t="shared" si="2"/>
        <v>573.02499999999998</v>
      </c>
      <c r="K6" s="57">
        <f t="shared" si="2"/>
        <v>607</v>
      </c>
      <c r="L6" s="57">
        <f t="shared" si="2"/>
        <v>555</v>
      </c>
      <c r="M6" s="57">
        <f t="shared" si="2"/>
        <v>552</v>
      </c>
      <c r="N6" s="37">
        <f>SUM(N4:N5)</f>
        <v>626.01</v>
      </c>
      <c r="O6" s="57">
        <f t="shared" ref="O6:X6" si="3">SUM(O4:O5)</f>
        <v>626.01</v>
      </c>
      <c r="P6" s="57">
        <f t="shared" si="3"/>
        <v>626.01</v>
      </c>
      <c r="Q6" s="57">
        <f t="shared" si="3"/>
        <v>626.01</v>
      </c>
      <c r="R6" s="57">
        <f t="shared" si="3"/>
        <v>626.01</v>
      </c>
      <c r="S6" s="57">
        <f t="shared" si="3"/>
        <v>626.01</v>
      </c>
      <c r="T6" s="57">
        <f t="shared" si="3"/>
        <v>626.01</v>
      </c>
      <c r="U6" s="57">
        <f t="shared" si="3"/>
        <v>626.01</v>
      </c>
      <c r="V6" s="57">
        <f t="shared" si="3"/>
        <v>626.01</v>
      </c>
      <c r="W6" s="57">
        <f t="shared" si="3"/>
        <v>626.01</v>
      </c>
      <c r="X6" s="57">
        <f t="shared" si="3"/>
        <v>626.01</v>
      </c>
    </row>
    <row r="7" spans="1:119" x14ac:dyDescent="0.25">
      <c r="C7" s="2" t="s">
        <v>39</v>
      </c>
      <c r="D7" s="57">
        <v>-50.323999999999998</v>
      </c>
      <c r="E7" s="57">
        <v>-80.599999999999994</v>
      </c>
      <c r="F7" s="57">
        <v>-117.86964</v>
      </c>
      <c r="G7" s="57">
        <v>-144.492603</v>
      </c>
      <c r="H7" s="57">
        <v>-176.14433700000001</v>
      </c>
      <c r="I7" s="57">
        <v>-219.29400000000001</v>
      </c>
      <c r="J7" s="57">
        <v>-243.321</v>
      </c>
      <c r="K7" s="57">
        <v>-255</v>
      </c>
      <c r="L7" s="57">
        <v>-272</v>
      </c>
      <c r="M7" s="57">
        <v>-266</v>
      </c>
      <c r="N7" s="37">
        <f>M7*1.02</f>
        <v>-271.32</v>
      </c>
      <c r="O7" s="25">
        <f>N7*1</f>
        <v>-271.32</v>
      </c>
      <c r="P7" s="25">
        <f t="shared" ref="P7:X7" si="4">O7*1</f>
        <v>-271.32</v>
      </c>
      <c r="Q7" s="25">
        <f t="shared" si="4"/>
        <v>-271.32</v>
      </c>
      <c r="R7" s="25">
        <f t="shared" si="4"/>
        <v>-271.32</v>
      </c>
      <c r="S7" s="25">
        <f t="shared" si="4"/>
        <v>-271.32</v>
      </c>
      <c r="T7" s="25">
        <f t="shared" si="4"/>
        <v>-271.32</v>
      </c>
      <c r="U7" s="25">
        <f t="shared" si="4"/>
        <v>-271.32</v>
      </c>
      <c r="V7" s="25">
        <f t="shared" si="4"/>
        <v>-271.32</v>
      </c>
      <c r="W7" s="25">
        <f t="shared" si="4"/>
        <v>-271.32</v>
      </c>
      <c r="X7" s="25">
        <f t="shared" si="4"/>
        <v>-271.32</v>
      </c>
    </row>
    <row r="8" spans="1:119" x14ac:dyDescent="0.25">
      <c r="C8" s="2" t="s">
        <v>40</v>
      </c>
      <c r="D8" s="57">
        <v>-13.54</v>
      </c>
      <c r="E8" s="57">
        <f>-16.943</f>
        <v>-16.943000000000001</v>
      </c>
      <c r="F8" s="57">
        <f>-21.263035-3.145</f>
        <v>-24.408034999999998</v>
      </c>
      <c r="G8" s="57">
        <f>-27.230979-2.46</f>
        <v>-29.690979000000002</v>
      </c>
      <c r="H8" s="57">
        <f>-28.105644-0.736</f>
        <v>-28.841644000000002</v>
      </c>
      <c r="I8" s="57">
        <v>-70.739999999999995</v>
      </c>
      <c r="J8" s="57">
        <v>-77.325000000000003</v>
      </c>
      <c r="K8" s="57">
        <v>-92</v>
      </c>
      <c r="L8" s="57">
        <v>-96</v>
      </c>
      <c r="M8" s="57">
        <v>-111</v>
      </c>
      <c r="N8" s="37">
        <f>M8*1.02</f>
        <v>-113.22</v>
      </c>
      <c r="O8" s="25">
        <f t="shared" ref="O8:X9" si="5">N8*1</f>
        <v>-113.22</v>
      </c>
      <c r="P8" s="25">
        <f t="shared" si="5"/>
        <v>-113.22</v>
      </c>
      <c r="Q8" s="25">
        <f t="shared" si="5"/>
        <v>-113.22</v>
      </c>
      <c r="R8" s="25">
        <f t="shared" si="5"/>
        <v>-113.22</v>
      </c>
      <c r="S8" s="25">
        <f t="shared" si="5"/>
        <v>-113.22</v>
      </c>
      <c r="T8" s="25">
        <f t="shared" si="5"/>
        <v>-113.22</v>
      </c>
      <c r="U8" s="25">
        <f t="shared" si="5"/>
        <v>-113.22</v>
      </c>
      <c r="V8" s="25">
        <f t="shared" si="5"/>
        <v>-113.22</v>
      </c>
      <c r="W8" s="25">
        <f t="shared" si="5"/>
        <v>-113.22</v>
      </c>
      <c r="X8" s="25">
        <f t="shared" si="5"/>
        <v>-113.22</v>
      </c>
    </row>
    <row r="9" spans="1:119" x14ac:dyDescent="0.25">
      <c r="C9" s="2" t="s">
        <v>41</v>
      </c>
      <c r="D9" s="57">
        <v>-38.485999999999997</v>
      </c>
      <c r="E9" s="57">
        <v>-56.4</v>
      </c>
      <c r="F9" s="57">
        <v>-75.756888000000004</v>
      </c>
      <c r="G9" s="57">
        <v>-106.93600000000001</v>
      </c>
      <c r="H9" s="57">
        <v>-121.107907</v>
      </c>
      <c r="I9" s="57">
        <v>-94.081000000000003</v>
      </c>
      <c r="J9" s="57">
        <v>-107.446</v>
      </c>
      <c r="K9" s="57">
        <v>-146</v>
      </c>
      <c r="L9" s="57">
        <v>-145</v>
      </c>
      <c r="M9" s="57">
        <v>-138</v>
      </c>
      <c r="N9" s="37">
        <v>-140</v>
      </c>
      <c r="O9" s="25">
        <f t="shared" si="5"/>
        <v>-140</v>
      </c>
      <c r="P9" s="25">
        <f t="shared" si="5"/>
        <v>-140</v>
      </c>
      <c r="Q9" s="25">
        <f t="shared" si="5"/>
        <v>-140</v>
      </c>
      <c r="R9" s="25">
        <f t="shared" si="5"/>
        <v>-140</v>
      </c>
      <c r="S9" s="25">
        <f t="shared" si="5"/>
        <v>-140</v>
      </c>
      <c r="T9" s="25">
        <f t="shared" si="5"/>
        <v>-140</v>
      </c>
      <c r="U9" s="25">
        <f t="shared" si="5"/>
        <v>-140</v>
      </c>
      <c r="V9" s="25">
        <f t="shared" si="5"/>
        <v>-140</v>
      </c>
      <c r="W9" s="25">
        <f t="shared" si="5"/>
        <v>-140</v>
      </c>
      <c r="X9" s="25">
        <f t="shared" si="5"/>
        <v>-140</v>
      </c>
    </row>
    <row r="10" spans="1:119" x14ac:dyDescent="0.25">
      <c r="C10" s="2" t="s">
        <v>126</v>
      </c>
      <c r="D10" s="57">
        <f>D5+D7+D8+D9</f>
        <v>-255.74299999999997</v>
      </c>
      <c r="E10" s="57">
        <f t="shared" ref="E10:X10" si="6">E5+E7+E8+E9</f>
        <v>-385.09999999999997</v>
      </c>
      <c r="F10" s="57">
        <f t="shared" si="6"/>
        <v>-554.07491699999991</v>
      </c>
      <c r="G10" s="57">
        <f t="shared" si="6"/>
        <v>-745.37566000000004</v>
      </c>
      <c r="H10" s="57">
        <f t="shared" si="6"/>
        <v>-915.76294799999982</v>
      </c>
      <c r="I10" s="57">
        <f t="shared" si="6"/>
        <v>-1182.5039999999999</v>
      </c>
      <c r="J10" s="57">
        <f t="shared" si="6"/>
        <v>-1340.3969999999999</v>
      </c>
      <c r="K10" s="57">
        <f t="shared" si="6"/>
        <v>-1511</v>
      </c>
      <c r="L10" s="57">
        <f t="shared" si="6"/>
        <v>-1563</v>
      </c>
      <c r="M10" s="57">
        <f t="shared" si="6"/>
        <v>-1589</v>
      </c>
      <c r="N10" s="37">
        <f t="shared" si="6"/>
        <v>-1687.13</v>
      </c>
      <c r="O10" s="25">
        <f t="shared" si="6"/>
        <v>-1687.13</v>
      </c>
      <c r="P10" s="25">
        <f t="shared" si="6"/>
        <v>-1687.13</v>
      </c>
      <c r="Q10" s="25">
        <f t="shared" si="6"/>
        <v>-1687.13</v>
      </c>
      <c r="R10" s="25">
        <f t="shared" si="6"/>
        <v>-1687.13</v>
      </c>
      <c r="S10" s="25">
        <f t="shared" si="6"/>
        <v>-1687.13</v>
      </c>
      <c r="T10" s="25">
        <f t="shared" si="6"/>
        <v>-1687.13</v>
      </c>
      <c r="U10" s="25">
        <f t="shared" si="6"/>
        <v>-1687.13</v>
      </c>
      <c r="V10" s="25">
        <f t="shared" si="6"/>
        <v>-1687.13</v>
      </c>
      <c r="W10" s="25">
        <f t="shared" si="6"/>
        <v>-1687.13</v>
      </c>
      <c r="X10" s="25">
        <f t="shared" si="6"/>
        <v>-1687.13</v>
      </c>
    </row>
    <row r="11" spans="1:119" x14ac:dyDescent="0.25">
      <c r="C11" s="1" t="s">
        <v>42</v>
      </c>
      <c r="D11" s="58">
        <f>D4+D10</f>
        <v>22.086000000000041</v>
      </c>
      <c r="E11" s="58">
        <f>E4+E10</f>
        <v>32.351000000000056</v>
      </c>
      <c r="F11" s="58">
        <f>F4+F10</f>
        <v>39.700577000000067</v>
      </c>
      <c r="G11" s="58">
        <f>G4+G10</f>
        <v>41.191758999999934</v>
      </c>
      <c r="H11" s="58">
        <f>H4+H10</f>
        <v>48.39689900000019</v>
      </c>
      <c r="I11" s="58">
        <f>I4+I10</f>
        <v>133.3900000000001</v>
      </c>
      <c r="J11" s="58">
        <f>J4+J10</f>
        <v>144.93299999999999</v>
      </c>
      <c r="K11" s="58">
        <f>K4+K10</f>
        <v>114</v>
      </c>
      <c r="L11" s="58">
        <f>L4+L10</f>
        <v>42</v>
      </c>
      <c r="M11" s="58">
        <f>M4+M10</f>
        <v>37</v>
      </c>
      <c r="N11" s="36">
        <f>N4+N10</f>
        <v>101.47000000000003</v>
      </c>
      <c r="O11" s="24">
        <f>O4+O10</f>
        <v>101.47000000000003</v>
      </c>
      <c r="P11" s="24">
        <f>P4+P10</f>
        <v>101.47000000000003</v>
      </c>
      <c r="Q11" s="24">
        <f>Q4+Q10</f>
        <v>101.47000000000003</v>
      </c>
      <c r="R11" s="24">
        <f>R4+R10</f>
        <v>101.47000000000003</v>
      </c>
      <c r="S11" s="24">
        <f>S4+S10</f>
        <v>101.47000000000003</v>
      </c>
      <c r="T11" s="24">
        <f>T4+T10</f>
        <v>101.47000000000003</v>
      </c>
      <c r="U11" s="24">
        <f>U4+U10</f>
        <v>101.47000000000003</v>
      </c>
      <c r="V11" s="24">
        <f>V4+V10</f>
        <v>101.47000000000003</v>
      </c>
      <c r="W11" s="24">
        <f>W4+W10</f>
        <v>101.47000000000003</v>
      </c>
      <c r="X11" s="24">
        <f>X4+X10</f>
        <v>101.47000000000003</v>
      </c>
    </row>
    <row r="12" spans="1:119" x14ac:dyDescent="0.25">
      <c r="C12" s="2" t="s">
        <v>43</v>
      </c>
      <c r="D12" s="57">
        <v>-8.4960000000000004</v>
      </c>
      <c r="E12" s="57">
        <v>-9.4</v>
      </c>
      <c r="F12" s="57">
        <v>-15.442</v>
      </c>
      <c r="G12" s="57">
        <v>-18.718</v>
      </c>
      <c r="H12" s="57">
        <v>-15</v>
      </c>
      <c r="I12" s="57">
        <v>-29.196000000000002</v>
      </c>
      <c r="J12" s="57">
        <v>-20.353999999999999</v>
      </c>
      <c r="K12" s="57">
        <v>-46</v>
      </c>
      <c r="L12" s="57">
        <v>-56</v>
      </c>
      <c r="M12" s="57">
        <v>5</v>
      </c>
      <c r="N12" s="37">
        <v>-30</v>
      </c>
      <c r="O12" s="25">
        <v>-30</v>
      </c>
      <c r="P12" s="25">
        <v>-30</v>
      </c>
      <c r="Q12" s="25">
        <v>-30</v>
      </c>
      <c r="R12" s="25">
        <v>-30</v>
      </c>
      <c r="S12" s="25">
        <v>-30</v>
      </c>
      <c r="T12" s="25">
        <v>-30</v>
      </c>
      <c r="U12" s="25">
        <v>-30</v>
      </c>
      <c r="V12" s="25">
        <v>-30</v>
      </c>
      <c r="W12" s="25">
        <v>-30</v>
      </c>
      <c r="X12" s="25">
        <v>-30</v>
      </c>
    </row>
    <row r="13" spans="1:119" x14ac:dyDescent="0.25">
      <c r="C13" s="2" t="s">
        <v>44</v>
      </c>
      <c r="D13" s="57">
        <f t="shared" ref="D13:L13" si="7">SUM(D11:D12)</f>
        <v>13.590000000000041</v>
      </c>
      <c r="E13" s="57">
        <f t="shared" si="7"/>
        <v>22.951000000000057</v>
      </c>
      <c r="F13" s="57">
        <f t="shared" si="7"/>
        <v>24.258577000000066</v>
      </c>
      <c r="G13" s="57">
        <f t="shared" si="7"/>
        <v>22.473758999999934</v>
      </c>
      <c r="H13" s="57">
        <f t="shared" si="7"/>
        <v>33.39689900000019</v>
      </c>
      <c r="I13" s="57">
        <f t="shared" si="7"/>
        <v>104.1940000000001</v>
      </c>
      <c r="J13" s="57">
        <f t="shared" si="7"/>
        <v>124.57899999999999</v>
      </c>
      <c r="K13" s="57">
        <f t="shared" si="7"/>
        <v>68</v>
      </c>
      <c r="L13" s="57">
        <f t="shared" si="7"/>
        <v>-14</v>
      </c>
      <c r="M13" s="57">
        <f>SUM(M11:M12)</f>
        <v>42</v>
      </c>
      <c r="N13" s="37">
        <f t="shared" ref="N13:X13" si="8">SUM(N11:N12)</f>
        <v>71.470000000000027</v>
      </c>
      <c r="O13" s="25">
        <f t="shared" si="8"/>
        <v>71.470000000000027</v>
      </c>
      <c r="P13" s="25">
        <f t="shared" si="8"/>
        <v>71.470000000000027</v>
      </c>
      <c r="Q13" s="25">
        <f t="shared" si="8"/>
        <v>71.470000000000027</v>
      </c>
      <c r="R13" s="25">
        <f t="shared" si="8"/>
        <v>71.470000000000027</v>
      </c>
      <c r="S13" s="25">
        <f t="shared" si="8"/>
        <v>71.470000000000027</v>
      </c>
      <c r="T13" s="25">
        <f t="shared" si="8"/>
        <v>71.470000000000027</v>
      </c>
      <c r="U13" s="25">
        <f t="shared" si="8"/>
        <v>71.470000000000027</v>
      </c>
      <c r="V13" s="25">
        <f t="shared" si="8"/>
        <v>71.470000000000027</v>
      </c>
      <c r="W13" s="25">
        <f t="shared" si="8"/>
        <v>71.470000000000027</v>
      </c>
      <c r="X13" s="25">
        <f t="shared" si="8"/>
        <v>71.470000000000027</v>
      </c>
    </row>
    <row r="14" spans="1:119" x14ac:dyDescent="0.25">
      <c r="C14" s="2" t="s">
        <v>45</v>
      </c>
      <c r="D14" s="57">
        <v>-6.7</v>
      </c>
      <c r="E14" s="57">
        <v>-9</v>
      </c>
      <c r="F14" s="57">
        <v>-9.5</v>
      </c>
      <c r="G14" s="57">
        <v>-7.9</v>
      </c>
      <c r="H14" s="57">
        <v>-9.6</v>
      </c>
      <c r="I14" s="57">
        <v>-22.919</v>
      </c>
      <c r="J14" s="57">
        <v>-27.327999999999999</v>
      </c>
      <c r="K14" s="57">
        <v>-17</v>
      </c>
      <c r="L14" s="57">
        <v>4</v>
      </c>
      <c r="M14" s="57">
        <v>-4</v>
      </c>
      <c r="N14" s="37">
        <f>N13*-0.22</f>
        <v>-15.723400000000007</v>
      </c>
      <c r="O14" s="25">
        <f t="shared" ref="O14:X14" si="9">O13*-0.22</f>
        <v>-15.723400000000007</v>
      </c>
      <c r="P14" s="25">
        <f t="shared" si="9"/>
        <v>-15.723400000000007</v>
      </c>
      <c r="Q14" s="25">
        <f t="shared" si="9"/>
        <v>-15.723400000000007</v>
      </c>
      <c r="R14" s="25">
        <f t="shared" si="9"/>
        <v>-15.723400000000007</v>
      </c>
      <c r="S14" s="25">
        <f t="shared" si="9"/>
        <v>-15.723400000000007</v>
      </c>
      <c r="T14" s="25">
        <f t="shared" si="9"/>
        <v>-15.723400000000007</v>
      </c>
      <c r="U14" s="25">
        <f t="shared" si="9"/>
        <v>-15.723400000000007</v>
      </c>
      <c r="V14" s="25">
        <f t="shared" si="9"/>
        <v>-15.723400000000007</v>
      </c>
      <c r="W14" s="25">
        <f t="shared" si="9"/>
        <v>-15.723400000000007</v>
      </c>
      <c r="X14" s="25">
        <f t="shared" si="9"/>
        <v>-15.723400000000007</v>
      </c>
    </row>
    <row r="15" spans="1:119" x14ac:dyDescent="0.25">
      <c r="C15" s="1" t="s">
        <v>46</v>
      </c>
      <c r="D15" s="58">
        <f t="shared" ref="D15:J15" si="10">SUM(D13:D14)</f>
        <v>6.8900000000000405</v>
      </c>
      <c r="E15" s="58">
        <f t="shared" si="10"/>
        <v>13.951000000000057</v>
      </c>
      <c r="F15" s="58">
        <f t="shared" si="10"/>
        <v>14.758577000000066</v>
      </c>
      <c r="G15" s="58">
        <f t="shared" si="10"/>
        <v>14.573758999999933</v>
      </c>
      <c r="H15" s="58">
        <f t="shared" si="10"/>
        <v>23.796899000000188</v>
      </c>
      <c r="I15" s="58">
        <f t="shared" si="10"/>
        <v>81.275000000000105</v>
      </c>
      <c r="J15" s="58">
        <f t="shared" si="10"/>
        <v>97.250999999999991</v>
      </c>
      <c r="K15" s="58">
        <f>SUM(K13:K14)</f>
        <v>51</v>
      </c>
      <c r="L15" s="58">
        <f>SUM(L13:L14)</f>
        <v>-10</v>
      </c>
      <c r="M15" s="58">
        <f>SUM(M13:M14)</f>
        <v>38</v>
      </c>
      <c r="N15" s="36">
        <f t="shared" ref="N15:X15" si="11">SUM(N13:N14)</f>
        <v>55.746600000000022</v>
      </c>
      <c r="O15" s="24">
        <f t="shared" si="11"/>
        <v>55.746600000000022</v>
      </c>
      <c r="P15" s="24">
        <f t="shared" si="11"/>
        <v>55.746600000000022</v>
      </c>
      <c r="Q15" s="24">
        <f t="shared" si="11"/>
        <v>55.746600000000022</v>
      </c>
      <c r="R15" s="24">
        <f t="shared" si="11"/>
        <v>55.746600000000022</v>
      </c>
      <c r="S15" s="24">
        <f t="shared" si="11"/>
        <v>55.746600000000022</v>
      </c>
      <c r="T15" s="24">
        <f t="shared" si="11"/>
        <v>55.746600000000022</v>
      </c>
      <c r="U15" s="24">
        <f t="shared" si="11"/>
        <v>55.746600000000022</v>
      </c>
      <c r="V15" s="24">
        <f t="shared" si="11"/>
        <v>55.746600000000022</v>
      </c>
      <c r="W15" s="24">
        <f t="shared" si="11"/>
        <v>55.746600000000022</v>
      </c>
      <c r="X15" s="24">
        <f t="shared" si="11"/>
        <v>55.746600000000022</v>
      </c>
      <c r="Y15" s="30">
        <f>X15*(1+$AA$19)</f>
        <v>55.189134000000024</v>
      </c>
      <c r="Z15" s="30">
        <f>Y15*(1+$AA$19)</f>
        <v>54.637242660000027</v>
      </c>
      <c r="AA15" s="30">
        <f>Z15*(1+$AA$19)</f>
        <v>54.090870233400025</v>
      </c>
      <c r="AB15" s="30">
        <f>AA15*(1+$AA$19)</f>
        <v>53.549961531066025</v>
      </c>
      <c r="AC15" s="30">
        <f>AB15*(1+$AA$19)</f>
        <v>53.014461915755362</v>
      </c>
      <c r="AD15" s="30">
        <f>AC15*(1+$AA$19)</f>
        <v>52.484317296597808</v>
      </c>
      <c r="AE15" s="30">
        <f>AD15*(1+$AA$19)</f>
        <v>51.959474123631828</v>
      </c>
      <c r="AF15" s="30">
        <f>AE15*(1+$AA$19)</f>
        <v>51.43987938239551</v>
      </c>
      <c r="AG15" s="30">
        <f>AF15*(1+$AA$19)</f>
        <v>50.925480588571553</v>
      </c>
      <c r="AH15" s="30">
        <f>AG15*(1+$AA$19)</f>
        <v>50.416225782685835</v>
      </c>
      <c r="AI15" s="30">
        <f>AH15*(1+$AA$19)</f>
        <v>49.912063524858979</v>
      </c>
      <c r="AJ15" s="30">
        <f>AI15*(1+$AA$19)</f>
        <v>49.412942889610392</v>
      </c>
      <c r="AK15" s="30">
        <f>AJ15*(1+$AA$19)</f>
        <v>48.91881346071429</v>
      </c>
      <c r="AL15" s="30">
        <f>AK15*(1+$AA$19)</f>
        <v>48.42962532610715</v>
      </c>
      <c r="AM15" s="30">
        <f>AL15*(1+$AA$19)</f>
        <v>47.945329072846079</v>
      </c>
      <c r="AN15" s="30">
        <f>AM15*(1+$AA$19)</f>
        <v>47.465875782117621</v>
      </c>
      <c r="AO15" s="30">
        <f>AN15*(1+$AA$19)</f>
        <v>46.991217024296446</v>
      </c>
      <c r="AP15" s="30">
        <f>AO15*(1+$AA$19)</f>
        <v>46.521304854053483</v>
      </c>
      <c r="AQ15" s="30">
        <f>AP15*(1+$AA$19)</f>
        <v>46.056091805512949</v>
      </c>
      <c r="AR15" s="30">
        <f>AQ15*(1+$AA$19)</f>
        <v>45.595530887457819</v>
      </c>
      <c r="AS15" s="30">
        <f>AR15*(1+$AA$19)</f>
        <v>45.139575578583241</v>
      </c>
      <c r="AT15" s="30">
        <f>AS15*(1+$AA$19)</f>
        <v>44.688179822797409</v>
      </c>
      <c r="AU15" s="30">
        <f>AT15*(1+$AA$19)</f>
        <v>44.241298024569431</v>
      </c>
      <c r="AV15" s="30">
        <f>AU15*(1+$AA$19)</f>
        <v>43.79888504432374</v>
      </c>
      <c r="AW15" s="30">
        <f>AV15*(1+$AA$19)</f>
        <v>43.3608961938805</v>
      </c>
      <c r="AX15" s="30">
        <f>AW15*(1+$AA$19)</f>
        <v>42.927287231941698</v>
      </c>
      <c r="AY15" s="30">
        <f>AX15*(1+$AA$19)</f>
        <v>42.498014359622282</v>
      </c>
      <c r="AZ15" s="30">
        <f>AY15*(1+$AA$19)</f>
        <v>42.073034216026059</v>
      </c>
      <c r="BA15" s="30">
        <f>AZ15*(1+$AA$19)</f>
        <v>41.652303873865797</v>
      </c>
      <c r="BB15" s="30">
        <f>BA15*(1+$AA$19)</f>
        <v>41.235780835127137</v>
      </c>
      <c r="BC15" s="30">
        <f>BB15*(1+$AA$19)</f>
        <v>40.823423026775863</v>
      </c>
      <c r="BD15" s="30">
        <f>BC15*(1+$AA$19)</f>
        <v>40.415188796508104</v>
      </c>
      <c r="BE15" s="30">
        <f>BD15*(1+$AA$19)</f>
        <v>40.011036908543026</v>
      </c>
      <c r="BF15" s="30">
        <f>BE15*(1+$AA$19)</f>
        <v>39.610926539457594</v>
      </c>
      <c r="BG15" s="30">
        <f>BF15*(1+$AA$19)</f>
        <v>39.214817274063016</v>
      </c>
      <c r="BH15" s="30">
        <f>BG15*(1+$AA$19)</f>
        <v>38.822669101322383</v>
      </c>
      <c r="BI15" s="30">
        <f>BH15*(1+$AA$19)</f>
        <v>38.43444241030916</v>
      </c>
      <c r="BJ15" s="30">
        <f>BI15*(1+$AA$19)</f>
        <v>38.050097986206069</v>
      </c>
      <c r="BK15" s="30">
        <f>BJ15*(1+$AA$19)</f>
        <v>37.669597006344006</v>
      </c>
      <c r="BL15" s="30">
        <f>BK15*(1+$AA$19)</f>
        <v>37.292901036280568</v>
      </c>
      <c r="BM15" s="30">
        <f>BL15*(1+$AA$19)</f>
        <v>36.919972025917765</v>
      </c>
      <c r="BN15" s="30">
        <f>BM15*(1+$AA$19)</f>
        <v>36.55077230565859</v>
      </c>
      <c r="BO15" s="30">
        <f>BN15*(1+$AA$19)</f>
        <v>36.185264582602002</v>
      </c>
      <c r="BP15" s="30">
        <f>BO15*(1+$AA$19)</f>
        <v>35.823411936775983</v>
      </c>
      <c r="BQ15" s="30">
        <f>BP15*(1+$AA$19)</f>
        <v>35.465177817408225</v>
      </c>
      <c r="BR15" s="30">
        <f>BQ15*(1+$AA$19)</f>
        <v>35.110526039234145</v>
      </c>
      <c r="BS15" s="30">
        <f>BR15*(1+$AA$19)</f>
        <v>34.7594207788418</v>
      </c>
      <c r="BT15" s="30">
        <f>BS15*(1+$AA$19)</f>
        <v>34.411826571053382</v>
      </c>
      <c r="BU15" s="30">
        <f>BT15*(1+$AA$19)</f>
        <v>34.067708305342848</v>
      </c>
      <c r="BV15" s="30">
        <f>BU15*(1+$AA$19)</f>
        <v>33.727031222289419</v>
      </c>
      <c r="BW15" s="30">
        <f>BV15*(1+$AA$19)</f>
        <v>33.389760910066528</v>
      </c>
      <c r="BX15" s="30">
        <f>BW15*(1+$AA$19)</f>
        <v>33.055863300965861</v>
      </c>
      <c r="BY15" s="30">
        <f>BX15*(1+$AA$19)</f>
        <v>32.725304667956202</v>
      </c>
      <c r="BZ15" s="30">
        <f>BY15*(1+$AA$19)</f>
        <v>32.398051621276636</v>
      </c>
      <c r="CA15" s="30">
        <f>BZ15*(1+$AA$19)</f>
        <v>32.074071105063872</v>
      </c>
      <c r="CB15" s="30">
        <f>CA15*(1+$AA$19)</f>
        <v>31.753330394013233</v>
      </c>
      <c r="CC15" s="30">
        <f>CB15*(1+$AA$19)</f>
        <v>31.435797090073102</v>
      </c>
      <c r="CD15" s="30">
        <f>CC15*(1+$AA$19)</f>
        <v>31.121439119172372</v>
      </c>
      <c r="CE15" s="30">
        <f>CD15*(1+$AA$19)</f>
        <v>30.81022472798065</v>
      </c>
      <c r="CF15" s="30">
        <f>CE15*(1+$AA$19)</f>
        <v>30.502122480700844</v>
      </c>
      <c r="CG15" s="30">
        <f>CF15*(1+$AA$19)</f>
        <v>30.197101255893834</v>
      </c>
      <c r="CH15" s="30">
        <f>CG15*(1+$AA$19)</f>
        <v>29.895130243334897</v>
      </c>
      <c r="CI15" s="30">
        <f>CH15*(1+$AA$19)</f>
        <v>29.596178940901549</v>
      </c>
      <c r="CJ15" s="30">
        <f>CI15*(1+$AA$19)</f>
        <v>29.300217151492532</v>
      </c>
      <c r="CK15" s="30">
        <f>CJ15*(1+$AA$19)</f>
        <v>29.007214979977608</v>
      </c>
      <c r="CL15" s="30">
        <f>CK15*(1+$AA$19)</f>
        <v>28.717142830177831</v>
      </c>
      <c r="CM15" s="30">
        <f>CL15*(1+$AA$19)</f>
        <v>28.429971401876053</v>
      </c>
      <c r="CN15" s="30">
        <f>CM15*(1+$AA$19)</f>
        <v>28.145671687857291</v>
      </c>
      <c r="CO15" s="30">
        <f>CN15*(1+$AA$19)</f>
        <v>27.864214970978718</v>
      </c>
      <c r="CP15" s="30">
        <f>CO15*(1+$AA$19)</f>
        <v>27.585572821268929</v>
      </c>
      <c r="CQ15" s="30">
        <f>CP15*(1+$AA$19)</f>
        <v>27.309717093056239</v>
      </c>
      <c r="CR15" s="30">
        <f>CQ15*(1+$AA$19)</f>
        <v>27.036619922125677</v>
      </c>
      <c r="CS15" s="30">
        <f>CR15*(1+$AA$19)</f>
        <v>26.76625372290442</v>
      </c>
      <c r="CT15" s="30">
        <f>CS15*(1+$AA$19)</f>
        <v>26.498591185675377</v>
      </c>
      <c r="CU15" s="30">
        <f>CT15*(1+$AA$19)</f>
        <v>26.233605273818622</v>
      </c>
      <c r="CV15" s="30">
        <f>CU15*(1+$AA$19)</f>
        <v>25.971269221080437</v>
      </c>
      <c r="CW15" s="30">
        <f>CV15*(1+$AA$19)</f>
        <v>25.711556528869632</v>
      </c>
      <c r="CX15" s="30">
        <f>CW15*(1+$AA$19)</f>
        <v>25.454440963580936</v>
      </c>
      <c r="CY15" s="30">
        <f>CX15*(1+$AA$19)</f>
        <v>25.199896553945127</v>
      </c>
      <c r="CZ15" s="30">
        <f>CY15*(1+$AA$19)</f>
        <v>24.947897588405674</v>
      </c>
      <c r="DA15" s="30">
        <f>CZ15*(1+$AA$19)</f>
        <v>24.698418612521618</v>
      </c>
      <c r="DB15" s="30">
        <f>DA15*(1+$AA$19)</f>
        <v>24.4514344263964</v>
      </c>
      <c r="DC15" s="30">
        <f>DB15*(1+$AA$19)</f>
        <v>24.206920082132434</v>
      </c>
      <c r="DD15" s="30">
        <f>DC15*(1+$AA$19)</f>
        <v>23.964850881311111</v>
      </c>
      <c r="DE15" s="30">
        <f>DD15*(1+$AA$19)</f>
        <v>23.725202372498</v>
      </c>
      <c r="DF15" s="30">
        <f>DE15*(1+$AA$19)</f>
        <v>23.487950348773019</v>
      </c>
      <c r="DG15" s="30">
        <f>DF15*(1+$AA$19)</f>
        <v>23.25307084528529</v>
      </c>
      <c r="DH15" s="30">
        <f>DG15*(1+$AA$19)</f>
        <v>23.020540136832437</v>
      </c>
      <c r="DI15" s="30">
        <f>DH15*(1+$AA$19)</f>
        <v>22.790334735464114</v>
      </c>
      <c r="DJ15" s="30">
        <f>DI15*(1+$AA$19)</f>
        <v>22.562431388109474</v>
      </c>
      <c r="DK15" s="30">
        <f>DJ15*(1+$AA$19)</f>
        <v>22.336807074228378</v>
      </c>
      <c r="DL15" s="30">
        <f>DK15*(1+$AA$19)</f>
        <v>22.113439003486093</v>
      </c>
      <c r="DM15" s="30">
        <f>DL15*(1+$AA$19)</f>
        <v>21.89230461345123</v>
      </c>
      <c r="DN15" s="30">
        <f>DM15*(1+$AA$19)</f>
        <v>21.673381567316717</v>
      </c>
      <c r="DO15" s="30">
        <f>DN15*(1+$AA$19)</f>
        <v>21.456647751643551</v>
      </c>
    </row>
    <row r="16" spans="1:119" x14ac:dyDescent="0.25">
      <c r="C16" s="2" t="s">
        <v>47</v>
      </c>
      <c r="D16" s="49"/>
      <c r="E16" s="49"/>
      <c r="F16" s="49"/>
      <c r="G16" s="49"/>
      <c r="H16" s="49"/>
      <c r="I16" s="51">
        <v>21.3</v>
      </c>
      <c r="J16" s="51">
        <v>21.3</v>
      </c>
      <c r="K16" s="51">
        <v>50.782200000000003</v>
      </c>
      <c r="L16" s="51">
        <v>50.782200000000003</v>
      </c>
      <c r="M16" s="51">
        <v>50.782200000000003</v>
      </c>
      <c r="N16" s="11">
        <v>50.782200000000003</v>
      </c>
      <c r="O16" s="12">
        <v>50.782200000000003</v>
      </c>
      <c r="P16" s="12">
        <v>50.782200000000003</v>
      </c>
      <c r="Q16" s="12">
        <v>50.782200000000003</v>
      </c>
      <c r="R16" s="12">
        <v>50.782200000000003</v>
      </c>
      <c r="S16" s="12">
        <v>50.782200000000003</v>
      </c>
      <c r="T16" s="12">
        <v>50.782200000000003</v>
      </c>
      <c r="U16" s="12">
        <v>50.782200000000003</v>
      </c>
      <c r="V16" s="12">
        <v>50.782200000000003</v>
      </c>
      <c r="W16" s="12">
        <v>50.782200000000003</v>
      </c>
      <c r="X16" s="12">
        <v>50.782200000000003</v>
      </c>
    </row>
    <row r="17" spans="1:27" x14ac:dyDescent="0.25">
      <c r="C17" s="2" t="s">
        <v>48</v>
      </c>
      <c r="D17" s="49"/>
      <c r="E17" s="49"/>
      <c r="F17" s="49"/>
      <c r="G17" s="49"/>
      <c r="H17" s="49"/>
      <c r="I17" s="50">
        <f>I15/I16</f>
        <v>3.8157276995305214</v>
      </c>
      <c r="J17" s="50">
        <f>J15/J16</f>
        <v>4.5657746478873236</v>
      </c>
      <c r="K17" s="50">
        <f t="shared" ref="K17:X17" si="12">K15/K16</f>
        <v>1.0042889043798811</v>
      </c>
      <c r="L17" s="50">
        <f t="shared" si="12"/>
        <v>-0.19691939301566297</v>
      </c>
      <c r="M17" s="50">
        <f t="shared" si="12"/>
        <v>0.74829369345951924</v>
      </c>
      <c r="N17" s="10">
        <f t="shared" si="12"/>
        <v>1.097758663468696</v>
      </c>
      <c r="O17" s="13">
        <f t="shared" si="12"/>
        <v>1.097758663468696</v>
      </c>
      <c r="P17" s="13">
        <f t="shared" si="12"/>
        <v>1.097758663468696</v>
      </c>
      <c r="Q17" s="13">
        <f t="shared" si="12"/>
        <v>1.097758663468696</v>
      </c>
      <c r="R17" s="13">
        <f t="shared" si="12"/>
        <v>1.097758663468696</v>
      </c>
      <c r="S17" s="13">
        <f t="shared" si="12"/>
        <v>1.097758663468696</v>
      </c>
      <c r="T17" s="13">
        <f t="shared" si="12"/>
        <v>1.097758663468696</v>
      </c>
      <c r="U17" s="13">
        <f t="shared" si="12"/>
        <v>1.097758663468696</v>
      </c>
      <c r="V17" s="13">
        <f t="shared" si="12"/>
        <v>1.097758663468696</v>
      </c>
      <c r="W17" s="13">
        <f t="shared" si="12"/>
        <v>1.097758663468696</v>
      </c>
      <c r="X17" s="13">
        <f t="shared" si="12"/>
        <v>1.097758663468696</v>
      </c>
    </row>
    <row r="18" spans="1:27" x14ac:dyDescent="0.25"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"/>
      <c r="Z18" s="2" t="s">
        <v>94</v>
      </c>
      <c r="AA18" s="29">
        <v>0.08</v>
      </c>
    </row>
    <row r="19" spans="1:27" x14ac:dyDescent="0.25">
      <c r="C19" s="1" t="s">
        <v>34</v>
      </c>
      <c r="D19" s="49"/>
      <c r="E19" s="56">
        <f>(E4-D4)/D4</f>
        <v>0.50254653041979058</v>
      </c>
      <c r="F19" s="56">
        <f>(F4-E4)/E4</f>
        <v>0.42238369054092562</v>
      </c>
      <c r="G19" s="56">
        <f>(G4-F4)/F4</f>
        <v>0.32468824824892489</v>
      </c>
      <c r="H19" s="56">
        <f>(H4-G4)/G4</f>
        <v>0.22578157156036494</v>
      </c>
      <c r="I19" s="56">
        <f>(I4-H4)/H4</f>
        <v>0.36480896201436608</v>
      </c>
      <c r="J19" s="56">
        <f>(J4-I4)/I4</f>
        <v>0.12876113121573615</v>
      </c>
      <c r="K19" s="56">
        <f>(K4-J4)/J4</f>
        <v>9.4032975837019431E-2</v>
      </c>
      <c r="L19" s="56">
        <f>(L4-K4)/K4</f>
        <v>-1.2307692307692308E-2</v>
      </c>
      <c r="M19" s="56">
        <f>(M4-L4)/L4</f>
        <v>1.3084112149532711E-2</v>
      </c>
      <c r="N19" s="17">
        <f>(N4-M4)/M4</f>
        <v>0.10000000000000009</v>
      </c>
      <c r="O19" s="16">
        <f>(O4-N4)/N4</f>
        <v>0</v>
      </c>
      <c r="P19" s="16">
        <f>(P4-O4)/O4</f>
        <v>0</v>
      </c>
      <c r="Q19" s="16">
        <f>(Q4-P4)/P4</f>
        <v>0</v>
      </c>
      <c r="R19" s="16">
        <f>(R4-Q4)/Q4</f>
        <v>0</v>
      </c>
      <c r="S19" s="16">
        <f>(S4-R4)/R4</f>
        <v>0</v>
      </c>
      <c r="T19" s="16">
        <f>(T4-S4)/S4</f>
        <v>0</v>
      </c>
      <c r="U19" s="16">
        <f>(U4-T4)/T4</f>
        <v>0</v>
      </c>
      <c r="V19" s="16">
        <f>(V4-U4)/U4</f>
        <v>0</v>
      </c>
      <c r="W19" s="16">
        <f>(W4-V4)/V4</f>
        <v>0</v>
      </c>
      <c r="X19" s="16">
        <f>(X4-W4)/W4</f>
        <v>0</v>
      </c>
      <c r="Z19" s="2" t="s">
        <v>95</v>
      </c>
      <c r="AA19" s="29">
        <v>-0.01</v>
      </c>
    </row>
    <row r="20" spans="1:27" x14ac:dyDescent="0.25">
      <c r="C20" s="1" t="s">
        <v>125</v>
      </c>
      <c r="D20" s="59"/>
      <c r="E20" s="59"/>
      <c r="F20" s="59"/>
      <c r="G20" s="59"/>
      <c r="H20" s="59"/>
      <c r="I20" s="56"/>
      <c r="J20" s="56"/>
      <c r="K20" s="56"/>
      <c r="L20" s="56"/>
      <c r="M20" s="56"/>
      <c r="N20" s="38"/>
      <c r="O20" s="19"/>
      <c r="P20" s="19"/>
      <c r="Q20" s="19"/>
      <c r="R20" s="19"/>
      <c r="S20" s="19"/>
      <c r="T20" s="19"/>
      <c r="U20" s="19"/>
      <c r="V20" s="19"/>
      <c r="W20" s="19"/>
      <c r="X20" s="19"/>
      <c r="Z20" s="22" t="s">
        <v>96</v>
      </c>
      <c r="AA20" s="31">
        <f>NPV(AA18,N15:DO15)</f>
        <v>660.90174421447239</v>
      </c>
    </row>
    <row r="21" spans="1:27" x14ac:dyDescent="0.25">
      <c r="C21" s="2" t="s">
        <v>127</v>
      </c>
      <c r="D21" s="49"/>
      <c r="E21" s="53">
        <f t="shared" ref="E21:M21" si="13">(E10-D10)/D10</f>
        <v>0.50580856563033993</v>
      </c>
      <c r="F21" s="53">
        <f t="shared" si="13"/>
        <v>0.43878191898208246</v>
      </c>
      <c r="G21" s="53">
        <f t="shared" si="13"/>
        <v>0.34526151090864154</v>
      </c>
      <c r="H21" s="53">
        <f t="shared" si="13"/>
        <v>0.22859250327546216</v>
      </c>
      <c r="I21" s="53">
        <f t="shared" si="13"/>
        <v>0.29127740162730426</v>
      </c>
      <c r="J21" s="53">
        <f t="shared" si="13"/>
        <v>0.13352428406161843</v>
      </c>
      <c r="K21" s="53">
        <f t="shared" si="13"/>
        <v>0.12727796317061293</v>
      </c>
      <c r="L21" s="53">
        <f t="shared" si="13"/>
        <v>3.4414295168762411E-2</v>
      </c>
      <c r="M21" s="53">
        <f t="shared" si="13"/>
        <v>1.6634676903390915E-2</v>
      </c>
      <c r="N21" s="15">
        <f>(N10-M10)/M10</f>
        <v>6.1755821271239845E-2</v>
      </c>
      <c r="O21" s="14">
        <f t="shared" ref="O21:X21" si="14">(O10-N10)/N10</f>
        <v>0</v>
      </c>
      <c r="P21" s="14">
        <f t="shared" si="14"/>
        <v>0</v>
      </c>
      <c r="Q21" s="14">
        <f t="shared" si="14"/>
        <v>0</v>
      </c>
      <c r="R21" s="14">
        <f t="shared" si="14"/>
        <v>0</v>
      </c>
      <c r="S21" s="14">
        <f t="shared" si="14"/>
        <v>0</v>
      </c>
      <c r="T21" s="14">
        <f t="shared" si="14"/>
        <v>0</v>
      </c>
      <c r="U21" s="14">
        <f t="shared" si="14"/>
        <v>0</v>
      </c>
      <c r="V21" s="14">
        <f t="shared" si="14"/>
        <v>0</v>
      </c>
      <c r="W21" s="14">
        <f t="shared" si="14"/>
        <v>0</v>
      </c>
      <c r="X21" s="14">
        <f t="shared" si="14"/>
        <v>0</v>
      </c>
      <c r="Z21" s="2" t="s">
        <v>2</v>
      </c>
      <c r="AA21" s="12">
        <v>50.782200000000003</v>
      </c>
    </row>
    <row r="22" spans="1:27" x14ac:dyDescent="0.25">
      <c r="C22" s="2" t="s">
        <v>86</v>
      </c>
      <c r="D22" s="53">
        <f t="shared" ref="D22:M22" si="15">D6/D4</f>
        <v>0.44788700963542322</v>
      </c>
      <c r="E22" s="53">
        <f t="shared" si="15"/>
        <v>0.4462655497291898</v>
      </c>
      <c r="F22" s="53">
        <f t="shared" si="15"/>
        <v>0.43406159837239766</v>
      </c>
      <c r="G22" s="53">
        <f t="shared" si="15"/>
        <v>0.40976950381414157</v>
      </c>
      <c r="H22" s="53">
        <f t="shared" si="15"/>
        <v>0.38841151512919214</v>
      </c>
      <c r="I22" s="53">
        <f t="shared" si="15"/>
        <v>0.3932725584279585</v>
      </c>
      <c r="J22" s="53">
        <f t="shared" si="15"/>
        <v>0.38578968983323569</v>
      </c>
      <c r="K22" s="53">
        <f t="shared" si="15"/>
        <v>0.37353846153846154</v>
      </c>
      <c r="L22" s="53">
        <f t="shared" si="15"/>
        <v>0.34579439252336447</v>
      </c>
      <c r="M22" s="53">
        <f t="shared" si="15"/>
        <v>0.33948339483394835</v>
      </c>
      <c r="N22" s="15">
        <f>N6/N4</f>
        <v>0.35</v>
      </c>
      <c r="O22" s="53">
        <f t="shared" ref="O22:X22" si="16">O6/O4</f>
        <v>0.35</v>
      </c>
      <c r="P22" s="53">
        <f t="shared" si="16"/>
        <v>0.35</v>
      </c>
      <c r="Q22" s="53">
        <f t="shared" si="16"/>
        <v>0.35</v>
      </c>
      <c r="R22" s="53">
        <f t="shared" si="16"/>
        <v>0.35</v>
      </c>
      <c r="S22" s="53">
        <f t="shared" si="16"/>
        <v>0.35</v>
      </c>
      <c r="T22" s="53">
        <f t="shared" si="16"/>
        <v>0.35</v>
      </c>
      <c r="U22" s="53">
        <f t="shared" si="16"/>
        <v>0.35</v>
      </c>
      <c r="V22" s="53">
        <f t="shared" si="16"/>
        <v>0.35</v>
      </c>
      <c r="W22" s="53">
        <f t="shared" si="16"/>
        <v>0.35</v>
      </c>
      <c r="X22" s="53">
        <f t="shared" si="16"/>
        <v>0.35</v>
      </c>
      <c r="Z22" s="1" t="s">
        <v>97</v>
      </c>
      <c r="AA22" s="32">
        <f>AA20/AA21</f>
        <v>13.014437031370685</v>
      </c>
    </row>
    <row r="23" spans="1:27" x14ac:dyDescent="0.25">
      <c r="C23" s="2" t="s">
        <v>53</v>
      </c>
      <c r="D23" s="14">
        <f>D11/D4</f>
        <v>7.9494941132855254E-2</v>
      </c>
      <c r="E23" s="14">
        <f>E11/E4</f>
        <v>7.749652054971734E-2</v>
      </c>
      <c r="F23" s="14">
        <f>F11/F4</f>
        <v>6.6861258844744559E-2</v>
      </c>
      <c r="G23" s="14">
        <f>G11/G4</f>
        <v>5.2369012502919261E-2</v>
      </c>
      <c r="H23" s="14">
        <f>H11/H4</f>
        <v>5.0195928766986073E-2</v>
      </c>
      <c r="I23" s="14">
        <f>I11/I4</f>
        <v>0.10136834729849069</v>
      </c>
      <c r="J23" s="14">
        <f>J11/J4</f>
        <v>9.7576296176607222E-2</v>
      </c>
      <c r="K23" s="14">
        <f>K11/K4</f>
        <v>7.015384615384615E-2</v>
      </c>
      <c r="L23" s="14">
        <f>L11/L4</f>
        <v>2.6168224299065422E-2</v>
      </c>
      <c r="M23" s="14">
        <f>M11/M4</f>
        <v>2.2755227552275523E-2</v>
      </c>
      <c r="N23" s="15">
        <f>N11/N4</f>
        <v>5.6731521860673165E-2</v>
      </c>
      <c r="O23" s="14">
        <f>O11/O4</f>
        <v>5.6731521860673165E-2</v>
      </c>
      <c r="P23" s="14">
        <f>P11/P4</f>
        <v>5.6731521860673165E-2</v>
      </c>
      <c r="Q23" s="14">
        <f>Q11/Q4</f>
        <v>5.6731521860673165E-2</v>
      </c>
      <c r="R23" s="14">
        <f>R11/R4</f>
        <v>5.6731521860673165E-2</v>
      </c>
      <c r="S23" s="14">
        <f>S11/S4</f>
        <v>5.6731521860673165E-2</v>
      </c>
      <c r="T23" s="14">
        <f>T11/T4</f>
        <v>5.6731521860673165E-2</v>
      </c>
      <c r="U23" s="14">
        <f>U11/U4</f>
        <v>5.6731521860673165E-2</v>
      </c>
      <c r="V23" s="14">
        <f>V11/V4</f>
        <v>5.6731521860673165E-2</v>
      </c>
      <c r="W23" s="14">
        <f>W11/W4</f>
        <v>5.6731521860673165E-2</v>
      </c>
      <c r="X23" s="14">
        <f>X11/X4</f>
        <v>5.6731521860673165E-2</v>
      </c>
      <c r="Z23" s="1" t="s">
        <v>98</v>
      </c>
      <c r="AA23" s="16">
        <f>(AA22-Modell!$B$4)/Modell!$B$4</f>
        <v>-0.1865976855393322</v>
      </c>
    </row>
    <row r="24" spans="1:27" s="22" customFormat="1" x14ac:dyDescent="0.25">
      <c r="B24" s="60"/>
      <c r="C24" s="22" t="s">
        <v>129</v>
      </c>
      <c r="D24" s="61">
        <v>0.379</v>
      </c>
      <c r="E24" s="61">
        <v>0.38100000000000001</v>
      </c>
      <c r="F24" s="61">
        <v>0.13100000000000001</v>
      </c>
      <c r="G24" s="61">
        <v>0.14099999999999999</v>
      </c>
      <c r="H24" s="61">
        <v>0.17699999999999999</v>
      </c>
      <c r="I24" s="61"/>
      <c r="J24" s="61"/>
      <c r="K24" s="61"/>
      <c r="L24" s="61"/>
      <c r="M24" s="61"/>
      <c r="N24" s="62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6" spans="1:27" x14ac:dyDescent="0.25">
      <c r="A26" s="1" t="s">
        <v>135</v>
      </c>
      <c r="D26" s="7" t="s">
        <v>133</v>
      </c>
      <c r="E26" s="7" t="s">
        <v>134</v>
      </c>
      <c r="F26" s="7" t="s">
        <v>130</v>
      </c>
      <c r="G26" s="7" t="s">
        <v>131</v>
      </c>
      <c r="H26" s="7" t="s">
        <v>132</v>
      </c>
      <c r="I26" s="7" t="s">
        <v>124</v>
      </c>
      <c r="J26" s="7" t="s">
        <v>123</v>
      </c>
      <c r="K26" s="7" t="s">
        <v>20</v>
      </c>
      <c r="L26" s="7" t="s">
        <v>21</v>
      </c>
      <c r="M26" s="7" t="s">
        <v>22</v>
      </c>
      <c r="N26" s="8" t="s">
        <v>23</v>
      </c>
      <c r="O26" s="7" t="s">
        <v>24</v>
      </c>
      <c r="P26" s="7" t="s">
        <v>25</v>
      </c>
      <c r="Q26" s="7" t="s">
        <v>26</v>
      </c>
      <c r="R26" s="7" t="s">
        <v>27</v>
      </c>
      <c r="S26" s="7" t="s">
        <v>28</v>
      </c>
      <c r="T26" s="7" t="s">
        <v>29</v>
      </c>
      <c r="U26" s="7" t="s">
        <v>30</v>
      </c>
      <c r="V26" s="7" t="s">
        <v>31</v>
      </c>
      <c r="W26" s="7" t="s">
        <v>32</v>
      </c>
      <c r="X26" s="7" t="s">
        <v>33</v>
      </c>
    </row>
    <row r="27" spans="1:27" x14ac:dyDescent="0.25">
      <c r="A27" s="1" t="s">
        <v>140</v>
      </c>
      <c r="C27" s="1" t="s">
        <v>37</v>
      </c>
      <c r="D27" s="24">
        <v>277.82900000000001</v>
      </c>
      <c r="E27" s="24">
        <v>417.45100000000002</v>
      </c>
      <c r="F27" s="24">
        <v>593.77549399999998</v>
      </c>
      <c r="G27" s="24">
        <v>786.56741899999997</v>
      </c>
      <c r="H27" s="24">
        <v>964.15984700000001</v>
      </c>
      <c r="I27" s="24">
        <v>1315.894</v>
      </c>
      <c r="J27" s="24">
        <v>1485.33</v>
      </c>
      <c r="K27" s="24">
        <v>1625</v>
      </c>
      <c r="L27" s="24">
        <v>1605</v>
      </c>
      <c r="M27" s="24">
        <v>1626</v>
      </c>
      <c r="N27" s="36">
        <f>M27*1.1</f>
        <v>1788.6000000000001</v>
      </c>
      <c r="O27" s="24">
        <f>N27*1</f>
        <v>1788.6000000000001</v>
      </c>
      <c r="P27" s="24">
        <f t="shared" ref="P27:X27" si="17">O27*1</f>
        <v>1788.6000000000001</v>
      </c>
      <c r="Q27" s="24">
        <f t="shared" si="17"/>
        <v>1788.6000000000001</v>
      </c>
      <c r="R27" s="24">
        <f t="shared" si="17"/>
        <v>1788.6000000000001</v>
      </c>
      <c r="S27" s="24">
        <f t="shared" si="17"/>
        <v>1788.6000000000001</v>
      </c>
      <c r="T27" s="24">
        <f t="shared" si="17"/>
        <v>1788.6000000000001</v>
      </c>
      <c r="U27" s="24">
        <f t="shared" si="17"/>
        <v>1788.6000000000001</v>
      </c>
      <c r="V27" s="24">
        <f t="shared" si="17"/>
        <v>1788.6000000000001</v>
      </c>
      <c r="W27" s="24">
        <f t="shared" si="17"/>
        <v>1788.6000000000001</v>
      </c>
      <c r="X27" s="24">
        <f t="shared" si="17"/>
        <v>1788.6000000000001</v>
      </c>
    </row>
    <row r="28" spans="1:27" x14ac:dyDescent="0.25">
      <c r="A28" s="32">
        <f>AA45</f>
        <v>8.6115913054159012</v>
      </c>
      <c r="C28" s="2" t="s">
        <v>38</v>
      </c>
      <c r="D28" s="25">
        <v>-153.393</v>
      </c>
      <c r="E28" s="25">
        <v>-231.15700000000001</v>
      </c>
      <c r="F28" s="25">
        <v>-336.04035399999998</v>
      </c>
      <c r="G28" s="25">
        <v>-464.256078</v>
      </c>
      <c r="H28" s="25">
        <v>-589.66905999999994</v>
      </c>
      <c r="I28" s="25">
        <v>-798.38900000000001</v>
      </c>
      <c r="J28" s="25">
        <v>-912.30499999999995</v>
      </c>
      <c r="K28" s="25">
        <v>-1018</v>
      </c>
      <c r="L28" s="25">
        <v>-1050</v>
      </c>
      <c r="M28" s="25">
        <v>-1074</v>
      </c>
      <c r="N28" s="37">
        <f>N27*-0.65</f>
        <v>-1162.5900000000001</v>
      </c>
      <c r="O28" s="57">
        <f t="shared" ref="O28" si="18">O27*-0.65</f>
        <v>-1162.5900000000001</v>
      </c>
      <c r="P28" s="57">
        <f t="shared" ref="P28" si="19">P27*-0.65</f>
        <v>-1162.5900000000001</v>
      </c>
      <c r="Q28" s="57">
        <f t="shared" ref="Q28" si="20">Q27*-0.65</f>
        <v>-1162.5900000000001</v>
      </c>
      <c r="R28" s="57">
        <f t="shared" ref="R28" si="21">R27*-0.65</f>
        <v>-1162.5900000000001</v>
      </c>
      <c r="S28" s="57">
        <f t="shared" ref="S28" si="22">S27*-0.65</f>
        <v>-1162.5900000000001</v>
      </c>
      <c r="T28" s="57">
        <f t="shared" ref="T28" si="23">T27*-0.65</f>
        <v>-1162.5900000000001</v>
      </c>
      <c r="U28" s="57">
        <f t="shared" ref="U28" si="24">U27*-0.65</f>
        <v>-1162.5900000000001</v>
      </c>
      <c r="V28" s="57">
        <f t="shared" ref="V28" si="25">V27*-0.65</f>
        <v>-1162.5900000000001</v>
      </c>
      <c r="W28" s="57">
        <f t="shared" ref="W28" si="26">W27*-0.65</f>
        <v>-1162.5900000000001</v>
      </c>
      <c r="X28" s="57">
        <f t="shared" ref="X28" si="27">X27*-0.65</f>
        <v>-1162.5900000000001</v>
      </c>
    </row>
    <row r="29" spans="1:27" x14ac:dyDescent="0.25">
      <c r="A29" s="16">
        <f>AA46</f>
        <v>-0.46177554341150617</v>
      </c>
      <c r="C29" s="2" t="s">
        <v>136</v>
      </c>
      <c r="D29" s="57">
        <f t="shared" ref="D29" si="28">SUM(D27:D28)</f>
        <v>124.43600000000001</v>
      </c>
      <c r="E29" s="57">
        <f t="shared" ref="E29" si="29">SUM(E27:E28)</f>
        <v>186.29400000000001</v>
      </c>
      <c r="F29" s="57">
        <f t="shared" ref="F29" si="30">SUM(F27:F28)</f>
        <v>257.73514</v>
      </c>
      <c r="G29" s="57">
        <f t="shared" ref="G29" si="31">SUM(G27:G28)</f>
        <v>322.31134099999997</v>
      </c>
      <c r="H29" s="57">
        <f t="shared" ref="H29" si="32">SUM(H27:H28)</f>
        <v>374.49078700000007</v>
      </c>
      <c r="I29" s="57">
        <f t="shared" ref="I29" si="33">SUM(I27:I28)</f>
        <v>517.505</v>
      </c>
      <c r="J29" s="57">
        <f t="shared" ref="J29" si="34">SUM(J27:J28)</f>
        <v>573.02499999999998</v>
      </c>
      <c r="K29" s="57">
        <f t="shared" ref="K29" si="35">SUM(K27:K28)</f>
        <v>607</v>
      </c>
      <c r="L29" s="57">
        <f t="shared" ref="L29" si="36">SUM(L27:L28)</f>
        <v>555</v>
      </c>
      <c r="M29" s="57">
        <f t="shared" ref="M29" si="37">SUM(M27:M28)</f>
        <v>552</v>
      </c>
      <c r="N29" s="37">
        <f>SUM(N27:N28)</f>
        <v>626.01</v>
      </c>
      <c r="O29" s="57">
        <f t="shared" ref="O29" si="38">SUM(O27:O28)</f>
        <v>626.01</v>
      </c>
      <c r="P29" s="57">
        <f t="shared" ref="P29" si="39">SUM(P27:P28)</f>
        <v>626.01</v>
      </c>
      <c r="Q29" s="57">
        <f t="shared" ref="Q29" si="40">SUM(Q27:Q28)</f>
        <v>626.01</v>
      </c>
      <c r="R29" s="57">
        <f t="shared" ref="R29" si="41">SUM(R27:R28)</f>
        <v>626.01</v>
      </c>
      <c r="S29" s="57">
        <f t="shared" ref="S29" si="42">SUM(S27:S28)</f>
        <v>626.01</v>
      </c>
      <c r="T29" s="57">
        <f t="shared" ref="T29" si="43">SUM(T27:T28)</f>
        <v>626.01</v>
      </c>
      <c r="U29" s="57">
        <f t="shared" ref="U29" si="44">SUM(U27:U28)</f>
        <v>626.01</v>
      </c>
      <c r="V29" s="57">
        <f t="shared" ref="V29" si="45">SUM(V27:V28)</f>
        <v>626.01</v>
      </c>
      <c r="W29" s="57">
        <f t="shared" ref="W29" si="46">SUM(W27:W28)</f>
        <v>626.01</v>
      </c>
      <c r="X29" s="57">
        <f t="shared" ref="X29" si="47">SUM(X27:X28)</f>
        <v>626.01</v>
      </c>
    </row>
    <row r="30" spans="1:27" x14ac:dyDescent="0.25">
      <c r="C30" s="2" t="s">
        <v>39</v>
      </c>
      <c r="D30" s="57">
        <v>-50.323999999999998</v>
      </c>
      <c r="E30" s="57">
        <v>-80.599999999999994</v>
      </c>
      <c r="F30" s="57">
        <v>-117.86964</v>
      </c>
      <c r="G30" s="57">
        <v>-144.492603</v>
      </c>
      <c r="H30" s="57">
        <v>-176.14433700000001</v>
      </c>
      <c r="I30" s="57">
        <v>-219.29400000000001</v>
      </c>
      <c r="J30" s="57">
        <v>-243.321</v>
      </c>
      <c r="K30" s="57">
        <v>-255</v>
      </c>
      <c r="L30" s="57">
        <v>-272</v>
      </c>
      <c r="M30" s="57">
        <v>-266</v>
      </c>
      <c r="N30" s="37">
        <f>M30*1.02</f>
        <v>-271.32</v>
      </c>
      <c r="O30" s="25">
        <f>N30*1.05</f>
        <v>-284.88600000000002</v>
      </c>
      <c r="P30" s="25">
        <f t="shared" ref="P30:X30" si="48">O30*1</f>
        <v>-284.88600000000002</v>
      </c>
      <c r="Q30" s="25">
        <f t="shared" si="48"/>
        <v>-284.88600000000002</v>
      </c>
      <c r="R30" s="25">
        <f t="shared" si="48"/>
        <v>-284.88600000000002</v>
      </c>
      <c r="S30" s="25">
        <f t="shared" si="48"/>
        <v>-284.88600000000002</v>
      </c>
      <c r="T30" s="25">
        <f t="shared" si="48"/>
        <v>-284.88600000000002</v>
      </c>
      <c r="U30" s="25">
        <f t="shared" si="48"/>
        <v>-284.88600000000002</v>
      </c>
      <c r="V30" s="25">
        <f t="shared" si="48"/>
        <v>-284.88600000000002</v>
      </c>
      <c r="W30" s="25">
        <f t="shared" si="48"/>
        <v>-284.88600000000002</v>
      </c>
      <c r="X30" s="25">
        <f t="shared" si="48"/>
        <v>-284.88600000000002</v>
      </c>
    </row>
    <row r="31" spans="1:27" x14ac:dyDescent="0.25">
      <c r="C31" s="2" t="s">
        <v>40</v>
      </c>
      <c r="D31" s="57">
        <v>-13.54</v>
      </c>
      <c r="E31" s="57">
        <f>-16.943</f>
        <v>-16.943000000000001</v>
      </c>
      <c r="F31" s="57">
        <f>-21.263035-3.145</f>
        <v>-24.408034999999998</v>
      </c>
      <c r="G31" s="57">
        <f>-27.230979-2.46</f>
        <v>-29.690979000000002</v>
      </c>
      <c r="H31" s="57">
        <f>-28.105644-0.736</f>
        <v>-28.841644000000002</v>
      </c>
      <c r="I31" s="57">
        <v>-70.739999999999995</v>
      </c>
      <c r="J31" s="57">
        <v>-77.325000000000003</v>
      </c>
      <c r="K31" s="57">
        <v>-92</v>
      </c>
      <c r="L31" s="57">
        <v>-96</v>
      </c>
      <c r="M31" s="57">
        <v>-111</v>
      </c>
      <c r="N31" s="37">
        <f>M31*1.02</f>
        <v>-113.22</v>
      </c>
      <c r="O31" s="25">
        <f t="shared" ref="O31:O32" si="49">N31*1.05</f>
        <v>-118.881</v>
      </c>
      <c r="P31" s="25">
        <f t="shared" ref="O31:X31" si="50">O31*1</f>
        <v>-118.881</v>
      </c>
      <c r="Q31" s="25">
        <f t="shared" si="50"/>
        <v>-118.881</v>
      </c>
      <c r="R31" s="25">
        <f t="shared" si="50"/>
        <v>-118.881</v>
      </c>
      <c r="S31" s="25">
        <f t="shared" si="50"/>
        <v>-118.881</v>
      </c>
      <c r="T31" s="25">
        <f t="shared" si="50"/>
        <v>-118.881</v>
      </c>
      <c r="U31" s="25">
        <f t="shared" si="50"/>
        <v>-118.881</v>
      </c>
      <c r="V31" s="25">
        <f t="shared" si="50"/>
        <v>-118.881</v>
      </c>
      <c r="W31" s="25">
        <f t="shared" si="50"/>
        <v>-118.881</v>
      </c>
      <c r="X31" s="25">
        <f t="shared" si="50"/>
        <v>-118.881</v>
      </c>
    </row>
    <row r="32" spans="1:27" x14ac:dyDescent="0.25">
      <c r="C32" s="2" t="s">
        <v>41</v>
      </c>
      <c r="D32" s="57">
        <v>-38.485999999999997</v>
      </c>
      <c r="E32" s="57">
        <v>-56.4</v>
      </c>
      <c r="F32" s="57">
        <v>-75.756888000000004</v>
      </c>
      <c r="G32" s="57">
        <v>-106.93600000000001</v>
      </c>
      <c r="H32" s="57">
        <v>-121.107907</v>
      </c>
      <c r="I32" s="57">
        <v>-94.081000000000003</v>
      </c>
      <c r="J32" s="57">
        <v>-107.446</v>
      </c>
      <c r="K32" s="57">
        <v>-146</v>
      </c>
      <c r="L32" s="57">
        <v>-145</v>
      </c>
      <c r="M32" s="57">
        <v>-138</v>
      </c>
      <c r="N32" s="37">
        <v>-140</v>
      </c>
      <c r="O32" s="25">
        <f t="shared" si="49"/>
        <v>-147</v>
      </c>
      <c r="P32" s="25">
        <f t="shared" ref="O32:X32" si="51">O32*1</f>
        <v>-147</v>
      </c>
      <c r="Q32" s="25">
        <f t="shared" si="51"/>
        <v>-147</v>
      </c>
      <c r="R32" s="25">
        <f t="shared" si="51"/>
        <v>-147</v>
      </c>
      <c r="S32" s="25">
        <f t="shared" si="51"/>
        <v>-147</v>
      </c>
      <c r="T32" s="25">
        <f t="shared" si="51"/>
        <v>-147</v>
      </c>
      <c r="U32" s="25">
        <f t="shared" si="51"/>
        <v>-147</v>
      </c>
      <c r="V32" s="25">
        <f t="shared" si="51"/>
        <v>-147</v>
      </c>
      <c r="W32" s="25">
        <f t="shared" si="51"/>
        <v>-147</v>
      </c>
      <c r="X32" s="25">
        <f t="shared" si="51"/>
        <v>-147</v>
      </c>
    </row>
    <row r="33" spans="3:119" x14ac:dyDescent="0.25">
      <c r="C33" s="2" t="s">
        <v>126</v>
      </c>
      <c r="D33" s="57">
        <f>D28+D30+D31+D32</f>
        <v>-255.74299999999997</v>
      </c>
      <c r="E33" s="57">
        <f t="shared" ref="E33" si="52">E28+E30+E31+E32</f>
        <v>-385.09999999999997</v>
      </c>
      <c r="F33" s="57">
        <f t="shared" ref="F33" si="53">F28+F30+F31+F32</f>
        <v>-554.07491699999991</v>
      </c>
      <c r="G33" s="57">
        <f t="shared" ref="G33" si="54">G28+G30+G31+G32</f>
        <v>-745.37566000000004</v>
      </c>
      <c r="H33" s="57">
        <f t="shared" ref="H33" si="55">H28+H30+H31+H32</f>
        <v>-915.76294799999982</v>
      </c>
      <c r="I33" s="57">
        <f t="shared" ref="I33" si="56">I28+I30+I31+I32</f>
        <v>-1182.5039999999999</v>
      </c>
      <c r="J33" s="57">
        <f t="shared" ref="J33" si="57">J28+J30+J31+J32</f>
        <v>-1340.3969999999999</v>
      </c>
      <c r="K33" s="57">
        <f t="shared" ref="K33" si="58">K28+K30+K31+K32</f>
        <v>-1511</v>
      </c>
      <c r="L33" s="57">
        <f t="shared" ref="L33" si="59">L28+L30+L31+L32</f>
        <v>-1563</v>
      </c>
      <c r="M33" s="57">
        <f t="shared" ref="M33" si="60">M28+M30+M31+M32</f>
        <v>-1589</v>
      </c>
      <c r="N33" s="37">
        <f t="shared" ref="N33" si="61">N28+N30+N31+N32</f>
        <v>-1687.13</v>
      </c>
      <c r="O33" s="25">
        <f t="shared" ref="O33" si="62">O28+O30+O31+O32</f>
        <v>-1713.3570000000002</v>
      </c>
      <c r="P33" s="25">
        <f t="shared" ref="P33" si="63">P28+P30+P31+P32</f>
        <v>-1713.3570000000002</v>
      </c>
      <c r="Q33" s="25">
        <f t="shared" ref="Q33" si="64">Q28+Q30+Q31+Q32</f>
        <v>-1713.3570000000002</v>
      </c>
      <c r="R33" s="25">
        <f t="shared" ref="R33" si="65">R28+R30+R31+R32</f>
        <v>-1713.3570000000002</v>
      </c>
      <c r="S33" s="25">
        <f t="shared" ref="S33" si="66">S28+S30+S31+S32</f>
        <v>-1713.3570000000002</v>
      </c>
      <c r="T33" s="25">
        <f t="shared" ref="T33" si="67">T28+T30+T31+T32</f>
        <v>-1713.3570000000002</v>
      </c>
      <c r="U33" s="25">
        <f t="shared" ref="U33" si="68">U28+U30+U31+U32</f>
        <v>-1713.3570000000002</v>
      </c>
      <c r="V33" s="25">
        <f t="shared" ref="V33" si="69">V28+V30+V31+V32</f>
        <v>-1713.3570000000002</v>
      </c>
      <c r="W33" s="25">
        <f t="shared" ref="W33" si="70">W28+W30+W31+W32</f>
        <v>-1713.3570000000002</v>
      </c>
      <c r="X33" s="25">
        <f t="shared" ref="X33" si="71">X28+X30+X31+X32</f>
        <v>-1713.3570000000002</v>
      </c>
    </row>
    <row r="34" spans="3:119" x14ac:dyDescent="0.25">
      <c r="C34" s="1" t="s">
        <v>42</v>
      </c>
      <c r="D34" s="58">
        <f>D27+D33</f>
        <v>22.086000000000041</v>
      </c>
      <c r="E34" s="58">
        <f>E27+E33</f>
        <v>32.351000000000056</v>
      </c>
      <c r="F34" s="58">
        <f>F27+F33</f>
        <v>39.700577000000067</v>
      </c>
      <c r="G34" s="58">
        <f>G27+G33</f>
        <v>41.191758999999934</v>
      </c>
      <c r="H34" s="58">
        <f>H27+H33</f>
        <v>48.39689900000019</v>
      </c>
      <c r="I34" s="58">
        <f>I27+I33</f>
        <v>133.3900000000001</v>
      </c>
      <c r="J34" s="58">
        <f>J27+J33</f>
        <v>144.93299999999999</v>
      </c>
      <c r="K34" s="58">
        <f>K27+K33</f>
        <v>114</v>
      </c>
      <c r="L34" s="58">
        <f>L27+L33</f>
        <v>42</v>
      </c>
      <c r="M34" s="58">
        <f>M27+M33</f>
        <v>37</v>
      </c>
      <c r="N34" s="36">
        <f>N27+N33</f>
        <v>101.47000000000003</v>
      </c>
      <c r="O34" s="24">
        <f>O27+O33</f>
        <v>75.242999999999938</v>
      </c>
      <c r="P34" s="24">
        <f>P27+P33</f>
        <v>75.242999999999938</v>
      </c>
      <c r="Q34" s="24">
        <f>Q27+Q33</f>
        <v>75.242999999999938</v>
      </c>
      <c r="R34" s="24">
        <f>R27+R33</f>
        <v>75.242999999999938</v>
      </c>
      <c r="S34" s="24">
        <f>S27+S33</f>
        <v>75.242999999999938</v>
      </c>
      <c r="T34" s="24">
        <f>T27+T33</f>
        <v>75.242999999999938</v>
      </c>
      <c r="U34" s="24">
        <f>U27+U33</f>
        <v>75.242999999999938</v>
      </c>
      <c r="V34" s="24">
        <f>V27+V33</f>
        <v>75.242999999999938</v>
      </c>
      <c r="W34" s="24">
        <f>W27+W33</f>
        <v>75.242999999999938</v>
      </c>
      <c r="X34" s="24">
        <f>X27+X33</f>
        <v>75.242999999999938</v>
      </c>
    </row>
    <row r="35" spans="3:119" x14ac:dyDescent="0.25">
      <c r="C35" s="2" t="s">
        <v>43</v>
      </c>
      <c r="D35" s="57">
        <v>-8.4960000000000004</v>
      </c>
      <c r="E35" s="57">
        <v>-9.4</v>
      </c>
      <c r="F35" s="57">
        <v>-15.442</v>
      </c>
      <c r="G35" s="57">
        <v>-18.718</v>
      </c>
      <c r="H35" s="57">
        <v>-15</v>
      </c>
      <c r="I35" s="57">
        <v>-29.196000000000002</v>
      </c>
      <c r="J35" s="57">
        <v>-20.353999999999999</v>
      </c>
      <c r="K35" s="57">
        <v>-46</v>
      </c>
      <c r="L35" s="57">
        <v>-56</v>
      </c>
      <c r="M35" s="57">
        <v>5</v>
      </c>
      <c r="N35" s="37">
        <v>-30</v>
      </c>
      <c r="O35" s="25">
        <v>-30</v>
      </c>
      <c r="P35" s="25">
        <v>-30</v>
      </c>
      <c r="Q35" s="25">
        <v>-30</v>
      </c>
      <c r="R35" s="25">
        <v>-30</v>
      </c>
      <c r="S35" s="25">
        <v>-30</v>
      </c>
      <c r="T35" s="25">
        <v>-30</v>
      </c>
      <c r="U35" s="25">
        <v>-30</v>
      </c>
      <c r="V35" s="25">
        <v>-30</v>
      </c>
      <c r="W35" s="25">
        <v>-30</v>
      </c>
      <c r="X35" s="25">
        <v>-30</v>
      </c>
    </row>
    <row r="36" spans="3:119" x14ac:dyDescent="0.25">
      <c r="C36" s="2" t="s">
        <v>44</v>
      </c>
      <c r="D36" s="57">
        <f t="shared" ref="D36:L36" si="72">SUM(D34:D35)</f>
        <v>13.590000000000041</v>
      </c>
      <c r="E36" s="57">
        <f t="shared" si="72"/>
        <v>22.951000000000057</v>
      </c>
      <c r="F36" s="57">
        <f t="shared" si="72"/>
        <v>24.258577000000066</v>
      </c>
      <c r="G36" s="57">
        <f t="shared" si="72"/>
        <v>22.473758999999934</v>
      </c>
      <c r="H36" s="57">
        <f t="shared" si="72"/>
        <v>33.39689900000019</v>
      </c>
      <c r="I36" s="57">
        <f t="shared" si="72"/>
        <v>104.1940000000001</v>
      </c>
      <c r="J36" s="57">
        <f t="shared" si="72"/>
        <v>124.57899999999999</v>
      </c>
      <c r="K36" s="57">
        <f t="shared" si="72"/>
        <v>68</v>
      </c>
      <c r="L36" s="57">
        <f t="shared" si="72"/>
        <v>-14</v>
      </c>
      <c r="M36" s="57">
        <f>SUM(M34:M35)</f>
        <v>42</v>
      </c>
      <c r="N36" s="37">
        <f t="shared" ref="N36:X36" si="73">SUM(N34:N35)</f>
        <v>71.470000000000027</v>
      </c>
      <c r="O36" s="25">
        <f t="shared" si="73"/>
        <v>45.242999999999938</v>
      </c>
      <c r="P36" s="25">
        <f t="shared" si="73"/>
        <v>45.242999999999938</v>
      </c>
      <c r="Q36" s="25">
        <f t="shared" si="73"/>
        <v>45.242999999999938</v>
      </c>
      <c r="R36" s="25">
        <f t="shared" si="73"/>
        <v>45.242999999999938</v>
      </c>
      <c r="S36" s="25">
        <f t="shared" si="73"/>
        <v>45.242999999999938</v>
      </c>
      <c r="T36" s="25">
        <f t="shared" si="73"/>
        <v>45.242999999999938</v>
      </c>
      <c r="U36" s="25">
        <f t="shared" si="73"/>
        <v>45.242999999999938</v>
      </c>
      <c r="V36" s="25">
        <f t="shared" si="73"/>
        <v>45.242999999999938</v>
      </c>
      <c r="W36" s="25">
        <f t="shared" si="73"/>
        <v>45.242999999999938</v>
      </c>
      <c r="X36" s="25">
        <f t="shared" si="73"/>
        <v>45.242999999999938</v>
      </c>
    </row>
    <row r="37" spans="3:119" x14ac:dyDescent="0.25">
      <c r="C37" s="2" t="s">
        <v>45</v>
      </c>
      <c r="D37" s="57">
        <v>-6.7</v>
      </c>
      <c r="E37" s="57">
        <v>-9</v>
      </c>
      <c r="F37" s="57">
        <v>-9.5</v>
      </c>
      <c r="G37" s="57">
        <v>-7.9</v>
      </c>
      <c r="H37" s="57">
        <v>-9.6</v>
      </c>
      <c r="I37" s="57">
        <v>-22.919</v>
      </c>
      <c r="J37" s="57">
        <v>-27.327999999999999</v>
      </c>
      <c r="K37" s="57">
        <v>-17</v>
      </c>
      <c r="L37" s="57">
        <v>4</v>
      </c>
      <c r="M37" s="57">
        <v>-4</v>
      </c>
      <c r="N37" s="37">
        <f>N36*-0.22</f>
        <v>-15.723400000000007</v>
      </c>
      <c r="O37" s="25">
        <f t="shared" ref="O37:X37" si="74">O36*-0.22</f>
        <v>-9.9534599999999873</v>
      </c>
      <c r="P37" s="25">
        <f t="shared" si="74"/>
        <v>-9.9534599999999873</v>
      </c>
      <c r="Q37" s="25">
        <f t="shared" si="74"/>
        <v>-9.9534599999999873</v>
      </c>
      <c r="R37" s="25">
        <f t="shared" si="74"/>
        <v>-9.9534599999999873</v>
      </c>
      <c r="S37" s="25">
        <f t="shared" si="74"/>
        <v>-9.9534599999999873</v>
      </c>
      <c r="T37" s="25">
        <f t="shared" si="74"/>
        <v>-9.9534599999999873</v>
      </c>
      <c r="U37" s="25">
        <f t="shared" si="74"/>
        <v>-9.9534599999999873</v>
      </c>
      <c r="V37" s="25">
        <f t="shared" si="74"/>
        <v>-9.9534599999999873</v>
      </c>
      <c r="W37" s="25">
        <f t="shared" si="74"/>
        <v>-9.9534599999999873</v>
      </c>
      <c r="X37" s="25">
        <f t="shared" si="74"/>
        <v>-9.9534599999999873</v>
      </c>
    </row>
    <row r="38" spans="3:119" x14ac:dyDescent="0.25">
      <c r="C38" s="1" t="s">
        <v>46</v>
      </c>
      <c r="D38" s="58">
        <f t="shared" ref="D38:J38" si="75">SUM(D36:D37)</f>
        <v>6.8900000000000405</v>
      </c>
      <c r="E38" s="58">
        <f t="shared" si="75"/>
        <v>13.951000000000057</v>
      </c>
      <c r="F38" s="58">
        <f t="shared" si="75"/>
        <v>14.758577000000066</v>
      </c>
      <c r="G38" s="58">
        <f t="shared" si="75"/>
        <v>14.573758999999933</v>
      </c>
      <c r="H38" s="58">
        <f t="shared" si="75"/>
        <v>23.796899000000188</v>
      </c>
      <c r="I38" s="58">
        <f t="shared" si="75"/>
        <v>81.275000000000105</v>
      </c>
      <c r="J38" s="58">
        <f t="shared" si="75"/>
        <v>97.250999999999991</v>
      </c>
      <c r="K38" s="58">
        <f>SUM(K36:K37)</f>
        <v>51</v>
      </c>
      <c r="L38" s="58">
        <f>SUM(L36:L37)</f>
        <v>-10</v>
      </c>
      <c r="M38" s="58">
        <f>SUM(M36:M37)</f>
        <v>38</v>
      </c>
      <c r="N38" s="36">
        <f t="shared" ref="N38:X38" si="76">SUM(N36:N37)</f>
        <v>55.746600000000022</v>
      </c>
      <c r="O38" s="24">
        <f t="shared" si="76"/>
        <v>35.289539999999953</v>
      </c>
      <c r="P38" s="24">
        <f t="shared" si="76"/>
        <v>35.289539999999953</v>
      </c>
      <c r="Q38" s="24">
        <f t="shared" si="76"/>
        <v>35.289539999999953</v>
      </c>
      <c r="R38" s="24">
        <f t="shared" si="76"/>
        <v>35.289539999999953</v>
      </c>
      <c r="S38" s="24">
        <f t="shared" si="76"/>
        <v>35.289539999999953</v>
      </c>
      <c r="T38" s="24">
        <f t="shared" si="76"/>
        <v>35.289539999999953</v>
      </c>
      <c r="U38" s="24">
        <f t="shared" si="76"/>
        <v>35.289539999999953</v>
      </c>
      <c r="V38" s="24">
        <f t="shared" si="76"/>
        <v>35.289539999999953</v>
      </c>
      <c r="W38" s="24">
        <f t="shared" si="76"/>
        <v>35.289539999999953</v>
      </c>
      <c r="X38" s="24">
        <f t="shared" si="76"/>
        <v>35.289539999999953</v>
      </c>
      <c r="Y38" s="30">
        <f>X38*(1+$AA$19)</f>
        <v>34.936644599999951</v>
      </c>
      <c r="Z38" s="30">
        <f>Y38*(1+$AA$19)</f>
        <v>34.587278153999954</v>
      </c>
      <c r="AA38" s="30">
        <f>Z38*(1+$AA$19)</f>
        <v>34.241405372459951</v>
      </c>
      <c r="AB38" s="30">
        <f>AA38*(1+$AA$19)</f>
        <v>33.898991318735348</v>
      </c>
      <c r="AC38" s="30">
        <f>AB38*(1+$AA$19)</f>
        <v>33.560001405547993</v>
      </c>
      <c r="AD38" s="30">
        <f>AC38*(1+$AA$19)</f>
        <v>33.224401391492513</v>
      </c>
      <c r="AE38" s="30">
        <f>AD38*(1+$AA$19)</f>
        <v>32.89215737757759</v>
      </c>
      <c r="AF38" s="30">
        <f>AE38*(1+$AA$19)</f>
        <v>32.563235803801817</v>
      </c>
      <c r="AG38" s="30">
        <f>AF38*(1+$AA$19)</f>
        <v>32.237603445763796</v>
      </c>
      <c r="AH38" s="30">
        <f>AG38*(1+$AA$19)</f>
        <v>31.915227411306159</v>
      </c>
      <c r="AI38" s="30">
        <f>AH38*(1+$AA$19)</f>
        <v>31.596075137193097</v>
      </c>
      <c r="AJ38" s="30">
        <f>AI38*(1+$AA$19)</f>
        <v>31.280114385821165</v>
      </c>
      <c r="AK38" s="30">
        <f>AJ38*(1+$AA$19)</f>
        <v>30.967313241962952</v>
      </c>
      <c r="AL38" s="30">
        <f>AK38*(1+$AA$19)</f>
        <v>30.657640109543323</v>
      </c>
      <c r="AM38" s="30">
        <f>AL38*(1+$AA$19)</f>
        <v>30.351063708447889</v>
      </c>
      <c r="AN38" s="30">
        <f>AM38*(1+$AA$19)</f>
        <v>30.04755307136341</v>
      </c>
      <c r="AO38" s="30">
        <f>AN38*(1+$AA$19)</f>
        <v>29.747077540649776</v>
      </c>
      <c r="AP38" s="30">
        <f>AO38*(1+$AA$19)</f>
        <v>29.449606765243278</v>
      </c>
      <c r="AQ38" s="30">
        <f>AP38*(1+$AA$19)</f>
        <v>29.155110697590846</v>
      </c>
      <c r="AR38" s="30">
        <f>AQ38*(1+$AA$19)</f>
        <v>28.863559590614937</v>
      </c>
      <c r="AS38" s="30">
        <f>AR38*(1+$AA$19)</f>
        <v>28.574923994708787</v>
      </c>
      <c r="AT38" s="30">
        <f>AS38*(1+$AA$19)</f>
        <v>28.289174754761699</v>
      </c>
      <c r="AU38" s="30">
        <f>AT38*(1+$AA$19)</f>
        <v>28.006283007214083</v>
      </c>
      <c r="AV38" s="30">
        <f>AU38*(1+$AA$19)</f>
        <v>27.726220177141943</v>
      </c>
      <c r="AW38" s="30">
        <f>AV38*(1+$AA$19)</f>
        <v>27.448957975370522</v>
      </c>
      <c r="AX38" s="30">
        <f>AW38*(1+$AA$19)</f>
        <v>27.174468395616817</v>
      </c>
      <c r="AY38" s="30">
        <f>AX38*(1+$AA$19)</f>
        <v>26.902723711660649</v>
      </c>
      <c r="AZ38" s="30">
        <f>AY38*(1+$AA$19)</f>
        <v>26.633696474544042</v>
      </c>
      <c r="BA38" s="30">
        <f>AZ38*(1+$AA$19)</f>
        <v>26.3673595097986</v>
      </c>
      <c r="BB38" s="30">
        <f>BA38*(1+$AA$19)</f>
        <v>26.103685914700613</v>
      </c>
      <c r="BC38" s="30">
        <f>BB38*(1+$AA$19)</f>
        <v>25.842649055553608</v>
      </c>
      <c r="BD38" s="30">
        <f>BC38*(1+$AA$19)</f>
        <v>25.584222564998072</v>
      </c>
      <c r="BE38" s="30">
        <f>BD38*(1+$AA$19)</f>
        <v>25.32838033934809</v>
      </c>
      <c r="BF38" s="30">
        <f>BE38*(1+$AA$19)</f>
        <v>25.075096535954611</v>
      </c>
      <c r="BG38" s="30">
        <f>BF38*(1+$AA$19)</f>
        <v>24.824345570595064</v>
      </c>
      <c r="BH38" s="30">
        <f>BG38*(1+$AA$19)</f>
        <v>24.576102114889114</v>
      </c>
      <c r="BI38" s="30">
        <f>BH38*(1+$AA$19)</f>
        <v>24.330341093740223</v>
      </c>
      <c r="BJ38" s="30">
        <f>BI38*(1+$AA$19)</f>
        <v>24.087037682802819</v>
      </c>
      <c r="BK38" s="30">
        <f>BJ38*(1+$AA$19)</f>
        <v>23.846167305974792</v>
      </c>
      <c r="BL38" s="30">
        <f>BK38*(1+$AA$19)</f>
        <v>23.607705632915042</v>
      </c>
      <c r="BM38" s="30">
        <f>BL38*(1+$AA$19)</f>
        <v>23.371628576585891</v>
      </c>
      <c r="BN38" s="30">
        <f>BM38*(1+$AA$19)</f>
        <v>23.137912290820033</v>
      </c>
      <c r="BO38" s="30">
        <f>BN38*(1+$AA$19)</f>
        <v>22.906533167911832</v>
      </c>
      <c r="BP38" s="30">
        <f>BO38*(1+$AA$19)</f>
        <v>22.677467836232712</v>
      </c>
      <c r="BQ38" s="30">
        <f>BP38*(1+$AA$19)</f>
        <v>22.450693157870383</v>
      </c>
      <c r="BR38" s="30">
        <f>BQ38*(1+$AA$19)</f>
        <v>22.226186226291677</v>
      </c>
      <c r="BS38" s="30">
        <f>BR38*(1+$AA$19)</f>
        <v>22.003924364028759</v>
      </c>
      <c r="BT38" s="30">
        <f>BS38*(1+$AA$19)</f>
        <v>21.783885120388472</v>
      </c>
      <c r="BU38" s="30">
        <f>BT38*(1+$AA$19)</f>
        <v>21.566046269184586</v>
      </c>
      <c r="BV38" s="30">
        <f>BU38*(1+$AA$19)</f>
        <v>21.350385806492739</v>
      </c>
      <c r="BW38" s="30">
        <f>BV38*(1+$AA$19)</f>
        <v>21.13688194842781</v>
      </c>
      <c r="BX38" s="30">
        <f>BW38*(1+$AA$19)</f>
        <v>20.925513128943532</v>
      </c>
      <c r="BY38" s="30">
        <f>BX38*(1+$AA$19)</f>
        <v>20.716257997654097</v>
      </c>
      <c r="BZ38" s="30">
        <f>BY38*(1+$AA$19)</f>
        <v>20.509095417677557</v>
      </c>
      <c r="CA38" s="30">
        <f>BZ38*(1+$AA$19)</f>
        <v>20.304004463500782</v>
      </c>
      <c r="CB38" s="30">
        <f>CA38*(1+$AA$19)</f>
        <v>20.100964418865775</v>
      </c>
      <c r="CC38" s="30">
        <f>CB38*(1+$AA$19)</f>
        <v>19.899954774677116</v>
      </c>
      <c r="CD38" s="30">
        <f>CC38*(1+$AA$19)</f>
        <v>19.700955226930343</v>
      </c>
      <c r="CE38" s="30">
        <f>CD38*(1+$AA$19)</f>
        <v>19.50394567466104</v>
      </c>
      <c r="CF38" s="30">
        <f>CE38*(1+$AA$19)</f>
        <v>19.30890621791443</v>
      </c>
      <c r="CG38" s="30">
        <f>CF38*(1+$AA$19)</f>
        <v>19.115817155735286</v>
      </c>
      <c r="CH38" s="30">
        <f>CG38*(1+$AA$19)</f>
        <v>18.924658984177931</v>
      </c>
      <c r="CI38" s="30">
        <f>CH38*(1+$AA$19)</f>
        <v>18.735412394336151</v>
      </c>
      <c r="CJ38" s="30">
        <f>CI38*(1+$AA$19)</f>
        <v>18.54805827039279</v>
      </c>
      <c r="CK38" s="30">
        <f>CJ38*(1+$AA$19)</f>
        <v>18.362577687688862</v>
      </c>
      <c r="CL38" s="30">
        <f>CK38*(1+$AA$19)</f>
        <v>18.178951910811975</v>
      </c>
      <c r="CM38" s="30">
        <f>CL38*(1+$AA$19)</f>
        <v>17.997162391703856</v>
      </c>
      <c r="CN38" s="30">
        <f>CM38*(1+$AA$19)</f>
        <v>17.817190767786819</v>
      </c>
      <c r="CO38" s="30">
        <f>CN38*(1+$AA$19)</f>
        <v>17.639018860108951</v>
      </c>
      <c r="CP38" s="30">
        <f>CO38*(1+$AA$19)</f>
        <v>17.462628671507861</v>
      </c>
      <c r="CQ38" s="30">
        <f>CP38*(1+$AA$19)</f>
        <v>17.288002384792783</v>
      </c>
      <c r="CR38" s="30">
        <f>CQ38*(1+$AA$19)</f>
        <v>17.115122360944856</v>
      </c>
      <c r="CS38" s="30">
        <f>CR38*(1+$AA$19)</f>
        <v>16.943971137335406</v>
      </c>
      <c r="CT38" s="30">
        <f>CS38*(1+$AA$19)</f>
        <v>16.774531425962053</v>
      </c>
      <c r="CU38" s="30">
        <f>CT38*(1+$AA$19)</f>
        <v>16.606786111702434</v>
      </c>
      <c r="CV38" s="30">
        <f>CU38*(1+$AA$19)</f>
        <v>16.440718250585409</v>
      </c>
      <c r="CW38" s="30">
        <f>CV38*(1+$AA$19)</f>
        <v>16.276311068079554</v>
      </c>
      <c r="CX38" s="30">
        <f>CW38*(1+$AA$19)</f>
        <v>16.113547957398758</v>
      </c>
      <c r="CY38" s="30">
        <f>CX38*(1+$AA$19)</f>
        <v>15.952412477824771</v>
      </c>
      <c r="CZ38" s="30">
        <f>CY38*(1+$AA$19)</f>
        <v>15.792888353046523</v>
      </c>
      <c r="DA38" s="30">
        <f>CZ38*(1+$AA$19)</f>
        <v>15.634959469516058</v>
      </c>
      <c r="DB38" s="30">
        <f>DA38*(1+$AA$19)</f>
        <v>15.478609874820897</v>
      </c>
      <c r="DC38" s="30">
        <f>DB38*(1+$AA$19)</f>
        <v>15.323823776072688</v>
      </c>
      <c r="DD38" s="30">
        <f>DC38*(1+$AA$19)</f>
        <v>15.170585538311961</v>
      </c>
      <c r="DE38" s="30">
        <f>DD38*(1+$AA$19)</f>
        <v>15.018879682928841</v>
      </c>
      <c r="DF38" s="30">
        <f>DE38*(1+$AA$19)</f>
        <v>14.868690886099552</v>
      </c>
      <c r="DG38" s="30">
        <f>DF38*(1+$AA$19)</f>
        <v>14.720003977238557</v>
      </c>
      <c r="DH38" s="30">
        <f>DG38*(1+$AA$19)</f>
        <v>14.572803937466171</v>
      </c>
      <c r="DI38" s="30">
        <f>DH38*(1+$AA$19)</f>
        <v>14.427075898091509</v>
      </c>
      <c r="DJ38" s="30">
        <f>DI38*(1+$AA$19)</f>
        <v>14.282805139110593</v>
      </c>
      <c r="DK38" s="30">
        <f>DJ38*(1+$AA$19)</f>
        <v>14.139977087719487</v>
      </c>
      <c r="DL38" s="30">
        <f>DK38*(1+$AA$19)</f>
        <v>13.998577316842292</v>
      </c>
      <c r="DM38" s="30">
        <f>DL38*(1+$AA$19)</f>
        <v>13.858591543673869</v>
      </c>
      <c r="DN38" s="30">
        <f>DM38*(1+$AA$19)</f>
        <v>13.72000562823713</v>
      </c>
      <c r="DO38" s="30">
        <f>DN38*(1+$AA$19)</f>
        <v>13.58280557195476</v>
      </c>
    </row>
    <row r="39" spans="3:119" x14ac:dyDescent="0.25">
      <c r="C39" s="2" t="s">
        <v>47</v>
      </c>
      <c r="D39" s="49"/>
      <c r="E39" s="49"/>
      <c r="F39" s="49"/>
      <c r="G39" s="49"/>
      <c r="H39" s="49"/>
      <c r="I39" s="51">
        <v>21.3</v>
      </c>
      <c r="J39" s="51">
        <v>21.3</v>
      </c>
      <c r="K39" s="51">
        <v>50.782200000000003</v>
      </c>
      <c r="L39" s="51">
        <v>50.782200000000003</v>
      </c>
      <c r="M39" s="51">
        <v>50.782200000000003</v>
      </c>
      <c r="N39" s="11">
        <v>50.782200000000003</v>
      </c>
      <c r="O39" s="12">
        <v>50.782200000000003</v>
      </c>
      <c r="P39" s="12">
        <v>50.782200000000003</v>
      </c>
      <c r="Q39" s="12">
        <v>50.782200000000003</v>
      </c>
      <c r="R39" s="12">
        <v>50.782200000000003</v>
      </c>
      <c r="S39" s="12">
        <v>50.782200000000003</v>
      </c>
      <c r="T39" s="12">
        <v>50.782200000000003</v>
      </c>
      <c r="U39" s="12">
        <v>50.782200000000003</v>
      </c>
      <c r="V39" s="12">
        <v>50.782200000000003</v>
      </c>
      <c r="W39" s="12">
        <v>50.782200000000003</v>
      </c>
      <c r="X39" s="12">
        <v>50.782200000000003</v>
      </c>
    </row>
    <row r="40" spans="3:119" x14ac:dyDescent="0.25">
      <c r="C40" s="2" t="s">
        <v>48</v>
      </c>
      <c r="D40" s="49"/>
      <c r="E40" s="49"/>
      <c r="F40" s="49"/>
      <c r="G40" s="49"/>
      <c r="H40" s="49"/>
      <c r="I40" s="50">
        <f>I38/I39</f>
        <v>3.8157276995305214</v>
      </c>
      <c r="J40" s="50">
        <f>J38/J39</f>
        <v>4.5657746478873236</v>
      </c>
      <c r="K40" s="50">
        <f t="shared" ref="K40:X40" si="77">K38/K39</f>
        <v>1.0042889043798811</v>
      </c>
      <c r="L40" s="50">
        <f t="shared" si="77"/>
        <v>-0.19691939301566297</v>
      </c>
      <c r="M40" s="50">
        <f t="shared" si="77"/>
        <v>0.74829369345951924</v>
      </c>
      <c r="N40" s="10">
        <f t="shared" si="77"/>
        <v>1.097758663468696</v>
      </c>
      <c r="O40" s="13">
        <f t="shared" si="77"/>
        <v>0.69491947966019496</v>
      </c>
      <c r="P40" s="13">
        <f t="shared" si="77"/>
        <v>0.69491947966019496</v>
      </c>
      <c r="Q40" s="13">
        <f t="shared" si="77"/>
        <v>0.69491947966019496</v>
      </c>
      <c r="R40" s="13">
        <f t="shared" si="77"/>
        <v>0.69491947966019496</v>
      </c>
      <c r="S40" s="13">
        <f t="shared" si="77"/>
        <v>0.69491947966019496</v>
      </c>
      <c r="T40" s="13">
        <f t="shared" si="77"/>
        <v>0.69491947966019496</v>
      </c>
      <c r="U40" s="13">
        <f t="shared" si="77"/>
        <v>0.69491947966019496</v>
      </c>
      <c r="V40" s="13">
        <f t="shared" si="77"/>
        <v>0.69491947966019496</v>
      </c>
      <c r="W40" s="13">
        <f t="shared" si="77"/>
        <v>0.69491947966019496</v>
      </c>
      <c r="X40" s="13">
        <f t="shared" si="77"/>
        <v>0.69491947966019496</v>
      </c>
    </row>
    <row r="41" spans="3:119" x14ac:dyDescent="0.25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"/>
      <c r="Z41" s="2" t="s">
        <v>94</v>
      </c>
      <c r="AA41" s="29">
        <v>0.08</v>
      </c>
    </row>
    <row r="42" spans="3:119" x14ac:dyDescent="0.25">
      <c r="C42" s="1" t="s">
        <v>34</v>
      </c>
      <c r="D42" s="49"/>
      <c r="E42" s="56">
        <f>(E27-D27)/D27</f>
        <v>0.50254653041979058</v>
      </c>
      <c r="F42" s="56">
        <f>(F27-E27)/E27</f>
        <v>0.42238369054092562</v>
      </c>
      <c r="G42" s="56">
        <f>(G27-F27)/F27</f>
        <v>0.32468824824892489</v>
      </c>
      <c r="H42" s="56">
        <f>(H27-G27)/G27</f>
        <v>0.22578157156036494</v>
      </c>
      <c r="I42" s="56">
        <f>(I27-H27)/H27</f>
        <v>0.36480896201436608</v>
      </c>
      <c r="J42" s="56">
        <f>(J27-I27)/I27</f>
        <v>0.12876113121573615</v>
      </c>
      <c r="K42" s="56">
        <f>(K27-J27)/J27</f>
        <v>9.4032975837019431E-2</v>
      </c>
      <c r="L42" s="56">
        <f>(L27-K27)/K27</f>
        <v>-1.2307692307692308E-2</v>
      </c>
      <c r="M42" s="56">
        <f>(M27-L27)/L27</f>
        <v>1.3084112149532711E-2</v>
      </c>
      <c r="N42" s="17">
        <f>(N27-M27)/M27</f>
        <v>0.10000000000000009</v>
      </c>
      <c r="O42" s="16">
        <f>(O27-N27)/N27</f>
        <v>0</v>
      </c>
      <c r="P42" s="16">
        <f>(P27-O27)/O27</f>
        <v>0</v>
      </c>
      <c r="Q42" s="16">
        <f>(Q27-P27)/P27</f>
        <v>0</v>
      </c>
      <c r="R42" s="16">
        <f>(R27-Q27)/Q27</f>
        <v>0</v>
      </c>
      <c r="S42" s="16">
        <f>(S27-R27)/R27</f>
        <v>0</v>
      </c>
      <c r="T42" s="16">
        <f>(T27-S27)/S27</f>
        <v>0</v>
      </c>
      <c r="U42" s="16">
        <f>(U27-T27)/T27</f>
        <v>0</v>
      </c>
      <c r="V42" s="16">
        <f>(V27-U27)/U27</f>
        <v>0</v>
      </c>
      <c r="W42" s="16">
        <f>(W27-V27)/V27</f>
        <v>0</v>
      </c>
      <c r="X42" s="16">
        <f>(X27-W27)/W27</f>
        <v>0</v>
      </c>
      <c r="Z42" s="2" t="s">
        <v>95</v>
      </c>
      <c r="AA42" s="29">
        <v>-0.01</v>
      </c>
    </row>
    <row r="43" spans="3:119" x14ac:dyDescent="0.25">
      <c r="C43" s="1" t="s">
        <v>125</v>
      </c>
      <c r="D43" s="59"/>
      <c r="E43" s="59"/>
      <c r="F43" s="59"/>
      <c r="G43" s="59"/>
      <c r="H43" s="59"/>
      <c r="I43" s="56"/>
      <c r="J43" s="56"/>
      <c r="K43" s="56"/>
      <c r="L43" s="56"/>
      <c r="M43" s="56"/>
      <c r="N43" s="38"/>
      <c r="O43" s="19"/>
      <c r="P43" s="19"/>
      <c r="Q43" s="19"/>
      <c r="R43" s="19"/>
      <c r="S43" s="19"/>
      <c r="T43" s="19"/>
      <c r="U43" s="19"/>
      <c r="V43" s="19"/>
      <c r="W43" s="19"/>
      <c r="X43" s="19"/>
      <c r="Z43" s="22" t="s">
        <v>96</v>
      </c>
      <c r="AA43" s="31">
        <f>NPV(AA41,N38:DO38)</f>
        <v>437.31555198989139</v>
      </c>
    </row>
    <row r="44" spans="3:119" x14ac:dyDescent="0.25">
      <c r="C44" s="2" t="s">
        <v>127</v>
      </c>
      <c r="D44" s="49"/>
      <c r="E44" s="53">
        <f t="shared" ref="E44" si="78">(E33-D33)/D33</f>
        <v>0.50580856563033993</v>
      </c>
      <c r="F44" s="53">
        <f t="shared" ref="F44" si="79">(F33-E33)/E33</f>
        <v>0.43878191898208246</v>
      </c>
      <c r="G44" s="53">
        <f t="shared" ref="G44" si="80">(G33-F33)/F33</f>
        <v>0.34526151090864154</v>
      </c>
      <c r="H44" s="53">
        <f t="shared" ref="H44" si="81">(H33-G33)/G33</f>
        <v>0.22859250327546216</v>
      </c>
      <c r="I44" s="53">
        <f t="shared" ref="I44" si="82">(I33-H33)/H33</f>
        <v>0.29127740162730426</v>
      </c>
      <c r="J44" s="53">
        <f t="shared" ref="J44" si="83">(J33-I33)/I33</f>
        <v>0.13352428406161843</v>
      </c>
      <c r="K44" s="53">
        <f t="shared" ref="K44" si="84">(K33-J33)/J33</f>
        <v>0.12727796317061293</v>
      </c>
      <c r="L44" s="53">
        <f t="shared" ref="L44" si="85">(L33-K33)/K33</f>
        <v>3.4414295168762411E-2</v>
      </c>
      <c r="M44" s="53">
        <f t="shared" ref="M44" si="86">(M33-L33)/L33</f>
        <v>1.6634676903390915E-2</v>
      </c>
      <c r="N44" s="15">
        <f>(N33-M33)/M33</f>
        <v>6.1755821271239845E-2</v>
      </c>
      <c r="O44" s="14">
        <f t="shared" ref="O44" si="87">(O33-N33)/N33</f>
        <v>1.5545334384428044E-2</v>
      </c>
      <c r="P44" s="14">
        <f t="shared" ref="P44" si="88">(P33-O33)/O33</f>
        <v>0</v>
      </c>
      <c r="Q44" s="14">
        <f t="shared" ref="Q44" si="89">(Q33-P33)/P33</f>
        <v>0</v>
      </c>
      <c r="R44" s="14">
        <f t="shared" ref="R44" si="90">(R33-Q33)/Q33</f>
        <v>0</v>
      </c>
      <c r="S44" s="14">
        <f t="shared" ref="S44" si="91">(S33-R33)/R33</f>
        <v>0</v>
      </c>
      <c r="T44" s="14">
        <f t="shared" ref="T44" si="92">(T33-S33)/S33</f>
        <v>0</v>
      </c>
      <c r="U44" s="14">
        <f t="shared" ref="U44" si="93">(U33-T33)/T33</f>
        <v>0</v>
      </c>
      <c r="V44" s="14">
        <f t="shared" ref="V44" si="94">(V33-U33)/U33</f>
        <v>0</v>
      </c>
      <c r="W44" s="14">
        <f t="shared" ref="W44" si="95">(W33-V33)/V33</f>
        <v>0</v>
      </c>
      <c r="X44" s="14">
        <f t="shared" ref="X44" si="96">(X33-W33)/W33</f>
        <v>0</v>
      </c>
      <c r="Z44" s="2" t="s">
        <v>2</v>
      </c>
      <c r="AA44" s="12">
        <v>50.782200000000003</v>
      </c>
    </row>
    <row r="45" spans="3:119" x14ac:dyDescent="0.25">
      <c r="C45" s="2" t="s">
        <v>86</v>
      </c>
      <c r="D45" s="53">
        <f t="shared" ref="D45:M45" si="97">D29/D27</f>
        <v>0.44788700963542322</v>
      </c>
      <c r="E45" s="53">
        <f t="shared" si="97"/>
        <v>0.4462655497291898</v>
      </c>
      <c r="F45" s="53">
        <f t="shared" si="97"/>
        <v>0.43406159837239766</v>
      </c>
      <c r="G45" s="53">
        <f t="shared" si="97"/>
        <v>0.40976950381414157</v>
      </c>
      <c r="H45" s="53">
        <f t="shared" si="97"/>
        <v>0.38841151512919214</v>
      </c>
      <c r="I45" s="53">
        <f t="shared" si="97"/>
        <v>0.3932725584279585</v>
      </c>
      <c r="J45" s="53">
        <f t="shared" si="97"/>
        <v>0.38578968983323569</v>
      </c>
      <c r="K45" s="53">
        <f t="shared" si="97"/>
        <v>0.37353846153846154</v>
      </c>
      <c r="L45" s="53">
        <f t="shared" si="97"/>
        <v>0.34579439252336447</v>
      </c>
      <c r="M45" s="53">
        <f t="shared" si="97"/>
        <v>0.33948339483394835</v>
      </c>
      <c r="N45" s="15">
        <f>N29/N27</f>
        <v>0.35</v>
      </c>
      <c r="O45" s="53">
        <f t="shared" ref="O45:X45" si="98">O29/O27</f>
        <v>0.35</v>
      </c>
      <c r="P45" s="53">
        <f t="shared" si="98"/>
        <v>0.35</v>
      </c>
      <c r="Q45" s="53">
        <f t="shared" si="98"/>
        <v>0.35</v>
      </c>
      <c r="R45" s="53">
        <f t="shared" si="98"/>
        <v>0.35</v>
      </c>
      <c r="S45" s="53">
        <f t="shared" si="98"/>
        <v>0.35</v>
      </c>
      <c r="T45" s="53">
        <f t="shared" si="98"/>
        <v>0.35</v>
      </c>
      <c r="U45" s="53">
        <f t="shared" si="98"/>
        <v>0.35</v>
      </c>
      <c r="V45" s="53">
        <f t="shared" si="98"/>
        <v>0.35</v>
      </c>
      <c r="W45" s="53">
        <f t="shared" si="98"/>
        <v>0.35</v>
      </c>
      <c r="X45" s="53">
        <f t="shared" si="98"/>
        <v>0.35</v>
      </c>
      <c r="Z45" s="1" t="s">
        <v>97</v>
      </c>
      <c r="AA45" s="32">
        <f>AA43/AA44</f>
        <v>8.6115913054159012</v>
      </c>
    </row>
    <row r="46" spans="3:119" x14ac:dyDescent="0.25">
      <c r="C46" s="2" t="s">
        <v>53</v>
      </c>
      <c r="D46" s="14">
        <f>D34/D27</f>
        <v>7.9494941132855254E-2</v>
      </c>
      <c r="E46" s="14">
        <f>E34/E27</f>
        <v>7.749652054971734E-2</v>
      </c>
      <c r="F46" s="14">
        <f>F34/F27</f>
        <v>6.6861258844744559E-2</v>
      </c>
      <c r="G46" s="14">
        <f>G34/G27</f>
        <v>5.2369012502919261E-2</v>
      </c>
      <c r="H46" s="14">
        <f>H34/H27</f>
        <v>5.0195928766986073E-2</v>
      </c>
      <c r="I46" s="14">
        <f>I34/I27</f>
        <v>0.10136834729849069</v>
      </c>
      <c r="J46" s="14">
        <f>J34/J27</f>
        <v>9.7576296176607222E-2</v>
      </c>
      <c r="K46" s="14">
        <f>K34/K27</f>
        <v>7.015384615384615E-2</v>
      </c>
      <c r="L46" s="14">
        <f>L34/L27</f>
        <v>2.6168224299065422E-2</v>
      </c>
      <c r="M46" s="14">
        <f>M34/M27</f>
        <v>2.2755227552275523E-2</v>
      </c>
      <c r="N46" s="15">
        <f>N34/N27</f>
        <v>5.6731521860673165E-2</v>
      </c>
      <c r="O46" s="14">
        <f>O34/O27</f>
        <v>4.2068097953706772E-2</v>
      </c>
      <c r="P46" s="14">
        <f>P34/P27</f>
        <v>4.2068097953706772E-2</v>
      </c>
      <c r="Q46" s="14">
        <f>Q34/Q27</f>
        <v>4.2068097953706772E-2</v>
      </c>
      <c r="R46" s="14">
        <f>R34/R27</f>
        <v>4.2068097953706772E-2</v>
      </c>
      <c r="S46" s="14">
        <f>S34/S27</f>
        <v>4.2068097953706772E-2</v>
      </c>
      <c r="T46" s="14">
        <f>T34/T27</f>
        <v>4.2068097953706772E-2</v>
      </c>
      <c r="U46" s="14">
        <f>U34/U27</f>
        <v>4.2068097953706772E-2</v>
      </c>
      <c r="V46" s="14">
        <f>V34/V27</f>
        <v>4.2068097953706772E-2</v>
      </c>
      <c r="W46" s="14">
        <f>W34/W27</f>
        <v>4.2068097953706772E-2</v>
      </c>
      <c r="X46" s="14">
        <f>X34/X27</f>
        <v>4.2068097953706772E-2</v>
      </c>
      <c r="Z46" s="1" t="s">
        <v>98</v>
      </c>
      <c r="AA46" s="16">
        <f>(AA45-Modell!$B$4)/Modell!$B$4</f>
        <v>-0.46177554341150617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Modell</vt:lpstr>
      <vt:lpstr>Segementer</vt:lpstr>
      <vt:lpstr>Nøkkeltall</vt:lpstr>
      <vt:lpstr>Nedsideberegning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2025-08-01T19:01:03Z</dcterms:modified>
</cp:coreProperties>
</file>