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962C8D6C-C802-4E44-85EB-501268E6C22C}" xr6:coauthVersionLast="47" xr6:coauthVersionMax="47" xr10:uidLastSave="{00000000-0000-0000-0000-000000000000}"/>
  <bookViews>
    <workbookView xWindow="24260" yWindow="500" windowWidth="26720" windowHeight="26740" xr2:uid="{94B0891E-D6B3-6945-A555-DBC7EB42234E}"/>
  </bookViews>
  <sheets>
    <sheet name="Info" sheetId="1" r:id="rId1"/>
    <sheet name="Modell" sheetId="2" r:id="rId2"/>
    <sheet name="Nøkkelt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P71" i="2"/>
  <c r="P63" i="2"/>
  <c r="P68" i="2" s="1"/>
  <c r="P79" i="2"/>
  <c r="P72" i="2"/>
  <c r="P56" i="2"/>
  <c r="P41" i="2"/>
  <c r="P35" i="2"/>
  <c r="P83" i="2" l="1"/>
  <c r="P85" i="2"/>
  <c r="P57" i="2"/>
  <c r="W78" i="2"/>
  <c r="W66" i="2"/>
  <c r="W68" i="2" s="1"/>
  <c r="X78" i="2"/>
  <c r="Y78" i="2"/>
  <c r="Y79" i="2" s="1"/>
  <c r="Z78" i="2"/>
  <c r="Z79" i="2" s="1"/>
  <c r="X71" i="2"/>
  <c r="X72" i="2" s="1"/>
  <c r="Y71" i="2"/>
  <c r="Z71" i="2"/>
  <c r="X79" i="2"/>
  <c r="W79" i="2"/>
  <c r="W72" i="2"/>
  <c r="Y72" i="2"/>
  <c r="Z72" i="2"/>
  <c r="X68" i="2"/>
  <c r="X85" i="2" s="1"/>
  <c r="Y68" i="2"/>
  <c r="Y85" i="2" s="1"/>
  <c r="Z61" i="2"/>
  <c r="Z68" i="2" s="1"/>
  <c r="Z85" i="2" s="1"/>
  <c r="W83" i="2" l="1"/>
  <c r="W85" i="2"/>
  <c r="X83" i="2"/>
  <c r="Y83" i="2"/>
  <c r="Z83" i="2"/>
  <c r="K85" i="2"/>
  <c r="I85" i="2"/>
  <c r="K79" i="2"/>
  <c r="J79" i="2"/>
  <c r="I79" i="2"/>
  <c r="H79" i="2"/>
  <c r="G79" i="2"/>
  <c r="F79" i="2"/>
  <c r="E79" i="2"/>
  <c r="D79" i="2"/>
  <c r="D83" i="2" s="1"/>
  <c r="O79" i="2"/>
  <c r="N79" i="2"/>
  <c r="M79" i="2"/>
  <c r="K72" i="2"/>
  <c r="J72" i="2"/>
  <c r="I72" i="2"/>
  <c r="H72" i="2"/>
  <c r="G72" i="2"/>
  <c r="F72" i="2"/>
  <c r="E72" i="2"/>
  <c r="D72" i="2"/>
  <c r="O72" i="2"/>
  <c r="N72" i="2"/>
  <c r="M72" i="2"/>
  <c r="D68" i="2"/>
  <c r="D85" i="2" s="1"/>
  <c r="E68" i="2"/>
  <c r="E83" i="2" s="1"/>
  <c r="F68" i="2"/>
  <c r="F85" i="2" s="1"/>
  <c r="G68" i="2"/>
  <c r="G85" i="2" s="1"/>
  <c r="H68" i="2"/>
  <c r="H85" i="2" s="1"/>
  <c r="I68" i="2"/>
  <c r="J68" i="2"/>
  <c r="J83" i="2" s="1"/>
  <c r="K68" i="2"/>
  <c r="M68" i="2"/>
  <c r="M85" i="2" s="1"/>
  <c r="N68" i="2"/>
  <c r="N83" i="2" s="1"/>
  <c r="O68" i="2"/>
  <c r="O83" i="2" s="1"/>
  <c r="H7" i="2"/>
  <c r="H9" i="2" s="1"/>
  <c r="H12" i="2" s="1"/>
  <c r="H14" i="2" s="1"/>
  <c r="D60" i="2"/>
  <c r="E60" i="2"/>
  <c r="F60" i="2"/>
  <c r="G60" i="2"/>
  <c r="I60" i="2"/>
  <c r="J60" i="2"/>
  <c r="K60" i="2"/>
  <c r="L79" i="2"/>
  <c r="L72" i="2"/>
  <c r="L68" i="2"/>
  <c r="L85" i="2" s="1"/>
  <c r="AA4" i="2"/>
  <c r="O56" i="2"/>
  <c r="O41" i="2"/>
  <c r="O35" i="2"/>
  <c r="Z6" i="2"/>
  <c r="O8" i="2"/>
  <c r="O5" i="2"/>
  <c r="O4" i="2"/>
  <c r="Z4" i="2" s="1"/>
  <c r="E85" i="2" l="1"/>
  <c r="K83" i="2"/>
  <c r="L83" i="2"/>
  <c r="I83" i="2"/>
  <c r="N85" i="2"/>
  <c r="O85" i="2"/>
  <c r="M83" i="2"/>
  <c r="F83" i="2"/>
  <c r="H83" i="2"/>
  <c r="J85" i="2"/>
  <c r="G83" i="2"/>
  <c r="H16" i="2"/>
  <c r="H60" i="2"/>
  <c r="O57" i="2"/>
  <c r="M56" i="2" l="1"/>
  <c r="D56" i="2"/>
  <c r="E56" i="2"/>
  <c r="F56" i="2"/>
  <c r="G56" i="2"/>
  <c r="H56" i="2"/>
  <c r="I56" i="2"/>
  <c r="J56" i="2"/>
  <c r="K56" i="2"/>
  <c r="L56" i="2"/>
  <c r="D41" i="2"/>
  <c r="E41" i="2"/>
  <c r="F41" i="2"/>
  <c r="G41" i="2"/>
  <c r="H41" i="2"/>
  <c r="I41" i="2"/>
  <c r="J41" i="2"/>
  <c r="K41" i="2"/>
  <c r="L41" i="2"/>
  <c r="M41" i="2"/>
  <c r="D35" i="2"/>
  <c r="E35" i="2"/>
  <c r="F35" i="2"/>
  <c r="G35" i="2"/>
  <c r="H35" i="2"/>
  <c r="I35" i="2"/>
  <c r="J35" i="2"/>
  <c r="K35" i="2"/>
  <c r="L35" i="2"/>
  <c r="M35" i="2"/>
  <c r="P18" i="2"/>
  <c r="AD4" i="2"/>
  <c r="AE4" i="2" s="1"/>
  <c r="AF4" i="2" s="1"/>
  <c r="AG4" i="2" s="1"/>
  <c r="AH4" i="2" s="1"/>
  <c r="AI4" i="2" s="1"/>
  <c r="AJ4" i="2" s="1"/>
  <c r="AK4" i="2" s="1"/>
  <c r="I57" i="2" l="1"/>
  <c r="G57" i="2"/>
  <c r="H57" i="2"/>
  <c r="F57" i="2"/>
  <c r="E57" i="2"/>
  <c r="L57" i="2"/>
  <c r="D57" i="2"/>
  <c r="M57" i="2"/>
  <c r="K57" i="2"/>
  <c r="J57" i="2"/>
  <c r="AA11" i="2"/>
  <c r="AA10" i="2"/>
  <c r="AA8" i="2"/>
  <c r="AA5" i="2"/>
  <c r="AA6" i="2"/>
  <c r="S18" i="2"/>
  <c r="P7" i="2"/>
  <c r="Q7" i="2"/>
  <c r="R7" i="2"/>
  <c r="S7" i="2"/>
  <c r="S19" i="2" s="1"/>
  <c r="AD8" i="2"/>
  <c r="AE8" i="2" s="1"/>
  <c r="AF8" i="2" s="1"/>
  <c r="AG8" i="2" s="1"/>
  <c r="AH8" i="2" s="1"/>
  <c r="AI8" i="2" s="1"/>
  <c r="AJ8" i="2" s="1"/>
  <c r="AK8" i="2" s="1"/>
  <c r="AD6" i="2"/>
  <c r="AE6" i="2" s="1"/>
  <c r="AF6" i="2" s="1"/>
  <c r="AG6" i="2" s="1"/>
  <c r="AH6" i="2" s="1"/>
  <c r="AI6" i="2" s="1"/>
  <c r="AJ6" i="2" s="1"/>
  <c r="AK6" i="2" s="1"/>
  <c r="AD5" i="2"/>
  <c r="AE5" i="2" s="1"/>
  <c r="AF5" i="2" s="1"/>
  <c r="AG5" i="2" s="1"/>
  <c r="AH5" i="2" s="1"/>
  <c r="AI5" i="2" s="1"/>
  <c r="AJ5" i="2" s="1"/>
  <c r="AK5" i="2" s="1"/>
  <c r="AB7" i="2"/>
  <c r="AB19" i="2" s="1"/>
  <c r="AC7" i="2"/>
  <c r="AC19" i="2" s="1"/>
  <c r="W7" i="2"/>
  <c r="W19" i="2" s="1"/>
  <c r="X7" i="2"/>
  <c r="X19" i="2" s="1"/>
  <c r="Y7" i="2"/>
  <c r="Y19" i="2" s="1"/>
  <c r="L7" i="2"/>
  <c r="M7" i="2"/>
  <c r="M19" i="2" s="1"/>
  <c r="N7" i="2"/>
  <c r="N19" i="2" s="1"/>
  <c r="O7" i="2"/>
  <c r="O19" i="2" s="1"/>
  <c r="AD18" i="2"/>
  <c r="Q18" i="2"/>
  <c r="R18" i="2"/>
  <c r="AC18" i="2"/>
  <c r="X18" i="2"/>
  <c r="Y18" i="2"/>
  <c r="Z13" i="2"/>
  <c r="Z11" i="2"/>
  <c r="Z10" i="2"/>
  <c r="Z8" i="2"/>
  <c r="Z5" i="2"/>
  <c r="Z7" i="2" s="1"/>
  <c r="Z19" i="2" s="1"/>
  <c r="Y9" i="2" l="1"/>
  <c r="Y12" i="2" s="1"/>
  <c r="Y14" i="2" s="1"/>
  <c r="AA7" i="2"/>
  <c r="AA19" i="2" s="1"/>
  <c r="X9" i="2"/>
  <c r="X12" i="2" s="1"/>
  <c r="X14" i="2" s="1"/>
  <c r="AD7" i="2"/>
  <c r="AD9" i="2" s="1"/>
  <c r="L9" i="2"/>
  <c r="L12" i="2" s="1"/>
  <c r="L14" i="2" s="1"/>
  <c r="L19" i="2"/>
  <c r="M9" i="2"/>
  <c r="M12" i="2" s="1"/>
  <c r="M14" i="2" s="1"/>
  <c r="Q9" i="2"/>
  <c r="Q12" i="2" s="1"/>
  <c r="Q14" i="2" s="1"/>
  <c r="Q16" i="2" s="1"/>
  <c r="Q19" i="2"/>
  <c r="S9" i="2"/>
  <c r="S12" i="2" s="1"/>
  <c r="S14" i="2" s="1"/>
  <c r="S16" i="2" s="1"/>
  <c r="N9" i="2"/>
  <c r="N12" i="2" s="1"/>
  <c r="N14" i="2" s="1"/>
  <c r="R9" i="2"/>
  <c r="R12" i="2" s="1"/>
  <c r="R14" i="2" s="1"/>
  <c r="R16" i="2" s="1"/>
  <c r="R19" i="2"/>
  <c r="P9" i="2"/>
  <c r="P12" i="2" s="1"/>
  <c r="P14" i="2" s="1"/>
  <c r="P19" i="2"/>
  <c r="Z9" i="2"/>
  <c r="W9" i="2"/>
  <c r="W12" i="2" s="1"/>
  <c r="W14" i="2" s="1"/>
  <c r="AB18" i="2"/>
  <c r="O9" i="2"/>
  <c r="AA9" i="2"/>
  <c r="AA12" i="2"/>
  <c r="AA14" i="2" s="1"/>
  <c r="AA16" i="2" s="1"/>
  <c r="F10" i="3" s="1"/>
  <c r="AA18" i="2"/>
  <c r="AC9" i="2"/>
  <c r="AC12" i="2" s="1"/>
  <c r="AC14" i="2" s="1"/>
  <c r="AC16" i="2" s="1"/>
  <c r="H10" i="3" s="1"/>
  <c r="AB9" i="2"/>
  <c r="AB12" i="2" s="1"/>
  <c r="AB14" i="2" s="1"/>
  <c r="AB16" i="2" s="1"/>
  <c r="G10" i="3" s="1"/>
  <c r="Z18" i="2"/>
  <c r="AE7" i="2"/>
  <c r="AE19" i="2" s="1"/>
  <c r="N41" i="2"/>
  <c r="N56" i="2"/>
  <c r="N35" i="2"/>
  <c r="P60" i="2" l="1"/>
  <c r="P16" i="2"/>
  <c r="W16" i="2"/>
  <c r="W60" i="2"/>
  <c r="AD19" i="2"/>
  <c r="M16" i="2"/>
  <c r="M60" i="2"/>
  <c r="L16" i="2"/>
  <c r="L60" i="2"/>
  <c r="N16" i="2"/>
  <c r="N60" i="2"/>
  <c r="X16" i="2"/>
  <c r="X60" i="2"/>
  <c r="Y16" i="2"/>
  <c r="Y60" i="2"/>
  <c r="O12" i="2"/>
  <c r="O14" i="2" s="1"/>
  <c r="AE9" i="2"/>
  <c r="AF7" i="2"/>
  <c r="AE18" i="2"/>
  <c r="AD12" i="2"/>
  <c r="Z12" i="2"/>
  <c r="Z14" i="2" s="1"/>
  <c r="N57" i="2"/>
  <c r="B6" i="2"/>
  <c r="B9" i="2" s="1"/>
  <c r="O16" i="2" l="1"/>
  <c r="O60" i="2"/>
  <c r="Z16" i="2"/>
  <c r="Z60" i="2"/>
  <c r="AF9" i="2"/>
  <c r="AF19" i="2"/>
  <c r="H8" i="3"/>
  <c r="G8" i="3"/>
  <c r="F8" i="3"/>
  <c r="AD13" i="2"/>
  <c r="AD14" i="2" s="1"/>
  <c r="AD16" i="2" s="1"/>
  <c r="AE12" i="2"/>
  <c r="AF18" i="2"/>
  <c r="AG7" i="2"/>
  <c r="G9" i="3"/>
  <c r="H9" i="3"/>
  <c r="F9" i="3"/>
  <c r="AG9" i="2" l="1"/>
  <c r="AG19" i="2"/>
  <c r="AE13" i="2"/>
  <c r="AE14" i="2" s="1"/>
  <c r="AE16" i="2" s="1"/>
  <c r="AG18" i="2"/>
  <c r="AH7" i="2"/>
  <c r="AF12" i="2"/>
  <c r="AH9" i="2" l="1"/>
  <c r="AH19" i="2"/>
  <c r="AF13" i="2"/>
  <c r="AF14" i="2" s="1"/>
  <c r="AF16" i="2" s="1"/>
  <c r="AG12" i="2"/>
  <c r="AH18" i="2"/>
  <c r="AI7" i="2"/>
  <c r="AI9" i="2" l="1"/>
  <c r="AI19" i="2"/>
  <c r="AG13" i="2"/>
  <c r="AG14" i="2" s="1"/>
  <c r="AG16" i="2" s="1"/>
  <c r="AH12" i="2"/>
  <c r="AI18" i="2"/>
  <c r="AJ7" i="2"/>
  <c r="AJ9" i="2" l="1"/>
  <c r="AJ19" i="2"/>
  <c r="AH13" i="2"/>
  <c r="AH14" i="2" s="1"/>
  <c r="AH16" i="2" s="1"/>
  <c r="AI12" i="2"/>
  <c r="AJ18" i="2"/>
  <c r="AK7" i="2"/>
  <c r="AK9" i="2" l="1"/>
  <c r="AK19" i="2"/>
  <c r="AI13" i="2"/>
  <c r="AI14" i="2" s="1"/>
  <c r="AI16" i="2" s="1"/>
  <c r="AK18" i="2"/>
  <c r="AJ12" i="2"/>
  <c r="AJ13" i="2" l="1"/>
  <c r="AJ14" i="2" s="1"/>
  <c r="AJ16" i="2" s="1"/>
  <c r="AK12" i="2"/>
  <c r="AK13" i="2" l="1"/>
  <c r="AK14" i="2" s="1"/>
  <c r="AK16" i="2" l="1"/>
  <c r="AL14" i="2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AN19" i="2" l="1"/>
  <c r="AN20" i="2" l="1"/>
  <c r="AN22" i="2" s="1"/>
  <c r="AN23" i="2" s="1"/>
</calcChain>
</file>

<file path=xl/sharedStrings.xml><?xml version="1.0" encoding="utf-8"?>
<sst xmlns="http://schemas.openxmlformats.org/spreadsheetml/2006/main" count="314" uniqueCount="245">
  <si>
    <t>Kapitalstruktur</t>
  </si>
  <si>
    <t>Price</t>
  </si>
  <si>
    <t>S/O</t>
  </si>
  <si>
    <t>MC NOKm</t>
  </si>
  <si>
    <t>Cash NOKm</t>
  </si>
  <si>
    <t>Debt NOKm</t>
  </si>
  <si>
    <t>EV NOKm</t>
  </si>
  <si>
    <t>Flåte</t>
  </si>
  <si>
    <t>Wind Zaratan</t>
  </si>
  <si>
    <t>Wind Scylla</t>
  </si>
  <si>
    <t>Wind Orca</t>
  </si>
  <si>
    <t>Wind Osprey</t>
  </si>
  <si>
    <t>Wind Maker</t>
  </si>
  <si>
    <t>Wind Mover</t>
  </si>
  <si>
    <t>Wind peak</t>
  </si>
  <si>
    <t>Wind Pace</t>
  </si>
  <si>
    <t>Wind Ally</t>
  </si>
  <si>
    <t>Wind Ace</t>
  </si>
  <si>
    <t>Wind Apex</t>
  </si>
  <si>
    <t>Class</t>
  </si>
  <si>
    <t>Wind turbine installation vessels (WTIV)</t>
  </si>
  <si>
    <t>Foundation installation vessels (FIV)</t>
  </si>
  <si>
    <t>Main crain capacity tonnes</t>
  </si>
  <si>
    <t>&gt;2600</t>
  </si>
  <si>
    <t>&gt;3000</t>
  </si>
  <si>
    <t>Z-class</t>
  </si>
  <si>
    <t>S-class</t>
  </si>
  <si>
    <t>O-class</t>
  </si>
  <si>
    <t>M-class</t>
  </si>
  <si>
    <t>P-class</t>
  </si>
  <si>
    <t>A-class</t>
  </si>
  <si>
    <t>Hook height (meters)</t>
  </si>
  <si>
    <t>&gt;200</t>
  </si>
  <si>
    <t>Turbine installation capacity (MW)</t>
  </si>
  <si>
    <t>15-20</t>
  </si>
  <si>
    <t>20+</t>
  </si>
  <si>
    <t>20+ &amp; up to 6 XL foundations</t>
  </si>
  <si>
    <t>12-14mw</t>
  </si>
  <si>
    <t>Q4 2025</t>
  </si>
  <si>
    <t>Q2 2025</t>
  </si>
  <si>
    <t>H2 2026</t>
  </si>
  <si>
    <t>H1 2027</t>
  </si>
  <si>
    <t>Oppgraderte kranen i Q1 2024 for å kunne ta 20 MW turbin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</si>
  <si>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</si>
  <si>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</si>
  <si>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</si>
  <si>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</si>
  <si>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</si>
  <si>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</si>
  <si>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</si>
  <si>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</si>
  <si>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</si>
  <si>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</si>
  <si>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</si>
  <si>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</si>
  <si>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Euro/NOK</t>
  </si>
  <si>
    <t>Revenue</t>
  </si>
  <si>
    <t>Cost of sales</t>
  </si>
  <si>
    <t>Other opex</t>
  </si>
  <si>
    <t>Adminstrative expenses</t>
  </si>
  <si>
    <t>EBIT</t>
  </si>
  <si>
    <t>Finance income</t>
  </si>
  <si>
    <t>Finance costs</t>
  </si>
  <si>
    <t>PTP</t>
  </si>
  <si>
    <t>tax</t>
  </si>
  <si>
    <t>Net income</t>
  </si>
  <si>
    <t>Share</t>
  </si>
  <si>
    <t>Revenue y/y</t>
  </si>
  <si>
    <t>Intangible assets</t>
  </si>
  <si>
    <t>PP&amp;E</t>
  </si>
  <si>
    <t>Derivative assets</t>
  </si>
  <si>
    <t>Inventories</t>
  </si>
  <si>
    <t>Trade reveivables</t>
  </si>
  <si>
    <t>Contract assets</t>
  </si>
  <si>
    <t xml:space="preserve">Prepayments </t>
  </si>
  <si>
    <t>Cash</t>
  </si>
  <si>
    <t>Total assets</t>
  </si>
  <si>
    <t xml:space="preserve">Right-of-use assets </t>
  </si>
  <si>
    <t>Leasehold deposits</t>
  </si>
  <si>
    <t>Share capital</t>
  </si>
  <si>
    <t>Treasury shares</t>
  </si>
  <si>
    <t>Reserves</t>
  </si>
  <si>
    <t>Retained earnings</t>
  </si>
  <si>
    <t>Total Equity</t>
  </si>
  <si>
    <t>Provisons</t>
  </si>
  <si>
    <t>Lese liabilities</t>
  </si>
  <si>
    <t>Deferred tax liabilities</t>
  </si>
  <si>
    <t>Deferred charter hire income</t>
  </si>
  <si>
    <t>Debt to credit institutions</t>
  </si>
  <si>
    <t>Derivative liabilties</t>
  </si>
  <si>
    <t>Trade an other payables</t>
  </si>
  <si>
    <t>Current provisions</t>
  </si>
  <si>
    <t>Payabales to related parties</t>
  </si>
  <si>
    <t>Current deferred charter hire income</t>
  </si>
  <si>
    <t>Current lease liabilties</t>
  </si>
  <si>
    <t xml:space="preserve">Current income tax liabilites </t>
  </si>
  <si>
    <t>Currenet debt to credit institutions</t>
  </si>
  <si>
    <t>Current derivative liabilites</t>
  </si>
  <si>
    <t>Total debt</t>
  </si>
  <si>
    <t>Total E/D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</si>
  <si>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</si>
  <si>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</si>
  <si>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</si>
  <si>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</si>
  <si>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</si>
  <si>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</si>
  <si>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</si>
  <si>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</si>
  <si>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</si>
  <si>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</si>
  <si>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</si>
  <si>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</si>
  <si>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</si>
  <si>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</si>
  <si>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EPS (NOK)</t>
  </si>
  <si>
    <t>FY 2021</t>
  </si>
  <si>
    <t>Q125</t>
  </si>
  <si>
    <t>Q225</t>
  </si>
  <si>
    <t>Q325</t>
  </si>
  <si>
    <t>Q425</t>
  </si>
  <si>
    <t>EV/EBIT</t>
  </si>
  <si>
    <t>P/E</t>
  </si>
  <si>
    <t>EBITDA</t>
  </si>
  <si>
    <t>EV/EBITDA</t>
  </si>
  <si>
    <t>EBITDA margin</t>
  </si>
  <si>
    <t>Discount</t>
  </si>
  <si>
    <t>TV</t>
  </si>
  <si>
    <t>NPV Eur</t>
  </si>
  <si>
    <t>NPV NOK</t>
  </si>
  <si>
    <t>NPV/Share</t>
  </si>
  <si>
    <t>Opp- nedside</t>
  </si>
  <si>
    <t>Order backlog (EUR mill)</t>
  </si>
  <si>
    <t>Balanse EUR million</t>
  </si>
  <si>
    <t>Press releases:</t>
  </si>
  <si>
    <t>28.02.25: Signerner kontrakt for Wind Pace i USA, arbeidet starter Q225 og varer frem til Q126, EUR 75 mill</t>
  </si>
  <si>
    <t>07.02.25: Signerner en vessel reservation agreement (VRA) med Ocran Winds for installasjon av turbiner i det pols-baltiske hav. EUR 48-56 mill</t>
  </si>
  <si>
    <t>03.02.25: Signere første kontrakt på nybygget Wind mover som vil starte når fartøyet blir ferdig i Q425</t>
  </si>
  <si>
    <t>31.01.25: Wind Maker blir det sjette nybygget som blir levert til Cadeler</t>
  </si>
  <si>
    <t>24.01.25: Styrelder Sohmen-Pao kjøper 361 135 aksjer til 57,25</t>
  </si>
  <si>
    <t>14.01.25: Styreleder Sohmen-Pau kjøper 943 001 aksjer til 58,85</t>
  </si>
  <si>
    <t>20.12.24: CEO kjøper 18 250 aksjer til 63,59</t>
  </si>
  <si>
    <t>05.12.24: Trøgda flagger 5 prossa</t>
  </si>
  <si>
    <t>05.11.24: Cadeler signerer kontrakt med Scottishpower om å transportere og innstallere 64 * 15MW turbiner samtidig som fundament. EUR 360 - 382 mill. Skal starte i 2027 og skal bruke en av A-classene</t>
  </si>
  <si>
    <t>01.10.24: Kontrakt med Equinor og Polenergia JV for instalsjon av deres 1440 MW windpark i polsk-baltic hav. Skal starte i 27 EUR120 - 144mill</t>
  </si>
  <si>
    <t>30.09.24: Signerer en VRA i Asia-Stillehavsområde. EUR 200mill</t>
  </si>
  <si>
    <t>26.06.24: Kontrakt på installasjon av 72 15MW turbiner, skal bruke M-klasse. EUR 114- 130mill starter i 26</t>
  </si>
  <si>
    <t>EUR million</t>
  </si>
  <si>
    <t>23.05.24: Signerer gigakontrakt verdt inntil EUR 700mill. Kan varierer mellom 400 - 700mill. Kommer til å bruke flere fartøy og oppstart er 27</t>
  </si>
  <si>
    <t xml:space="preserve">22.05.24: Cadeler bestiller sitt tredje a-klasse nybygg. </t>
  </si>
  <si>
    <t>13.05.24: Signerner en VRA med Equinor og Polenergia. EUR 110 -130 vil starte i 27</t>
  </si>
  <si>
    <t xml:space="preserve">08.04.24: Ørsted og Cadeler signerer langtidskontrakt for leasing av en av A-klasse nybyggene. Avtalen vil betyr at Ørsted sikrer seg et fartøy fra Q127 til 2030. </t>
  </si>
  <si>
    <t>27.03.24: Wind Scylla signerner kontrakt verdt EUR 75 - 150mill</t>
  </si>
  <si>
    <t>Pr nå er 15MW turbiner de største i verden.</t>
  </si>
  <si>
    <t>Vessel name</t>
  </si>
  <si>
    <t>Q1</t>
  </si>
  <si>
    <t>Q2</t>
  </si>
  <si>
    <t>Q3</t>
  </si>
  <si>
    <t>Q4</t>
  </si>
  <si>
    <t>Wind Peak</t>
  </si>
  <si>
    <t>Wind pace</t>
  </si>
  <si>
    <t>Wind ally</t>
  </si>
  <si>
    <t>Wind ace</t>
  </si>
  <si>
    <t>Wind apex</t>
  </si>
  <si>
    <t>Wind scylla</t>
  </si>
  <si>
    <t>Wind maker</t>
  </si>
  <si>
    <t>Wind mover</t>
  </si>
  <si>
    <t>Firm contract</t>
  </si>
  <si>
    <t>Assumed options</t>
  </si>
  <si>
    <t>Mobilisation and pre-delivery availibility</t>
  </si>
  <si>
    <t>Under construction</t>
  </si>
  <si>
    <t>Moray West</t>
  </si>
  <si>
    <t>Gode W &amp; Borku</t>
  </si>
  <si>
    <t>Baltic power</t>
  </si>
  <si>
    <t>He Dreiht</t>
  </si>
  <si>
    <t>Sofia</t>
  </si>
  <si>
    <t>Baltyk 2 &amp; 3</t>
  </si>
  <si>
    <t>EA Hub 3</t>
  </si>
  <si>
    <t>EA Hub 2</t>
  </si>
  <si>
    <t>Baltyk</t>
  </si>
  <si>
    <t>Baltica 2</t>
  </si>
  <si>
    <t>Hornsea 3</t>
  </si>
  <si>
    <t>Ørsted 4 år</t>
  </si>
  <si>
    <t>To 2030</t>
  </si>
  <si>
    <t>Undiclosed</t>
  </si>
  <si>
    <t>Revolution Wind</t>
  </si>
  <si>
    <t>Changhua</t>
  </si>
  <si>
    <t>APAC</t>
  </si>
  <si>
    <t>Inch cape</t>
  </si>
  <si>
    <t>Reservation agreement</t>
  </si>
  <si>
    <t>Undisclosed</t>
  </si>
  <si>
    <t>To 2031</t>
  </si>
  <si>
    <t>Ocean Winds</t>
  </si>
  <si>
    <t>USA</t>
  </si>
  <si>
    <t>CFFO</t>
  </si>
  <si>
    <t>CFFI</t>
  </si>
  <si>
    <t>Share premium</t>
  </si>
  <si>
    <t>Current income tax reveivables</t>
  </si>
  <si>
    <t>15.07.24: Signerer kontrakt som starter i 29</t>
  </si>
  <si>
    <t>O&amp;M</t>
  </si>
  <si>
    <t>Yunlin</t>
  </si>
  <si>
    <t>Current derivate assets</t>
  </si>
  <si>
    <t>Q1 2025</t>
  </si>
  <si>
    <r>
      <rPr>
        <sz val="14"/>
        <color theme="1"/>
        <rFont val="Calibri"/>
        <family val="2"/>
        <scheme val="minor"/>
      </rPr>
      <t>Built</t>
    </r>
    <r>
      <rPr>
        <b/>
        <sz val="14"/>
        <color theme="1"/>
        <rFont val="Calibri"/>
        <family val="2"/>
        <scheme val="minor"/>
      </rPr>
      <t>/expected deliv</t>
    </r>
  </si>
  <si>
    <t>26.03.25: Tar levering av Wind Pace</t>
  </si>
  <si>
    <t>28.03.25: Styremedlem Andrea Abt kjøper 6 000 aksjer for 300 000kr</t>
  </si>
  <si>
    <t>01.04.25: CEO og CFO kjøper aksjer</t>
  </si>
  <si>
    <t>01.04.25: Styrelder Sohmen-Pao kjøpe aksjer for 60 mill</t>
  </si>
  <si>
    <t>03.04.25: Styreleder Sohmen-Pao kjøper aksjer</t>
  </si>
  <si>
    <t>07.04.25: CEO kjøper aksjer</t>
  </si>
  <si>
    <t>09.04.25: Styreleder Sohmen-Pao kjøper aksjer</t>
  </si>
  <si>
    <t>Cash flow EURm</t>
  </si>
  <si>
    <t>Reported NI</t>
  </si>
  <si>
    <t>Model NI</t>
  </si>
  <si>
    <t>D/A</t>
  </si>
  <si>
    <t>Fair value of derivatives instruments</t>
  </si>
  <si>
    <t>Share-based comp</t>
  </si>
  <si>
    <t>WC</t>
  </si>
  <si>
    <t>Income tax</t>
  </si>
  <si>
    <t>Capex</t>
  </si>
  <si>
    <t>Purchase of intangibles</t>
  </si>
  <si>
    <t>Principal repayment of lease</t>
  </si>
  <si>
    <t>Interest paid</t>
  </si>
  <si>
    <t>Proceeds from issue of share cap</t>
  </si>
  <si>
    <t>Transaction costs on issues of shares</t>
  </si>
  <si>
    <t>Proceeds from borrowing</t>
  </si>
  <si>
    <t>CFFF</t>
  </si>
  <si>
    <t>FX</t>
  </si>
  <si>
    <t>CIC</t>
  </si>
  <si>
    <t>FCF</t>
  </si>
  <si>
    <t>Interest expense/income</t>
  </si>
  <si>
    <t>2025 guidance:</t>
  </si>
  <si>
    <t>485 - 525m</t>
  </si>
  <si>
    <t>278 - 318m</t>
  </si>
  <si>
    <t/>
  </si>
  <si>
    <t>22.05.25: Cadeler kjøper sitt 12 jack-up vessel som skal fokusere på O&amp;M segmentet</t>
  </si>
  <si>
    <t>Wind keeper</t>
  </si>
  <si>
    <t>K-class</t>
  </si>
  <si>
    <t>Q3 2025</t>
  </si>
  <si>
    <t>26.05.25: Styrelder Sohmen-Pao kjøper aksjer for 50 mill</t>
  </si>
  <si>
    <t>26.05.25: Cadeler kjøper tilbake aksjer for 22,5mill</t>
  </si>
  <si>
    <t>High-spec fartøy er mest relevant for installasjon av dette ti-årets vindparker</t>
  </si>
  <si>
    <t>Cadeler eier 1/3 av verdens flåte</t>
  </si>
  <si>
    <t>29.05.25: Styrelder Sohmen-Pao kjøper aksjer for 46,5 mill, kurs  49,02</t>
  </si>
  <si>
    <t>30.05.25: Fullfører tilbakekjøpsprogrammet, de kjøpte 395 200 aksjer til kurs 49,92</t>
  </si>
  <si>
    <t>04.06.25: Styreleder Sohmen-Pao kjøper aksjer for 14,5 millioner, kurs 49,93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</si>
</sst>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 %"/>
  </numFmts>
  <fonts count="12" x14ac:knownFonts="1"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2" fontId="2" fillId="0" borderId="1" xfId="0" applyNumberFormat="1" applyFont="1" applyBorder="1"/>
    <xf numFmtId="164" fontId="2" fillId="0" borderId="1" xfId="0" applyNumberFormat="1" applyFont="1" applyBorder="1"/>
    <xf numFmtId="164" fontId="1" fillId="0" borderId="1" xfId="0" applyNumberFormat="1" applyFont="1" applyBorder="1"/>
    <xf numFmtId="3" fontId="2" fillId="0" borderId="1" xfId="0" applyNumberFormat="1" applyFont="1" applyBorder="1"/>
    <xf numFmtId="3" fontId="2" fillId="0" borderId="0" xfId="0" applyNumberFormat="1" applyFont="1"/>
    <xf numFmtId="3" fontId="3" fillId="0" borderId="1" xfId="0" applyNumberFormat="1" applyFont="1" applyBorder="1"/>
    <xf numFmtId="0" fontId="4" fillId="0" borderId="0" xfId="0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" fontId="2" fillId="0" borderId="0" xfId="0" applyNumberFormat="1" applyFont="1"/>
    <xf numFmtId="1" fontId="3" fillId="0" borderId="0" xfId="0" applyNumberFormat="1" applyFont="1"/>
    <xf numFmtId="1" fontId="2" fillId="0" borderId="1" xfId="0" applyNumberFormat="1" applyFont="1" applyBorder="1"/>
    <xf numFmtId="1" fontId="3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3" fontId="3" fillId="0" borderId="0" xfId="0" applyNumberFormat="1" applyFont="1"/>
    <xf numFmtId="0" fontId="5" fillId="0" borderId="6" xfId="0" applyFont="1" applyBorder="1"/>
    <xf numFmtId="165" fontId="5" fillId="0" borderId="6" xfId="0" applyNumberFormat="1" applyFont="1" applyBorder="1"/>
    <xf numFmtId="0" fontId="6" fillId="0" borderId="6" xfId="0" applyFont="1" applyBorder="1"/>
    <xf numFmtId="3" fontId="2" fillId="0" borderId="5" xfId="0" applyNumberFormat="1" applyFont="1" applyBorder="1"/>
    <xf numFmtId="9" fontId="2" fillId="0" borderId="0" xfId="0" applyNumberFormat="1" applyFont="1"/>
    <xf numFmtId="9" fontId="3" fillId="0" borderId="0" xfId="0" applyNumberFormat="1" applyFont="1"/>
    <xf numFmtId="0" fontId="3" fillId="0" borderId="6" xfId="0" applyFont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2" borderId="0" xfId="0" applyFont="1" applyFill="1"/>
    <xf numFmtId="0" fontId="2" fillId="3" borderId="0" xfId="0" applyFont="1" applyFill="1"/>
    <xf numFmtId="0" fontId="9" fillId="4" borderId="0" xfId="0" applyFont="1" applyFill="1"/>
    <xf numFmtId="0" fontId="2" fillId="5" borderId="7" xfId="0" applyFont="1" applyFill="1" applyBorder="1"/>
    <xf numFmtId="0" fontId="2" fillId="5" borderId="0" xfId="0" applyFont="1" applyFill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4" borderId="7" xfId="0" applyFont="1" applyFill="1" applyBorder="1"/>
    <xf numFmtId="0" fontId="9" fillId="4" borderId="7" xfId="0" applyFont="1" applyFill="1" applyBorder="1"/>
    <xf numFmtId="0" fontId="9" fillId="4" borderId="1" xfId="0" applyFont="1" applyFill="1" applyBorder="1"/>
    <xf numFmtId="0" fontId="2" fillId="2" borderId="7" xfId="0" applyFont="1" applyFill="1" applyBorder="1"/>
    <xf numFmtId="0" fontId="2" fillId="2" borderId="1" xfId="0" applyFont="1" applyFill="1" applyBorder="1"/>
    <xf numFmtId="0" fontId="9" fillId="2" borderId="1" xfId="0" applyFont="1" applyFill="1" applyBorder="1"/>
    <xf numFmtId="3" fontId="4" fillId="0" borderId="0" xfId="0" applyNumberFormat="1" applyFont="1"/>
    <xf numFmtId="10" fontId="3" fillId="0" borderId="0" xfId="0" applyNumberFormat="1" applyFont="1"/>
    <xf numFmtId="166" fontId="3" fillId="0" borderId="0" xfId="0" applyNumberFormat="1" applyFont="1"/>
    <xf numFmtId="166" fontId="3" fillId="0" borderId="1" xfId="0" applyNumberFormat="1" applyFont="1" applyBorder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2" fillId="0" borderId="0" xfId="0" quotePrefix="1" applyFont="1"/>
    <xf numFmtId="10" fontId="3" fillId="0" borderId="1" xfId="0" applyNumberFormat="1" applyFont="1" applyBorder="1"/>
    <xf numFmtId="3" fontId="4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787400</xdr:colOff>
      <xdr:row>1</xdr:row>
      <xdr:rowOff>12700</xdr:rowOff>
    </xdr:from>
    <xdr:to>
      <xdr:col>32</xdr:col>
      <xdr:colOff>243220</xdr:colOff>
      <xdr:row>20</xdr:row>
      <xdr:rowOff>206375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9D50AD-7F2D-3BC4-E8DE-43E9699F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9025" y="250825"/>
          <a:ext cx="12282820" cy="49085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650874</xdr:colOff>
      <xdr:row>48</xdr:row>
      <xdr:rowOff>190500</xdr:rowOff>
    </xdr:from>
    <xdr:to>
      <xdr:col>27</xdr:col>
      <xdr:colOff>131188</xdr:colOff>
      <xdr:row>63</xdr:row>
      <xdr:rowOff>158750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2A51C73-C591-FAAA-CF14-D648541CA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499" y="10191750"/>
          <a:ext cx="9306939" cy="3540125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904874</xdr:colOff>
      <xdr:row>51</xdr:row>
      <xdr:rowOff>206375</xdr:rowOff>
    </xdr:from>
    <xdr:to>
      <xdr:col>9</xdr:col>
      <xdr:colOff>590334</xdr:colOff>
      <xdr:row>69</xdr:row>
      <xdr:rowOff>111125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DB9DC6D-F5AE-922B-BFBE-CA99CA7C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4" y="12128500"/>
          <a:ext cx="12750585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1435-709C-3B43-BA1B-F2D0BCFE38FD}">
  <dimension ref="A1:AM66"/>
  <sheetViews>
    <sheetView showGridLines="0" tabSelected="1" zoomScale="90" zoomScaleNormal="90" workbookViewId="0">
      <selection activeCell="F14" sqref="F14"/>
    </sheetView>
  </sheetViews>
  <sheetFormatPr baseColWidth="10" defaultRowHeight="19" x14ac:dyDescent="0.25"/>
  <cols>
    <col min="1" max="1" width="17.83203125" style="2" customWidth="1"/>
    <col min="2" max="2" width="14" style="2" bestFit="1" customWidth="1"/>
    <col min="3" max="3" width="10.83203125" style="2"/>
    <col min="4" max="4" width="28.1640625" style="2" bestFit="1" customWidth="1"/>
    <col min="5" max="5" width="22.33203125" style="2" bestFit="1" customWidth="1"/>
    <col min="6" max="6" width="35.6640625" style="2" bestFit="1" customWidth="1"/>
    <col min="7" max="7" width="21" style="2" bestFit="1" customWidth="1"/>
    <col min="8" max="13" width="10.83203125" style="2"/>
    <col min="14" max="14" width="14.83203125" style="2" customWidth="1"/>
    <col min="15" max="15" width="10.83203125" style="2"/>
    <col min="16" max="17" width="7.83203125" style="2" customWidth="1"/>
    <col min="18" max="18" width="8.1640625" style="2" customWidth="1"/>
    <col min="19" max="19" width="7.83203125" style="2" customWidth="1"/>
    <col min="20" max="20" width="7.33203125" style="2" customWidth="1"/>
    <col min="21" max="21" width="7.5" style="2" customWidth="1"/>
    <col min="22" max="22" width="7.33203125" style="2" customWidth="1"/>
    <col min="23" max="24" width="7.5" style="2" customWidth="1"/>
    <col min="25" max="25" width="6.83203125" style="2" customWidth="1"/>
    <col min="26" max="26" width="8.5" style="2" customWidth="1"/>
    <col min="27" max="27" width="8.1640625" style="2" customWidth="1"/>
    <col min="28" max="28" width="7.5" style="2" customWidth="1"/>
    <col min="29" max="29" width="8.1640625" style="2" customWidth="1"/>
    <col min="30" max="30" width="7.33203125" style="2" customWidth="1"/>
    <col min="31" max="31" width="8.1640625" style="2" customWidth="1"/>
    <col min="32" max="32" width="8.33203125" style="2" customWidth="1"/>
    <col min="33" max="33" width="7.83203125" style="2" customWidth="1"/>
    <col min="34" max="34" width="8.5" style="2" customWidth="1"/>
    <col min="35" max="35" width="7.33203125" style="2" customWidth="1"/>
    <col min="36" max="36" width="6.83203125" style="2" customWidth="1"/>
    <col min="37" max="37" width="7.33203125" style="2" customWidth="1"/>
    <col min="38" max="38" width="7" style="2" customWidth="1"/>
    <col min="39" max="39" width="8.33203125" style="2" customWidth="1"/>
    <col min="40" max="16384" width="10.83203125" style="2"/>
  </cols>
  <sheetData>
    <row r="1" spans="1:14" x14ac:dyDescent="0.25">
      <c r="N1" s="4" t="s">
        <v>152</v>
      </c>
    </row>
    <row r="4" spans="1:14" x14ac:dyDescent="0.25">
      <c r="B4" s="4" t="s">
        <v>7</v>
      </c>
      <c r="C4" s="4" t="s">
        <v>19</v>
      </c>
      <c r="D4" s="4" t="s">
        <v>22</v>
      </c>
      <c r="E4" s="4" t="s">
        <v>31</v>
      </c>
      <c r="F4" s="4" t="s">
        <v>33</v>
      </c>
      <c r="G4" s="4" t="s">
        <v>202</v>
      </c>
    </row>
    <row r="5" spans="1:14" ht="19" customHeight="1" x14ac:dyDescent="0.25">
      <c r="A5" s="65" t="s">
        <v>20</v>
      </c>
      <c r="B5" s="18" t="s">
        <v>8</v>
      </c>
      <c r="C5" s="18" t="s">
        <v>25</v>
      </c>
      <c r="D5" s="19">
        <v>800</v>
      </c>
      <c r="E5" s="19">
        <v>92</v>
      </c>
      <c r="F5" s="19">
        <v>9.5</v>
      </c>
      <c r="G5" s="19">
        <v>2012</v>
      </c>
    </row>
    <row r="6" spans="1:14" x14ac:dyDescent="0.25">
      <c r="A6" s="66"/>
      <c r="B6" s="18" t="s">
        <v>9</v>
      </c>
      <c r="C6" s="18" t="s">
        <v>26</v>
      </c>
      <c r="D6" s="19">
        <v>1540</v>
      </c>
      <c r="E6" s="19">
        <v>105</v>
      </c>
      <c r="F6" s="20" t="s">
        <v>37</v>
      </c>
      <c r="G6" s="19">
        <v>2015</v>
      </c>
    </row>
    <row r="7" spans="1:14" x14ac:dyDescent="0.25">
      <c r="A7" s="66"/>
      <c r="B7" s="18" t="s">
        <v>10</v>
      </c>
      <c r="C7" s="18" t="s">
        <v>27</v>
      </c>
      <c r="D7" s="19">
        <v>1600</v>
      </c>
      <c r="E7" s="19">
        <v>160</v>
      </c>
      <c r="F7" s="19" t="s">
        <v>34</v>
      </c>
      <c r="G7" s="19">
        <v>2012</v>
      </c>
      <c r="H7" s="2" t="s">
        <v>42</v>
      </c>
    </row>
    <row r="8" spans="1:14" x14ac:dyDescent="0.25">
      <c r="A8" s="66"/>
      <c r="B8" s="18" t="s">
        <v>11</v>
      </c>
      <c r="C8" s="18" t="s">
        <v>27</v>
      </c>
      <c r="D8" s="19">
        <v>1600</v>
      </c>
      <c r="E8" s="19">
        <v>160</v>
      </c>
      <c r="F8" s="19" t="s">
        <v>34</v>
      </c>
      <c r="G8" s="19">
        <v>2013</v>
      </c>
      <c r="H8" s="2" t="s">
        <v>42</v>
      </c>
    </row>
    <row r="9" spans="1:14" x14ac:dyDescent="0.25">
      <c r="A9" s="66"/>
      <c r="B9" s="18" t="s">
        <v>235</v>
      </c>
      <c r="C9" s="18" t="s">
        <v>236</v>
      </c>
      <c r="D9" s="19">
        <v>2200</v>
      </c>
      <c r="E9" s="19"/>
      <c r="F9" s="19">
        <v>15</v>
      </c>
      <c r="G9" s="34" t="s">
        <v>237</v>
      </c>
    </row>
    <row r="10" spans="1:14" x14ac:dyDescent="0.25">
      <c r="A10" s="66"/>
      <c r="B10" s="18" t="s">
        <v>12</v>
      </c>
      <c r="C10" s="18" t="s">
        <v>28</v>
      </c>
      <c r="D10" s="19">
        <v>2600</v>
      </c>
      <c r="E10" s="19">
        <v>174</v>
      </c>
      <c r="F10" s="19" t="s">
        <v>35</v>
      </c>
      <c r="G10" s="19" t="s">
        <v>201</v>
      </c>
    </row>
    <row r="11" spans="1:14" x14ac:dyDescent="0.25">
      <c r="A11" s="66"/>
      <c r="B11" s="18" t="s">
        <v>13</v>
      </c>
      <c r="C11" s="18" t="s">
        <v>28</v>
      </c>
      <c r="D11" s="19">
        <v>2600</v>
      </c>
      <c r="E11" s="19">
        <v>174</v>
      </c>
      <c r="F11" s="19" t="s">
        <v>35</v>
      </c>
      <c r="G11" s="34" t="s">
        <v>38</v>
      </c>
    </row>
    <row r="12" spans="1:14" x14ac:dyDescent="0.25">
      <c r="A12" s="66"/>
      <c r="B12" s="18" t="s">
        <v>14</v>
      </c>
      <c r="C12" s="18" t="s">
        <v>29</v>
      </c>
      <c r="D12" s="19" t="s">
        <v>23</v>
      </c>
      <c r="E12" s="19" t="s">
        <v>32</v>
      </c>
      <c r="F12" s="19" t="s">
        <v>35</v>
      </c>
      <c r="G12" s="19">
        <v>2024</v>
      </c>
    </row>
    <row r="13" spans="1:14" ht="19" customHeight="1" x14ac:dyDescent="0.25">
      <c r="A13" s="67"/>
      <c r="B13" s="18" t="s">
        <v>15</v>
      </c>
      <c r="C13" s="18" t="s">
        <v>29</v>
      </c>
      <c r="D13" s="19" t="s">
        <v>23</v>
      </c>
      <c r="E13" s="19" t="s">
        <v>32</v>
      </c>
      <c r="F13" s="19" t="s">
        <v>35</v>
      </c>
      <c r="G13" s="19" t="s">
        <v>39</v>
      </c>
    </row>
    <row r="14" spans="1:14" x14ac:dyDescent="0.25">
      <c r="A14" s="65" t="s">
        <v>21</v>
      </c>
      <c r="B14" s="18" t="s">
        <v>16</v>
      </c>
      <c r="C14" s="18" t="s">
        <v>30</v>
      </c>
      <c r="D14" s="19" t="s">
        <v>24</v>
      </c>
      <c r="E14" s="19" t="s">
        <v>32</v>
      </c>
      <c r="F14" s="19" t="s">
        <v>36</v>
      </c>
      <c r="G14" s="34" t="s">
        <v>38</v>
      </c>
    </row>
    <row r="15" spans="1:14" x14ac:dyDescent="0.25">
      <c r="A15" s="66"/>
      <c r="B15" s="18" t="s">
        <v>17</v>
      </c>
      <c r="C15" s="18" t="s">
        <v>30</v>
      </c>
      <c r="D15" s="19" t="s">
        <v>24</v>
      </c>
      <c r="E15" s="19" t="s">
        <v>32</v>
      </c>
      <c r="F15" s="19" t="s">
        <v>36</v>
      </c>
      <c r="G15" s="34" t="s">
        <v>40</v>
      </c>
    </row>
    <row r="16" spans="1:14" x14ac:dyDescent="0.25">
      <c r="A16" s="67"/>
      <c r="B16" s="18" t="s">
        <v>18</v>
      </c>
      <c r="C16" s="18" t="s">
        <v>30</v>
      </c>
      <c r="D16" s="19" t="s">
        <v>24</v>
      </c>
      <c r="E16" s="19" t="s">
        <v>32</v>
      </c>
      <c r="F16" s="19" t="s">
        <v>36</v>
      </c>
      <c r="G16" s="34" t="s">
        <v>41</v>
      </c>
    </row>
    <row r="18" spans="1:39" ht="24" x14ac:dyDescent="0.3">
      <c r="H18" s="61"/>
    </row>
    <row r="19" spans="1:39" ht="24" x14ac:dyDescent="0.3">
      <c r="A19" s="4" t="s">
        <v>133</v>
      </c>
      <c r="G19" s="60" t="s">
        <v>230</v>
      </c>
    </row>
    <row r="20" spans="1:39" ht="24" x14ac:dyDescent="0.3">
      <c r="A20" s="2" t="s">
        <v>244</v>
      </c>
      <c r="G20" s="61" t="s">
        <v>56</v>
      </c>
      <c r="H20" s="61" t="s">
        <v>231</v>
      </c>
    </row>
    <row r="21" spans="1:39" ht="24" customHeight="1" x14ac:dyDescent="0.3">
      <c r="A21" s="2" t="s">
        <v>243</v>
      </c>
      <c r="G21" s="61" t="s">
        <v>122</v>
      </c>
      <c r="H21" s="61" t="s">
        <v>232</v>
      </c>
    </row>
    <row r="22" spans="1:39" x14ac:dyDescent="0.25">
      <c r="A22" s="2" t="s">
        <v>242</v>
      </c>
    </row>
    <row r="23" spans="1:39" x14ac:dyDescent="0.25">
      <c r="A23" s="2" t="s">
        <v>239</v>
      </c>
    </row>
    <row r="24" spans="1:39" x14ac:dyDescent="0.25">
      <c r="A24" s="2" t="s">
        <v>238</v>
      </c>
    </row>
    <row r="25" spans="1:39" x14ac:dyDescent="0.25">
      <c r="A25" s="2" t="s">
        <v>234</v>
      </c>
    </row>
    <row r="26" spans="1:39" x14ac:dyDescent="0.25">
      <c r="A26" s="2" t="s">
        <v>209</v>
      </c>
    </row>
    <row r="27" spans="1:39" x14ac:dyDescent="0.25">
      <c r="A27" s="2" t="s">
        <v>208</v>
      </c>
    </row>
    <row r="28" spans="1:39" x14ac:dyDescent="0.25">
      <c r="A28" s="2" t="s">
        <v>207</v>
      </c>
    </row>
    <row r="29" spans="1:39" x14ac:dyDescent="0.25">
      <c r="A29" s="2" t="s">
        <v>206</v>
      </c>
    </row>
    <row r="30" spans="1:39" x14ac:dyDescent="0.25">
      <c r="A30" s="2" t="s">
        <v>205</v>
      </c>
      <c r="P30" s="68">
        <v>2024</v>
      </c>
      <c r="Q30" s="69"/>
      <c r="R30" s="69"/>
      <c r="S30" s="70"/>
      <c r="T30" s="68">
        <v>2025</v>
      </c>
      <c r="U30" s="69"/>
      <c r="V30" s="69"/>
      <c r="W30" s="70"/>
      <c r="X30" s="68">
        <v>2026</v>
      </c>
      <c r="Y30" s="69"/>
      <c r="Z30" s="69"/>
      <c r="AA30" s="70"/>
      <c r="AB30" s="68">
        <v>2027</v>
      </c>
      <c r="AC30" s="69"/>
      <c r="AD30" s="69"/>
      <c r="AE30" s="70"/>
      <c r="AF30" s="71">
        <v>2028</v>
      </c>
      <c r="AG30" s="72"/>
      <c r="AH30" s="72"/>
      <c r="AI30" s="73"/>
      <c r="AJ30" s="71">
        <v>2029</v>
      </c>
      <c r="AK30" s="72"/>
      <c r="AL30" s="72"/>
      <c r="AM30" s="73"/>
    </row>
    <row r="31" spans="1:39" x14ac:dyDescent="0.25">
      <c r="A31" s="2" t="s">
        <v>204</v>
      </c>
      <c r="N31" s="35" t="s">
        <v>153</v>
      </c>
      <c r="O31" s="35" t="s">
        <v>19</v>
      </c>
      <c r="P31" s="38" t="s">
        <v>154</v>
      </c>
      <c r="Q31" s="36" t="s">
        <v>155</v>
      </c>
      <c r="R31" s="36" t="s">
        <v>156</v>
      </c>
      <c r="S31" s="37" t="s">
        <v>157</v>
      </c>
      <c r="T31" s="38" t="s">
        <v>154</v>
      </c>
      <c r="U31" s="59" t="s">
        <v>155</v>
      </c>
      <c r="V31" s="36" t="s">
        <v>156</v>
      </c>
      <c r="W31" s="37" t="s">
        <v>157</v>
      </c>
      <c r="X31" s="38" t="s">
        <v>154</v>
      </c>
      <c r="Y31" s="36" t="s">
        <v>155</v>
      </c>
      <c r="Z31" s="36" t="s">
        <v>156</v>
      </c>
      <c r="AA31" s="37" t="s">
        <v>157</v>
      </c>
      <c r="AB31" s="38" t="s">
        <v>154</v>
      </c>
      <c r="AC31" s="36" t="s">
        <v>155</v>
      </c>
      <c r="AD31" s="36" t="s">
        <v>156</v>
      </c>
      <c r="AE31" s="37" t="s">
        <v>157</v>
      </c>
      <c r="AF31" s="38" t="s">
        <v>154</v>
      </c>
      <c r="AG31" s="36" t="s">
        <v>155</v>
      </c>
      <c r="AH31" s="36" t="s">
        <v>156</v>
      </c>
      <c r="AI31" s="37" t="s">
        <v>157</v>
      </c>
      <c r="AJ31" s="38" t="s">
        <v>154</v>
      </c>
      <c r="AK31" s="36" t="s">
        <v>155</v>
      </c>
      <c r="AL31" s="36" t="s">
        <v>156</v>
      </c>
      <c r="AM31" s="37" t="s">
        <v>157</v>
      </c>
    </row>
    <row r="32" spans="1:39" x14ac:dyDescent="0.25">
      <c r="A32" s="2" t="s">
        <v>203</v>
      </c>
      <c r="P32" s="39"/>
      <c r="S32" s="3"/>
      <c r="T32" s="39"/>
      <c r="W32" s="3"/>
      <c r="X32" s="39"/>
      <c r="AA32" s="3"/>
      <c r="AB32" s="39"/>
      <c r="AE32" s="3"/>
      <c r="AF32" s="39"/>
      <c r="AI32" s="3"/>
      <c r="AJ32" s="39"/>
      <c r="AM32" s="3"/>
    </row>
    <row r="33" spans="1:39" x14ac:dyDescent="0.25">
      <c r="A33" s="2" t="s">
        <v>134</v>
      </c>
      <c r="N33" s="2" t="s">
        <v>10</v>
      </c>
      <c r="O33" s="2" t="s">
        <v>27</v>
      </c>
      <c r="P33" s="43"/>
      <c r="Q33" s="42" t="s">
        <v>170</v>
      </c>
      <c r="R33" s="42"/>
      <c r="S33" s="48"/>
      <c r="T33" s="50" t="s">
        <v>198</v>
      </c>
      <c r="U33" s="42" t="s">
        <v>172</v>
      </c>
      <c r="V33" s="47"/>
      <c r="W33" s="48"/>
      <c r="X33" s="52"/>
      <c r="AA33" s="3"/>
      <c r="AB33" s="50" t="s">
        <v>175</v>
      </c>
      <c r="AC33" s="47"/>
      <c r="AD33" s="47"/>
      <c r="AE33" s="53"/>
      <c r="AF33" s="50" t="s">
        <v>191</v>
      </c>
      <c r="AG33" s="47"/>
      <c r="AH33" s="47"/>
      <c r="AI33" s="48"/>
      <c r="AJ33" s="39"/>
      <c r="AM33" s="3"/>
    </row>
    <row r="34" spans="1:39" x14ac:dyDescent="0.25">
      <c r="A34" s="2" t="s">
        <v>135</v>
      </c>
      <c r="N34" s="2" t="s">
        <v>11</v>
      </c>
      <c r="O34" s="2" t="s">
        <v>27</v>
      </c>
      <c r="P34" s="43"/>
      <c r="Q34" s="42" t="s">
        <v>171</v>
      </c>
      <c r="R34" s="42"/>
      <c r="S34" s="48"/>
      <c r="T34" s="50" t="s">
        <v>198</v>
      </c>
      <c r="U34" s="42" t="s">
        <v>173</v>
      </c>
      <c r="V34" s="47"/>
      <c r="W34" s="48"/>
      <c r="X34" s="52"/>
      <c r="Y34" s="42" t="s">
        <v>176</v>
      </c>
      <c r="Z34" s="47"/>
      <c r="AA34" s="53"/>
      <c r="AB34" s="39"/>
      <c r="AD34" s="42" t="s">
        <v>177</v>
      </c>
      <c r="AE34" s="48"/>
      <c r="AF34" s="52"/>
      <c r="AG34" s="40"/>
      <c r="AI34" s="3"/>
      <c r="AJ34" s="39"/>
      <c r="AM34" s="3"/>
    </row>
    <row r="35" spans="1:39" x14ac:dyDescent="0.25">
      <c r="A35" s="2" t="s">
        <v>136</v>
      </c>
      <c r="N35" s="2" t="s">
        <v>158</v>
      </c>
      <c r="O35" s="2" t="s">
        <v>29</v>
      </c>
      <c r="P35" s="43" t="s">
        <v>169</v>
      </c>
      <c r="Q35" s="44"/>
      <c r="R35" s="44"/>
      <c r="S35" s="46"/>
      <c r="T35" s="50" t="s">
        <v>174</v>
      </c>
      <c r="U35" s="47"/>
      <c r="V35" s="47"/>
      <c r="W35" s="48"/>
      <c r="X35" s="49"/>
      <c r="Y35" s="42"/>
      <c r="Z35" s="40"/>
      <c r="AA35" s="51" t="s">
        <v>180</v>
      </c>
      <c r="AB35" s="49"/>
      <c r="AC35" s="47"/>
      <c r="AD35" s="47"/>
      <c r="AE35" s="53"/>
      <c r="AF35" s="50" t="s">
        <v>189</v>
      </c>
      <c r="AG35" s="47"/>
      <c r="AH35" s="47"/>
      <c r="AI35" s="53"/>
      <c r="AJ35" s="39"/>
      <c r="AM35" s="3"/>
    </row>
    <row r="36" spans="1:39" x14ac:dyDescent="0.25">
      <c r="A36" s="2" t="s">
        <v>137</v>
      </c>
      <c r="N36" s="2" t="s">
        <v>159</v>
      </c>
      <c r="O36" s="2" t="s">
        <v>29</v>
      </c>
      <c r="P36" s="43" t="s">
        <v>169</v>
      </c>
      <c r="Q36" s="44"/>
      <c r="R36" s="44"/>
      <c r="S36" s="45"/>
      <c r="T36" s="43"/>
      <c r="U36" s="42" t="s">
        <v>192</v>
      </c>
      <c r="V36" s="47"/>
      <c r="W36" s="48"/>
      <c r="X36" s="49"/>
      <c r="Y36" s="42" t="s">
        <v>176</v>
      </c>
      <c r="Z36" s="47"/>
      <c r="AA36" s="53"/>
      <c r="AB36" s="50" t="s">
        <v>178</v>
      </c>
      <c r="AC36" s="40"/>
      <c r="AD36" s="42" t="s">
        <v>179</v>
      </c>
      <c r="AE36" s="48"/>
      <c r="AF36" s="39"/>
      <c r="AI36" s="3"/>
      <c r="AJ36" s="39"/>
      <c r="AM36" s="3"/>
    </row>
    <row r="37" spans="1:39" x14ac:dyDescent="0.25">
      <c r="A37" s="2" t="s">
        <v>138</v>
      </c>
      <c r="N37" s="2" t="s">
        <v>160</v>
      </c>
      <c r="O37" s="2" t="s">
        <v>30</v>
      </c>
      <c r="P37" s="43" t="s">
        <v>169</v>
      </c>
      <c r="Q37" s="44"/>
      <c r="R37" s="44"/>
      <c r="S37" s="45"/>
      <c r="T37" s="43"/>
      <c r="U37" s="44"/>
      <c r="V37" s="44"/>
      <c r="W37" s="45"/>
      <c r="X37" s="50" t="s">
        <v>180</v>
      </c>
      <c r="Y37" s="47"/>
      <c r="Z37" s="47"/>
      <c r="AA37" s="48"/>
      <c r="AB37" s="50" t="s">
        <v>181</v>
      </c>
      <c r="AC37" s="47"/>
      <c r="AD37" s="47"/>
      <c r="AE37" s="48"/>
      <c r="AF37" s="49"/>
      <c r="AG37" s="47"/>
      <c r="AH37" s="47"/>
      <c r="AI37" s="48"/>
      <c r="AJ37" s="49"/>
      <c r="AK37" s="47"/>
      <c r="AL37" s="47"/>
      <c r="AM37" s="51" t="s">
        <v>182</v>
      </c>
    </row>
    <row r="38" spans="1:39" x14ac:dyDescent="0.25">
      <c r="A38" s="2" t="s">
        <v>139</v>
      </c>
      <c r="N38" s="2" t="s">
        <v>161</v>
      </c>
      <c r="O38" s="2" t="s">
        <v>30</v>
      </c>
      <c r="P38" s="43" t="s">
        <v>169</v>
      </c>
      <c r="Q38" s="44"/>
      <c r="R38" s="44"/>
      <c r="S38" s="45"/>
      <c r="T38" s="43"/>
      <c r="U38" s="44"/>
      <c r="V38" s="44"/>
      <c r="W38" s="45"/>
      <c r="X38" s="43"/>
      <c r="Y38" s="44"/>
      <c r="Z38" s="41"/>
      <c r="AA38" s="46"/>
      <c r="AB38" s="50" t="s">
        <v>177</v>
      </c>
      <c r="AC38" s="47"/>
      <c r="AD38" s="40"/>
      <c r="AE38" s="53"/>
      <c r="AF38" s="50" t="s">
        <v>183</v>
      </c>
      <c r="AG38" s="47"/>
      <c r="AH38" s="40"/>
      <c r="AI38" s="53"/>
      <c r="AJ38" s="52"/>
      <c r="AK38" s="40"/>
      <c r="AL38" s="40"/>
      <c r="AM38" s="54" t="s">
        <v>190</v>
      </c>
    </row>
    <row r="39" spans="1:39" x14ac:dyDescent="0.25">
      <c r="A39" s="2" t="s">
        <v>140</v>
      </c>
      <c r="N39" s="2" t="s">
        <v>162</v>
      </c>
      <c r="O39" s="2" t="s">
        <v>30</v>
      </c>
      <c r="P39" s="39"/>
      <c r="Q39" s="40"/>
      <c r="R39" s="44"/>
      <c r="S39" s="45"/>
      <c r="T39" s="43"/>
      <c r="U39" s="44"/>
      <c r="V39" s="44"/>
      <c r="W39" s="45"/>
      <c r="X39" s="43"/>
      <c r="Y39" s="44"/>
      <c r="Z39" s="44"/>
      <c r="AA39" s="45"/>
      <c r="AB39" s="43"/>
      <c r="AC39" s="41"/>
      <c r="AE39" s="3"/>
      <c r="AF39" s="39"/>
      <c r="AI39" s="3"/>
      <c r="AJ39" s="39"/>
      <c r="AM39" s="3"/>
    </row>
    <row r="40" spans="1:39" x14ac:dyDescent="0.25">
      <c r="A40" s="2" t="s">
        <v>141</v>
      </c>
      <c r="N40" s="2" t="s">
        <v>8</v>
      </c>
      <c r="O40" s="2" t="s">
        <v>25</v>
      </c>
      <c r="P40" s="39"/>
      <c r="Q40" s="42" t="s">
        <v>199</v>
      </c>
      <c r="R40" s="47"/>
      <c r="S40" s="3"/>
      <c r="T40" s="39"/>
      <c r="W40" s="3"/>
      <c r="X40" s="39"/>
      <c r="AA40" s="3"/>
      <c r="AB40" s="39"/>
      <c r="AE40" s="3"/>
      <c r="AF40" s="39"/>
      <c r="AI40" s="3"/>
      <c r="AJ40" s="39"/>
      <c r="AM40" s="3"/>
    </row>
    <row r="41" spans="1:39" x14ac:dyDescent="0.25">
      <c r="A41" s="2" t="s">
        <v>142</v>
      </c>
      <c r="N41" s="2" t="s">
        <v>163</v>
      </c>
      <c r="O41" s="2" t="s">
        <v>26</v>
      </c>
      <c r="P41" s="49"/>
      <c r="Q41" s="42" t="s">
        <v>184</v>
      </c>
      <c r="R41" s="47"/>
      <c r="S41" s="48"/>
      <c r="T41" s="50" t="s">
        <v>183</v>
      </c>
      <c r="U41" s="47"/>
      <c r="V41" s="47"/>
      <c r="W41" s="48"/>
      <c r="X41" s="52"/>
      <c r="Y41" s="40"/>
      <c r="AA41" s="3"/>
      <c r="AB41" s="39"/>
      <c r="AE41" s="3"/>
      <c r="AF41" s="39"/>
      <c r="AI41" s="3"/>
      <c r="AJ41" s="39"/>
      <c r="AM41" s="3"/>
    </row>
    <row r="42" spans="1:39" x14ac:dyDescent="0.25">
      <c r="A42" s="2" t="s">
        <v>143</v>
      </c>
      <c r="N42" s="2" t="s">
        <v>164</v>
      </c>
      <c r="O42" s="2" t="s">
        <v>28</v>
      </c>
      <c r="P42" s="43" t="s">
        <v>169</v>
      </c>
      <c r="Q42" s="44"/>
      <c r="R42" s="44"/>
      <c r="S42" s="45"/>
      <c r="T42" s="43"/>
      <c r="U42" s="42" t="s">
        <v>185</v>
      </c>
      <c r="V42" s="47"/>
      <c r="W42" s="53"/>
      <c r="X42" s="39"/>
      <c r="AA42" s="3"/>
      <c r="AB42" s="39"/>
      <c r="AC42" s="42" t="s">
        <v>186</v>
      </c>
      <c r="AD42" s="47"/>
      <c r="AE42" s="53"/>
      <c r="AF42" s="39"/>
      <c r="AG42" s="42" t="s">
        <v>188</v>
      </c>
      <c r="AH42" s="47"/>
      <c r="AI42" s="48"/>
      <c r="AJ42" s="49"/>
      <c r="AK42" s="40"/>
      <c r="AL42" s="40"/>
      <c r="AM42" s="3"/>
    </row>
    <row r="43" spans="1:39" x14ac:dyDescent="0.25">
      <c r="A43" s="2" t="s">
        <v>144</v>
      </c>
      <c r="N43" s="2" t="s">
        <v>165</v>
      </c>
      <c r="O43" s="2" t="s">
        <v>28</v>
      </c>
      <c r="P43" s="43" t="s">
        <v>169</v>
      </c>
      <c r="Q43" s="44"/>
      <c r="R43" s="44"/>
      <c r="S43" s="45"/>
      <c r="T43" s="43"/>
      <c r="U43" s="44"/>
      <c r="V43" s="44"/>
      <c r="W43" s="51" t="s">
        <v>189</v>
      </c>
      <c r="X43" s="49"/>
      <c r="Y43" s="47"/>
      <c r="Z43" s="47"/>
      <c r="AA43" s="51" t="s">
        <v>187</v>
      </c>
      <c r="AB43" s="49"/>
      <c r="AC43" s="47"/>
      <c r="AE43" s="3"/>
      <c r="AF43" s="39"/>
      <c r="AI43" s="3"/>
      <c r="AJ43" s="39"/>
      <c r="AM43" s="3"/>
    </row>
    <row r="44" spans="1:39" x14ac:dyDescent="0.25">
      <c r="A44" s="2" t="s">
        <v>197</v>
      </c>
    </row>
    <row r="45" spans="1:39" x14ac:dyDescent="0.25">
      <c r="A45" s="2" t="s">
        <v>145</v>
      </c>
      <c r="N45" s="42" t="s">
        <v>166</v>
      </c>
    </row>
    <row r="46" spans="1:39" x14ac:dyDescent="0.25">
      <c r="A46" s="2" t="s">
        <v>147</v>
      </c>
      <c r="N46" s="40" t="s">
        <v>167</v>
      </c>
    </row>
    <row r="47" spans="1:39" x14ac:dyDescent="0.25">
      <c r="A47" s="2" t="s">
        <v>148</v>
      </c>
      <c r="N47" s="41" t="s">
        <v>168</v>
      </c>
    </row>
    <row r="48" spans="1:39" x14ac:dyDescent="0.25">
      <c r="A48" s="2" t="s">
        <v>149</v>
      </c>
    </row>
    <row r="49" spans="1:1" x14ac:dyDescent="0.25">
      <c r="A49" s="2" t="s">
        <v>150</v>
      </c>
    </row>
    <row r="50" spans="1:1" x14ac:dyDescent="0.25">
      <c r="A50" s="2" t="s">
        <v>151</v>
      </c>
    </row>
    <row r="65" spans="14:14" x14ac:dyDescent="0.25">
      <c r="N65" s="2" t="s">
        <v>240</v>
      </c>
    </row>
    <row r="66" spans="14:14" x14ac:dyDescent="0.25">
      <c r="N66" s="2" t="s">
        <v>241</v>
      </c>
    </row>
  </sheetData>
  <mergeCells count="8">
    <mergeCell ref="A5:A13"/>
    <mergeCell ref="AB30:AE30"/>
    <mergeCell ref="AF30:AI30"/>
    <mergeCell ref="AJ30:AM30"/>
    <mergeCell ref="A14:A16"/>
    <mergeCell ref="P30:S30"/>
    <mergeCell ref="T30:W30"/>
    <mergeCell ref="X30:AA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B2C7-14A3-8048-87F7-966AE076B37C}">
  <dimension ref="A3:EE210"/>
  <sheetViews>
    <sheetView showGridLines="0" workbookViewId="0">
      <pane xSplit="3" ySplit="3" topLeftCell="P4" activePane="bottomRight" state="frozen"/>
      <selection pane="topRight" activeCell="D1" sqref="D1"/>
      <selection pane="bottomLeft" activeCell="A4" sqref="A4"/>
      <selection pane="bottomRight" activeCell="U27" sqref="U27"/>
    </sheetView>
  </sheetViews>
  <sheetFormatPr baseColWidth="10" defaultRowHeight="19" x14ac:dyDescent="0.25"/>
  <cols>
    <col min="1" max="1" width="16.33203125" style="2" bestFit="1" customWidth="1"/>
    <col min="2" max="2" width="10.83203125" style="3"/>
    <col min="3" max="3" width="37" style="2" bestFit="1" customWidth="1"/>
    <col min="4" max="15" width="10.83203125" style="2"/>
    <col min="16" max="16" width="10.83203125" style="3"/>
    <col min="17" max="26" width="10.83203125" style="2"/>
    <col min="27" max="27" width="10.83203125" style="3"/>
    <col min="28" max="38" width="10.83203125" style="2"/>
    <col min="39" max="39" width="14.33203125" style="2" bestFit="1" customWidth="1"/>
    <col min="40" max="16384" width="10.83203125" style="2"/>
  </cols>
  <sheetData>
    <row r="3" spans="1:135" x14ac:dyDescent="0.25">
      <c r="A3" s="1" t="s">
        <v>0</v>
      </c>
      <c r="C3" s="2" t="s">
        <v>146</v>
      </c>
      <c r="D3" s="14" t="s">
        <v>43</v>
      </c>
      <c r="E3" s="14" t="s">
        <v>44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53</v>
      </c>
      <c r="O3" s="14" t="s">
        <v>54</v>
      </c>
      <c r="P3" s="15" t="s">
        <v>116</v>
      </c>
      <c r="Q3" s="14" t="s">
        <v>117</v>
      </c>
      <c r="R3" s="14" t="s">
        <v>118</v>
      </c>
      <c r="S3" s="14" t="s">
        <v>119</v>
      </c>
      <c r="T3" s="14"/>
      <c r="U3" s="14"/>
      <c r="V3" s="14"/>
      <c r="W3" s="14" t="s">
        <v>115</v>
      </c>
      <c r="X3" s="14" t="s">
        <v>100</v>
      </c>
      <c r="Y3" s="14" t="s">
        <v>101</v>
      </c>
      <c r="Z3" s="14" t="s">
        <v>102</v>
      </c>
      <c r="AA3" s="15" t="s">
        <v>103</v>
      </c>
      <c r="AB3" s="14" t="s">
        <v>104</v>
      </c>
      <c r="AC3" s="14" t="s">
        <v>105</v>
      </c>
      <c r="AD3" s="14" t="s">
        <v>106</v>
      </c>
      <c r="AE3" s="14" t="s">
        <v>107</v>
      </c>
      <c r="AF3" s="14" t="s">
        <v>108</v>
      </c>
      <c r="AG3" s="14" t="s">
        <v>109</v>
      </c>
      <c r="AH3" s="14" t="s">
        <v>110</v>
      </c>
      <c r="AI3" s="14" t="s">
        <v>111</v>
      </c>
      <c r="AJ3" s="14" t="s">
        <v>112</v>
      </c>
      <c r="AK3" s="14" t="s">
        <v>113</v>
      </c>
    </row>
    <row r="4" spans="1:135" s="4" customFormat="1" x14ac:dyDescent="0.25">
      <c r="A4" s="2" t="s">
        <v>1</v>
      </c>
      <c r="B4" s="3">
        <v>52</v>
      </c>
      <c r="C4" s="4" t="s">
        <v>56</v>
      </c>
      <c r="D4" s="27"/>
      <c r="E4" s="27"/>
      <c r="F4" s="27"/>
      <c r="G4" s="27"/>
      <c r="H4" s="27">
        <v>18.899999999999999</v>
      </c>
      <c r="I4" s="27"/>
      <c r="J4" s="27"/>
      <c r="K4" s="27"/>
      <c r="L4" s="27">
        <v>19</v>
      </c>
      <c r="M4" s="27">
        <v>63</v>
      </c>
      <c r="N4" s="27">
        <v>81</v>
      </c>
      <c r="O4" s="27">
        <f>248.738-163</f>
        <v>85.738</v>
      </c>
      <c r="P4" s="10">
        <v>65.474000000000004</v>
      </c>
      <c r="Q4" s="27">
        <v>140</v>
      </c>
      <c r="R4" s="27">
        <v>140</v>
      </c>
      <c r="S4" s="27">
        <v>125</v>
      </c>
      <c r="T4" s="2"/>
      <c r="U4" s="2"/>
      <c r="V4" s="2"/>
      <c r="W4" s="22">
        <v>60.938000000000002</v>
      </c>
      <c r="X4" s="22">
        <v>106.42400000000001</v>
      </c>
      <c r="Y4" s="22">
        <v>108.622</v>
      </c>
      <c r="Z4" s="22">
        <f>SUM(L4:O4)</f>
        <v>248.738</v>
      </c>
      <c r="AA4" s="10">
        <f>SUM(P4:S4)</f>
        <v>470.47399999999999</v>
      </c>
      <c r="AB4" s="27">
        <v>1129</v>
      </c>
      <c r="AC4" s="27">
        <v>1472</v>
      </c>
      <c r="AD4" s="27">
        <f>AC4*1.1</f>
        <v>1619.2</v>
      </c>
      <c r="AE4" s="27">
        <f t="shared" ref="AE4:AK4" si="0">AD4*1.1</f>
        <v>1781.1200000000001</v>
      </c>
      <c r="AF4" s="27">
        <f t="shared" si="0"/>
        <v>1959.2320000000002</v>
      </c>
      <c r="AG4" s="27">
        <f t="shared" si="0"/>
        <v>2155.1552000000006</v>
      </c>
      <c r="AH4" s="27">
        <f t="shared" si="0"/>
        <v>2370.670720000001</v>
      </c>
      <c r="AI4" s="27">
        <f t="shared" si="0"/>
        <v>2607.7377920000013</v>
      </c>
      <c r="AJ4" s="27">
        <f t="shared" si="0"/>
        <v>2868.5115712000015</v>
      </c>
      <c r="AK4" s="27">
        <f t="shared" si="0"/>
        <v>3155.3627283200021</v>
      </c>
    </row>
    <row r="5" spans="1:135" x14ac:dyDescent="0.25">
      <c r="A5" s="2" t="s">
        <v>2</v>
      </c>
      <c r="B5" s="5">
        <v>350.957583</v>
      </c>
      <c r="C5" s="2" t="s">
        <v>57</v>
      </c>
      <c r="D5" s="9"/>
      <c r="E5" s="9"/>
      <c r="F5" s="9"/>
      <c r="G5" s="9"/>
      <c r="H5" s="9">
        <v>-12.15</v>
      </c>
      <c r="I5" s="9"/>
      <c r="J5" s="9"/>
      <c r="K5" s="9"/>
      <c r="L5" s="9">
        <v>-26.978999999999999</v>
      </c>
      <c r="M5" s="9">
        <v>-30</v>
      </c>
      <c r="N5" s="9">
        <v>-33.299999999999997</v>
      </c>
      <c r="O5" s="9">
        <f>90-124.228</f>
        <v>-34.227999999999994</v>
      </c>
      <c r="P5" s="8">
        <v>-44.558</v>
      </c>
      <c r="Q5" s="9">
        <v>-50</v>
      </c>
      <c r="R5" s="9">
        <v>-50</v>
      </c>
      <c r="S5" s="9">
        <v>-43</v>
      </c>
      <c r="W5" s="21">
        <v>-38.878999999999998</v>
      </c>
      <c r="X5" s="21">
        <v>-49.536999999999999</v>
      </c>
      <c r="Y5" s="21">
        <v>-59.857999999999997</v>
      </c>
      <c r="Z5" s="21">
        <f>SUM(L5:O5)</f>
        <v>-124.50699999999999</v>
      </c>
      <c r="AA5" s="8">
        <f t="shared" ref="AA5:AA6" si="1">SUM(P5:S5)</f>
        <v>-187.55799999999999</v>
      </c>
      <c r="AB5" s="9">
        <v>-526</v>
      </c>
      <c r="AC5" s="9">
        <v>-600</v>
      </c>
      <c r="AD5" s="9">
        <f>AC5*1.1</f>
        <v>-660</v>
      </c>
      <c r="AE5" s="9">
        <f t="shared" ref="AE5:AK5" si="2">AD5*1.1</f>
        <v>-726.00000000000011</v>
      </c>
      <c r="AF5" s="9">
        <f t="shared" si="2"/>
        <v>-798.60000000000014</v>
      </c>
      <c r="AG5" s="9">
        <f t="shared" si="2"/>
        <v>-878.46000000000026</v>
      </c>
      <c r="AH5" s="9">
        <f t="shared" si="2"/>
        <v>-966.30600000000038</v>
      </c>
      <c r="AI5" s="9">
        <f t="shared" si="2"/>
        <v>-1062.9366000000005</v>
      </c>
      <c r="AJ5" s="9">
        <f t="shared" si="2"/>
        <v>-1169.2302600000005</v>
      </c>
      <c r="AK5" s="9">
        <f t="shared" si="2"/>
        <v>-1286.1532860000007</v>
      </c>
    </row>
    <row r="6" spans="1:135" x14ac:dyDescent="0.25">
      <c r="A6" s="2" t="s">
        <v>3</v>
      </c>
      <c r="B6" s="6">
        <f>B4*B5</f>
        <v>18249.794316</v>
      </c>
      <c r="C6" s="2" t="s">
        <v>58</v>
      </c>
      <c r="D6" s="9"/>
      <c r="E6" s="9"/>
      <c r="F6" s="9"/>
      <c r="G6" s="9"/>
      <c r="H6" s="9">
        <v>0.62</v>
      </c>
      <c r="I6" s="9"/>
      <c r="J6" s="9"/>
      <c r="K6" s="9"/>
      <c r="L6" s="9">
        <v>0.62</v>
      </c>
      <c r="M6" s="9">
        <v>0.127</v>
      </c>
      <c r="N6" s="9">
        <v>0.65</v>
      </c>
      <c r="O6" s="9">
        <v>0</v>
      </c>
      <c r="P6" s="8">
        <v>0</v>
      </c>
      <c r="Q6" s="9">
        <v>0</v>
      </c>
      <c r="R6" s="9">
        <v>0</v>
      </c>
      <c r="S6" s="9">
        <v>0</v>
      </c>
      <c r="W6" s="21">
        <v>0</v>
      </c>
      <c r="X6" s="21">
        <v>0</v>
      </c>
      <c r="Y6" s="21">
        <v>0.13700000000000001</v>
      </c>
      <c r="Z6" s="21">
        <f>SUM(L6:O6)</f>
        <v>1.397</v>
      </c>
      <c r="AA6" s="8">
        <f t="shared" si="1"/>
        <v>0</v>
      </c>
      <c r="AB6" s="9">
        <v>-50</v>
      </c>
      <c r="AC6" s="9">
        <v>-100</v>
      </c>
      <c r="AD6" s="9">
        <f>AC6*1.2</f>
        <v>-120</v>
      </c>
      <c r="AE6" s="9">
        <f t="shared" ref="AE6:AK6" si="3">AD6*1.2</f>
        <v>-144</v>
      </c>
      <c r="AF6" s="9">
        <f t="shared" si="3"/>
        <v>-172.79999999999998</v>
      </c>
      <c r="AG6" s="9">
        <f t="shared" si="3"/>
        <v>-207.35999999999999</v>
      </c>
      <c r="AH6" s="9">
        <f t="shared" si="3"/>
        <v>-248.83199999999997</v>
      </c>
      <c r="AI6" s="9">
        <f t="shared" si="3"/>
        <v>-298.59839999999997</v>
      </c>
      <c r="AJ6" s="9">
        <f t="shared" si="3"/>
        <v>-358.31807999999995</v>
      </c>
      <c r="AK6" s="9">
        <f t="shared" si="3"/>
        <v>-429.98169599999994</v>
      </c>
    </row>
    <row r="7" spans="1:135" x14ac:dyDescent="0.25">
      <c r="A7" s="2" t="s">
        <v>4</v>
      </c>
      <c r="B7" s="6">
        <v>682.66</v>
      </c>
      <c r="C7" s="4" t="s">
        <v>122</v>
      </c>
      <c r="D7" s="27"/>
      <c r="E7" s="27"/>
      <c r="F7" s="27"/>
      <c r="G7" s="27"/>
      <c r="H7" s="27">
        <f t="shared" ref="H7" si="4">SUM(H4:H5)</f>
        <v>6.7499999999999982</v>
      </c>
      <c r="I7" s="27"/>
      <c r="J7" s="27"/>
      <c r="K7" s="27"/>
      <c r="L7" s="27">
        <f t="shared" ref="L7:N7" si="5">SUM(L4:L5)</f>
        <v>-7.9789999999999992</v>
      </c>
      <c r="M7" s="27">
        <f t="shared" si="5"/>
        <v>33</v>
      </c>
      <c r="N7" s="27">
        <f t="shared" si="5"/>
        <v>47.7</v>
      </c>
      <c r="O7" s="27">
        <f>SUM(O4:O5)</f>
        <v>51.510000000000005</v>
      </c>
      <c r="P7" s="10">
        <f t="shared" ref="P7:S7" si="6">SUM(P4:P5)</f>
        <v>20.916000000000004</v>
      </c>
      <c r="Q7" s="27">
        <f t="shared" si="6"/>
        <v>90</v>
      </c>
      <c r="R7" s="27">
        <f t="shared" si="6"/>
        <v>90</v>
      </c>
      <c r="S7" s="27">
        <f t="shared" si="6"/>
        <v>82</v>
      </c>
      <c r="T7" s="4"/>
      <c r="U7" s="4"/>
      <c r="V7" s="4"/>
      <c r="W7" s="22">
        <f t="shared" ref="W7:Y7" si="7">SUM(W4:W6)</f>
        <v>22.059000000000005</v>
      </c>
      <c r="X7" s="22">
        <f t="shared" si="7"/>
        <v>56.887000000000008</v>
      </c>
      <c r="Y7" s="22">
        <f t="shared" si="7"/>
        <v>48.901000000000003</v>
      </c>
      <c r="Z7" s="22">
        <f>SUM(Z4:Z6)</f>
        <v>125.62800000000001</v>
      </c>
      <c r="AA7" s="24">
        <f>SUM(AA4:AA6)</f>
        <v>282.916</v>
      </c>
      <c r="AB7" s="22">
        <f t="shared" ref="AB7:AK7" si="8">SUM(AB4:AB6)</f>
        <v>553</v>
      </c>
      <c r="AC7" s="22">
        <f t="shared" si="8"/>
        <v>772</v>
      </c>
      <c r="AD7" s="22">
        <f t="shared" si="8"/>
        <v>839.2</v>
      </c>
      <c r="AE7" s="22">
        <f t="shared" si="8"/>
        <v>911.11999999999989</v>
      </c>
      <c r="AF7" s="22">
        <f t="shared" si="8"/>
        <v>987.83200000000011</v>
      </c>
      <c r="AG7" s="22">
        <f t="shared" si="8"/>
        <v>1069.3352000000004</v>
      </c>
      <c r="AH7" s="22">
        <f t="shared" si="8"/>
        <v>1155.5327200000006</v>
      </c>
      <c r="AI7" s="22">
        <f t="shared" si="8"/>
        <v>1246.202792000001</v>
      </c>
      <c r="AJ7" s="22">
        <f t="shared" si="8"/>
        <v>1340.963231200001</v>
      </c>
      <c r="AK7" s="22">
        <f t="shared" si="8"/>
        <v>1439.2277463200016</v>
      </c>
    </row>
    <row r="8" spans="1:135" x14ac:dyDescent="0.25">
      <c r="A8" s="2" t="s">
        <v>5</v>
      </c>
      <c r="B8" s="6">
        <v>6355.8</v>
      </c>
      <c r="C8" s="2" t="s">
        <v>59</v>
      </c>
      <c r="D8" s="9"/>
      <c r="E8" s="9"/>
      <c r="F8" s="9"/>
      <c r="G8" s="9"/>
      <c r="H8" s="9">
        <v>-4.5999999999999996</v>
      </c>
      <c r="I8" s="9"/>
      <c r="J8" s="9"/>
      <c r="K8" s="9"/>
      <c r="L8" s="9">
        <v>-12.797000000000001</v>
      </c>
      <c r="M8" s="9">
        <v>-13.5</v>
      </c>
      <c r="N8" s="9">
        <v>-15</v>
      </c>
      <c r="O8" s="9">
        <f>-14</f>
        <v>-14</v>
      </c>
      <c r="P8" s="8">
        <v>-16.222000000000001</v>
      </c>
      <c r="Q8" s="9">
        <v>-29</v>
      </c>
      <c r="R8" s="9">
        <v>-28</v>
      </c>
      <c r="S8" s="9">
        <v>-32</v>
      </c>
      <c r="W8" s="21">
        <v>-10.925000000000001</v>
      </c>
      <c r="X8" s="21">
        <v>-15.696</v>
      </c>
      <c r="Y8" s="21">
        <v>-34.457999999999998</v>
      </c>
      <c r="Z8" s="21">
        <f>SUM(L8:O8)</f>
        <v>-55.296999999999997</v>
      </c>
      <c r="AA8" s="8">
        <f>SUM(P8:S8)</f>
        <v>-105.22200000000001</v>
      </c>
      <c r="AB8" s="9">
        <v>-240</v>
      </c>
      <c r="AC8" s="9">
        <v>-160</v>
      </c>
      <c r="AD8" s="9">
        <f>AC8*1.1</f>
        <v>-176</v>
      </c>
      <c r="AE8" s="9">
        <f t="shared" ref="AE8:AK8" si="9">AD8*1.1</f>
        <v>-193.60000000000002</v>
      </c>
      <c r="AF8" s="9">
        <f t="shared" si="9"/>
        <v>-212.96000000000004</v>
      </c>
      <c r="AG8" s="9">
        <f t="shared" si="9"/>
        <v>-234.25600000000006</v>
      </c>
      <c r="AH8" s="9">
        <f t="shared" si="9"/>
        <v>-257.68160000000006</v>
      </c>
      <c r="AI8" s="9">
        <f t="shared" si="9"/>
        <v>-283.44976000000008</v>
      </c>
      <c r="AJ8" s="9">
        <f t="shared" si="9"/>
        <v>-311.79473600000011</v>
      </c>
      <c r="AK8" s="9">
        <f t="shared" si="9"/>
        <v>-342.97420960000017</v>
      </c>
    </row>
    <row r="9" spans="1:135" x14ac:dyDescent="0.25">
      <c r="A9" s="1" t="s">
        <v>6</v>
      </c>
      <c r="B9" s="7">
        <f>B6-B7+B8</f>
        <v>23922.934315999999</v>
      </c>
      <c r="C9" s="4" t="s">
        <v>60</v>
      </c>
      <c r="D9" s="27"/>
      <c r="E9" s="27"/>
      <c r="F9" s="27"/>
      <c r="G9" s="27"/>
      <c r="H9" s="27">
        <f t="shared" ref="H9" si="10">SUM(H7:H8)</f>
        <v>2.1499999999999986</v>
      </c>
      <c r="I9" s="27"/>
      <c r="J9" s="27"/>
      <c r="K9" s="27"/>
      <c r="L9" s="27">
        <f t="shared" ref="L9:N9" si="11">SUM(L7:L8)</f>
        <v>-20.776</v>
      </c>
      <c r="M9" s="27">
        <f t="shared" si="11"/>
        <v>19.5</v>
      </c>
      <c r="N9" s="27">
        <f t="shared" si="11"/>
        <v>32.700000000000003</v>
      </c>
      <c r="O9" s="27">
        <f>SUM(O7:O8)</f>
        <v>37.510000000000005</v>
      </c>
      <c r="P9" s="10">
        <f t="shared" ref="P9:S9" si="12">SUM(P7:P8)</f>
        <v>4.6940000000000026</v>
      </c>
      <c r="Q9" s="27">
        <f t="shared" si="12"/>
        <v>61</v>
      </c>
      <c r="R9" s="27">
        <f t="shared" si="12"/>
        <v>62</v>
      </c>
      <c r="S9" s="27">
        <f t="shared" si="12"/>
        <v>50</v>
      </c>
      <c r="T9" s="4"/>
      <c r="U9" s="4"/>
      <c r="V9" s="4"/>
      <c r="W9" s="22">
        <f t="shared" ref="W9:Y9" si="13">SUM(W7:W8)</f>
        <v>11.134000000000004</v>
      </c>
      <c r="X9" s="22">
        <f t="shared" si="13"/>
        <v>41.19100000000001</v>
      </c>
      <c r="Y9" s="22">
        <f t="shared" si="13"/>
        <v>14.443000000000005</v>
      </c>
      <c r="Z9" s="22">
        <f>SUM(Z7:Z8)</f>
        <v>70.331000000000017</v>
      </c>
      <c r="AA9" s="24">
        <f t="shared" ref="AA9:AK9" si="14">SUM(AA7:AA8)</f>
        <v>177.69399999999999</v>
      </c>
      <c r="AB9" s="22">
        <f t="shared" si="14"/>
        <v>313</v>
      </c>
      <c r="AC9" s="22">
        <f t="shared" si="14"/>
        <v>612</v>
      </c>
      <c r="AD9" s="22">
        <f t="shared" si="14"/>
        <v>663.2</v>
      </c>
      <c r="AE9" s="22">
        <f t="shared" si="14"/>
        <v>717.51999999999987</v>
      </c>
      <c r="AF9" s="22">
        <f t="shared" si="14"/>
        <v>774.87200000000007</v>
      </c>
      <c r="AG9" s="22">
        <f t="shared" si="14"/>
        <v>835.07920000000036</v>
      </c>
      <c r="AH9" s="22">
        <f t="shared" si="14"/>
        <v>897.85112000000049</v>
      </c>
      <c r="AI9" s="22">
        <f t="shared" si="14"/>
        <v>962.75303200000087</v>
      </c>
      <c r="AJ9" s="22">
        <f t="shared" si="14"/>
        <v>1029.168495200001</v>
      </c>
      <c r="AK9" s="22">
        <f t="shared" si="14"/>
        <v>1096.2535367200014</v>
      </c>
    </row>
    <row r="10" spans="1:135" x14ac:dyDescent="0.25">
      <c r="C10" s="2" t="s">
        <v>61</v>
      </c>
      <c r="D10" s="9"/>
      <c r="E10" s="9"/>
      <c r="F10" s="9"/>
      <c r="G10" s="9"/>
      <c r="H10" s="9">
        <v>1.4999999999999999E-2</v>
      </c>
      <c r="I10" s="9"/>
      <c r="J10" s="9"/>
      <c r="K10" s="9"/>
      <c r="L10" s="9">
        <v>0.40600000000000003</v>
      </c>
      <c r="M10" s="9">
        <v>4.5</v>
      </c>
      <c r="N10" s="9">
        <v>-1.5</v>
      </c>
      <c r="O10" s="9">
        <v>3.2</v>
      </c>
      <c r="P10" s="8">
        <v>0.27</v>
      </c>
      <c r="Q10" s="9">
        <v>5</v>
      </c>
      <c r="R10" s="9">
        <v>5</v>
      </c>
      <c r="S10" s="9">
        <v>5</v>
      </c>
      <c r="W10" s="21">
        <v>1.7949999999999999</v>
      </c>
      <c r="X10" s="21">
        <v>4.0309999999999997</v>
      </c>
      <c r="Y10" s="21">
        <v>1.5409999999999999</v>
      </c>
      <c r="Z10" s="21">
        <f>SUM(L10:O10)</f>
        <v>6.6059999999999999</v>
      </c>
      <c r="AA10" s="8">
        <f>SUM(P10:S10)</f>
        <v>15.27</v>
      </c>
      <c r="AB10" s="9">
        <v>20</v>
      </c>
      <c r="AC10" s="9">
        <v>50</v>
      </c>
      <c r="AD10" s="9">
        <v>50</v>
      </c>
      <c r="AE10" s="9">
        <v>50</v>
      </c>
      <c r="AF10" s="9">
        <v>50</v>
      </c>
      <c r="AG10" s="9">
        <v>50</v>
      </c>
      <c r="AH10" s="9">
        <v>50</v>
      </c>
      <c r="AI10" s="9">
        <v>50</v>
      </c>
      <c r="AJ10" s="9">
        <v>50</v>
      </c>
      <c r="AK10" s="9">
        <v>50</v>
      </c>
    </row>
    <row r="11" spans="1:135" x14ac:dyDescent="0.25">
      <c r="C11" s="2" t="s">
        <v>62</v>
      </c>
      <c r="D11" s="9"/>
      <c r="E11" s="9"/>
      <c r="F11" s="9"/>
      <c r="G11" s="9"/>
      <c r="H11" s="9">
        <v>-0.127</v>
      </c>
      <c r="I11" s="9"/>
      <c r="J11" s="9"/>
      <c r="K11" s="9"/>
      <c r="L11" s="9">
        <v>-1.087</v>
      </c>
      <c r="M11" s="9">
        <v>-1.1000000000000001</v>
      </c>
      <c r="N11" s="9">
        <v>-3.4</v>
      </c>
      <c r="O11" s="9">
        <v>-1</v>
      </c>
      <c r="P11" s="8">
        <v>-2</v>
      </c>
      <c r="Q11" s="9">
        <v>-21</v>
      </c>
      <c r="R11" s="9">
        <v>-22</v>
      </c>
      <c r="S11" s="9">
        <v>-26</v>
      </c>
      <c r="W11" s="21">
        <v>-5.4909999999999997</v>
      </c>
      <c r="X11" s="21">
        <v>-9.6809999999999992</v>
      </c>
      <c r="Y11" s="21">
        <v>-4.4859999999999998</v>
      </c>
      <c r="Z11" s="21">
        <f>SUM(L11:O11)</f>
        <v>-6.5869999999999997</v>
      </c>
      <c r="AA11" s="8">
        <f>SUM(P11:S11)</f>
        <v>-71</v>
      </c>
      <c r="AB11" s="9">
        <v>-20</v>
      </c>
      <c r="AC11" s="9">
        <v>-150</v>
      </c>
      <c r="AD11" s="9">
        <v>-50</v>
      </c>
      <c r="AE11" s="9">
        <v>-70</v>
      </c>
      <c r="AF11" s="9">
        <v>-70</v>
      </c>
      <c r="AG11" s="9">
        <v>-70</v>
      </c>
      <c r="AH11" s="9">
        <v>-70</v>
      </c>
      <c r="AI11" s="9">
        <v>-70</v>
      </c>
      <c r="AJ11" s="9">
        <v>-70</v>
      </c>
      <c r="AK11" s="9">
        <v>-70</v>
      </c>
    </row>
    <row r="12" spans="1:135" x14ac:dyDescent="0.25">
      <c r="A12" s="2" t="s">
        <v>55</v>
      </c>
      <c r="B12" s="3">
        <v>11.51</v>
      </c>
      <c r="C12" s="2" t="s">
        <v>63</v>
      </c>
      <c r="D12" s="9"/>
      <c r="E12" s="9"/>
      <c r="F12" s="9"/>
      <c r="G12" s="9"/>
      <c r="H12" s="9">
        <f>SUM(H9:H11)</f>
        <v>2.0379999999999985</v>
      </c>
      <c r="I12" s="9"/>
      <c r="J12" s="9"/>
      <c r="K12" s="9"/>
      <c r="L12" s="9">
        <f>SUM(L9:L11)</f>
        <v>-21.457000000000001</v>
      </c>
      <c r="M12" s="9">
        <f t="shared" ref="M12:O12" si="15">SUM(M9:M11)</f>
        <v>22.9</v>
      </c>
      <c r="N12" s="9">
        <f t="shared" si="15"/>
        <v>27.800000000000004</v>
      </c>
      <c r="O12" s="9">
        <f t="shared" si="15"/>
        <v>39.710000000000008</v>
      </c>
      <c r="P12" s="8">
        <f t="shared" ref="P12" si="16">SUM(P9:P11)</f>
        <v>2.9640000000000022</v>
      </c>
      <c r="Q12" s="9">
        <f t="shared" ref="Q12" si="17">SUM(Q9:Q11)</f>
        <v>45</v>
      </c>
      <c r="R12" s="9">
        <f t="shared" ref="R12" si="18">SUM(R9:R11)</f>
        <v>45</v>
      </c>
      <c r="S12" s="9">
        <f t="shared" ref="S12" si="19">SUM(S9:S11)</f>
        <v>29</v>
      </c>
      <c r="T12" s="21"/>
      <c r="U12" s="21"/>
      <c r="V12" s="21"/>
      <c r="W12" s="21">
        <f t="shared" ref="W12:X12" si="20">SUM(W9:W11)</f>
        <v>7.4380000000000042</v>
      </c>
      <c r="X12" s="21">
        <f t="shared" si="20"/>
        <v>35.541000000000011</v>
      </c>
      <c r="Y12" s="21">
        <f t="shared" ref="Y12" si="21">SUM(Y9:Y11)</f>
        <v>11.498000000000005</v>
      </c>
      <c r="Z12" s="21">
        <f t="shared" ref="Z12" si="22">SUM(Z9:Z11)</f>
        <v>70.350000000000009</v>
      </c>
      <c r="AA12" s="23">
        <f t="shared" ref="AA12" si="23">SUM(AA9:AA11)</f>
        <v>121.964</v>
      </c>
      <c r="AB12" s="21">
        <f t="shared" ref="AB12" si="24">SUM(AB9:AB11)</f>
        <v>313</v>
      </c>
      <c r="AC12" s="21">
        <f t="shared" ref="AC12" si="25">SUM(AC9:AC11)</f>
        <v>512</v>
      </c>
      <c r="AD12" s="21">
        <f t="shared" ref="AD12" si="26">SUM(AD9:AD11)</f>
        <v>663.2</v>
      </c>
      <c r="AE12" s="21">
        <f t="shared" ref="AE12" si="27">SUM(AE9:AE11)</f>
        <v>697.51999999999987</v>
      </c>
      <c r="AF12" s="21">
        <f t="shared" ref="AF12" si="28">SUM(AF9:AF11)</f>
        <v>754.87200000000007</v>
      </c>
      <c r="AG12" s="21">
        <f t="shared" ref="AG12" si="29">SUM(AG9:AG11)</f>
        <v>815.07920000000036</v>
      </c>
      <c r="AH12" s="21">
        <f t="shared" ref="AH12" si="30">SUM(AH9:AH11)</f>
        <v>877.85112000000049</v>
      </c>
      <c r="AI12" s="21">
        <f t="shared" ref="AI12" si="31">SUM(AI9:AI11)</f>
        <v>942.75303200000087</v>
      </c>
      <c r="AJ12" s="21">
        <f t="shared" ref="AJ12" si="32">SUM(AJ9:AJ11)</f>
        <v>1009.168495200001</v>
      </c>
      <c r="AK12" s="21">
        <f t="shared" ref="AK12" si="33">SUM(AK9:AK11)</f>
        <v>1076.2535367200014</v>
      </c>
    </row>
    <row r="13" spans="1:135" x14ac:dyDescent="0.25">
      <c r="C13" s="2" t="s">
        <v>64</v>
      </c>
      <c r="D13" s="9"/>
      <c r="E13" s="9"/>
      <c r="F13" s="9"/>
      <c r="G13" s="9"/>
      <c r="H13" s="9">
        <v>-1.9E-2</v>
      </c>
      <c r="I13" s="9"/>
      <c r="J13" s="9"/>
      <c r="K13" s="9"/>
      <c r="L13" s="9">
        <v>-1.9E-2</v>
      </c>
      <c r="M13" s="9">
        <v>-1.1000000000000001</v>
      </c>
      <c r="N13" s="9">
        <v>-0.5</v>
      </c>
      <c r="O13" s="9">
        <v>-1</v>
      </c>
      <c r="P13" s="8">
        <v>-1.2</v>
      </c>
      <c r="Q13" s="9">
        <v>-0.5</v>
      </c>
      <c r="R13" s="9">
        <v>-0.5</v>
      </c>
      <c r="S13" s="9">
        <v>-0.5</v>
      </c>
      <c r="W13" s="21">
        <v>1.2999999999999999E-2</v>
      </c>
      <c r="X13" s="21">
        <v>0</v>
      </c>
      <c r="Y13" s="21">
        <v>0</v>
      </c>
      <c r="Z13" s="21">
        <f>SUM(L13:O13)</f>
        <v>-2.6189999999999998</v>
      </c>
      <c r="AA13" s="8">
        <v>-2</v>
      </c>
      <c r="AB13" s="9">
        <v>-6</v>
      </c>
      <c r="AC13" s="9">
        <v>-10</v>
      </c>
      <c r="AD13" s="9">
        <f>AD12*-0.22</f>
        <v>-145.90400000000002</v>
      </c>
      <c r="AE13" s="9">
        <f t="shared" ref="AE13:AK13" si="34">AE12*-0.22</f>
        <v>-153.45439999999996</v>
      </c>
      <c r="AF13" s="9">
        <f t="shared" si="34"/>
        <v>-166.07184000000001</v>
      </c>
      <c r="AG13" s="9">
        <f t="shared" si="34"/>
        <v>-179.31742400000007</v>
      </c>
      <c r="AH13" s="9">
        <f t="shared" si="34"/>
        <v>-193.1272464000001</v>
      </c>
      <c r="AI13" s="9">
        <f t="shared" si="34"/>
        <v>-207.4056670400002</v>
      </c>
      <c r="AJ13" s="9">
        <f t="shared" si="34"/>
        <v>-222.01706894400021</v>
      </c>
      <c r="AK13" s="9">
        <f t="shared" si="34"/>
        <v>-236.77577807840032</v>
      </c>
    </row>
    <row r="14" spans="1:135" x14ac:dyDescent="0.25">
      <c r="C14" s="4" t="s">
        <v>65</v>
      </c>
      <c r="D14" s="27"/>
      <c r="E14" s="27"/>
      <c r="F14" s="27"/>
      <c r="G14" s="27"/>
      <c r="H14" s="27">
        <f>SUM(H12:H13)</f>
        <v>2.0189999999999984</v>
      </c>
      <c r="I14" s="27"/>
      <c r="J14" s="27"/>
      <c r="K14" s="27"/>
      <c r="L14" s="27">
        <f>SUM(L12:L13)</f>
        <v>-21.475999999999999</v>
      </c>
      <c r="M14" s="27">
        <f t="shared" ref="M14:O14" si="35">SUM(M12:M13)</f>
        <v>21.799999999999997</v>
      </c>
      <c r="N14" s="27">
        <f t="shared" si="35"/>
        <v>27.300000000000004</v>
      </c>
      <c r="O14" s="27">
        <f t="shared" si="35"/>
        <v>38.710000000000008</v>
      </c>
      <c r="P14" s="10">
        <f t="shared" ref="P14" si="36">SUM(P12:P13)</f>
        <v>1.7640000000000022</v>
      </c>
      <c r="Q14" s="27">
        <f t="shared" ref="Q14" si="37">SUM(Q12:Q13)</f>
        <v>44.5</v>
      </c>
      <c r="R14" s="27">
        <f t="shared" ref="R14" si="38">SUM(R12:R13)</f>
        <v>44.5</v>
      </c>
      <c r="S14" s="27">
        <f t="shared" ref="S14" si="39">SUM(S12:S13)</f>
        <v>28.5</v>
      </c>
      <c r="T14" s="22"/>
      <c r="U14" s="22"/>
      <c r="V14" s="22"/>
      <c r="W14" s="22">
        <f t="shared" ref="W14:X14" si="40">SUM(W12:W13)</f>
        <v>7.4510000000000041</v>
      </c>
      <c r="X14" s="22">
        <f t="shared" si="40"/>
        <v>35.541000000000011</v>
      </c>
      <c r="Y14" s="22">
        <f t="shared" ref="Y14" si="41">SUM(Y12:Y13)</f>
        <v>11.498000000000005</v>
      </c>
      <c r="Z14" s="22">
        <f t="shared" ref="Z14" si="42">SUM(Z12:Z13)</f>
        <v>67.731000000000009</v>
      </c>
      <c r="AA14" s="24">
        <f t="shared" ref="AA14" si="43">SUM(AA12:AA13)</f>
        <v>119.964</v>
      </c>
      <c r="AB14" s="22">
        <f t="shared" ref="AB14" si="44">SUM(AB12:AB13)</f>
        <v>307</v>
      </c>
      <c r="AC14" s="22">
        <f t="shared" ref="AC14" si="45">SUM(AC12:AC13)</f>
        <v>502</v>
      </c>
      <c r="AD14" s="22">
        <f t="shared" ref="AD14" si="46">SUM(AD12:AD13)</f>
        <v>517.29600000000005</v>
      </c>
      <c r="AE14" s="22">
        <f t="shared" ref="AE14" si="47">SUM(AE12:AE13)</f>
        <v>544.0655999999999</v>
      </c>
      <c r="AF14" s="22">
        <f t="shared" ref="AF14" si="48">SUM(AF12:AF13)</f>
        <v>588.80016000000001</v>
      </c>
      <c r="AG14" s="22">
        <f t="shared" ref="AG14" si="49">SUM(AG12:AG13)</f>
        <v>635.76177600000028</v>
      </c>
      <c r="AH14" s="22">
        <f t="shared" ref="AH14" si="50">SUM(AH12:AH13)</f>
        <v>684.72387360000039</v>
      </c>
      <c r="AI14" s="22">
        <f t="shared" ref="AI14" si="51">SUM(AI12:AI13)</f>
        <v>735.34736496000073</v>
      </c>
      <c r="AJ14" s="22">
        <f t="shared" ref="AJ14" si="52">SUM(AJ12:AJ13)</f>
        <v>787.15142625600072</v>
      </c>
      <c r="AK14" s="22">
        <f t="shared" ref="AK14" si="53">SUM(AK12:AK13)</f>
        <v>839.4777586416011</v>
      </c>
      <c r="AL14" s="27">
        <f>AK14*(1+$AN$18)</f>
        <v>831.08298105518509</v>
      </c>
      <c r="AM14" s="27">
        <f t="shared" ref="AM14:CX14" si="54">AL14*(1+$AN$18)</f>
        <v>822.77215124463328</v>
      </c>
      <c r="AN14" s="27">
        <f t="shared" si="54"/>
        <v>814.54442973218693</v>
      </c>
      <c r="AO14" s="27">
        <f t="shared" si="54"/>
        <v>806.39898543486504</v>
      </c>
      <c r="AP14" s="27">
        <f t="shared" si="54"/>
        <v>798.33499558051642</v>
      </c>
      <c r="AQ14" s="27">
        <f t="shared" si="54"/>
        <v>790.3516456247113</v>
      </c>
      <c r="AR14" s="27">
        <f t="shared" si="54"/>
        <v>782.44812916846422</v>
      </c>
      <c r="AS14" s="27">
        <f t="shared" si="54"/>
        <v>774.62364787677961</v>
      </c>
      <c r="AT14" s="27">
        <f t="shared" si="54"/>
        <v>766.87741139801176</v>
      </c>
      <c r="AU14" s="27">
        <f t="shared" si="54"/>
        <v>759.20863728403162</v>
      </c>
      <c r="AV14" s="27">
        <f t="shared" si="54"/>
        <v>751.61655091119133</v>
      </c>
      <c r="AW14" s="27">
        <f t="shared" si="54"/>
        <v>744.10038540207938</v>
      </c>
      <c r="AX14" s="27">
        <f t="shared" si="54"/>
        <v>736.6593815480586</v>
      </c>
      <c r="AY14" s="27">
        <f t="shared" si="54"/>
        <v>729.29278773257806</v>
      </c>
      <c r="AZ14" s="27">
        <f t="shared" si="54"/>
        <v>721.99985985525223</v>
      </c>
      <c r="BA14" s="27">
        <f t="shared" si="54"/>
        <v>714.77986125669975</v>
      </c>
      <c r="BB14" s="27">
        <f t="shared" si="54"/>
        <v>707.6320626441327</v>
      </c>
      <c r="BC14" s="27">
        <f t="shared" si="54"/>
        <v>700.55574201769139</v>
      </c>
      <c r="BD14" s="27">
        <f t="shared" si="54"/>
        <v>693.55018459751443</v>
      </c>
      <c r="BE14" s="27">
        <f t="shared" si="54"/>
        <v>686.61468275153925</v>
      </c>
      <c r="BF14" s="27">
        <f t="shared" si="54"/>
        <v>679.74853592402383</v>
      </c>
      <c r="BG14" s="27">
        <f t="shared" si="54"/>
        <v>672.9510505647836</v>
      </c>
      <c r="BH14" s="27">
        <f t="shared" si="54"/>
        <v>666.2215400591358</v>
      </c>
      <c r="BI14" s="27">
        <f t="shared" si="54"/>
        <v>659.55932465854448</v>
      </c>
      <c r="BJ14" s="27">
        <f t="shared" si="54"/>
        <v>652.96373141195909</v>
      </c>
      <c r="BK14" s="27">
        <f t="shared" si="54"/>
        <v>646.43409409783953</v>
      </c>
      <c r="BL14" s="27">
        <f t="shared" si="54"/>
        <v>639.96975315686109</v>
      </c>
      <c r="BM14" s="27">
        <f t="shared" si="54"/>
        <v>633.57005562529253</v>
      </c>
      <c r="BN14" s="27">
        <f t="shared" si="54"/>
        <v>627.23435506903957</v>
      </c>
      <c r="BO14" s="27">
        <f t="shared" si="54"/>
        <v>620.96201151834919</v>
      </c>
      <c r="BP14" s="27">
        <f t="shared" si="54"/>
        <v>614.75239140316569</v>
      </c>
      <c r="BQ14" s="27">
        <f t="shared" si="54"/>
        <v>608.60486748913399</v>
      </c>
      <c r="BR14" s="27">
        <f t="shared" si="54"/>
        <v>602.51881881424265</v>
      </c>
      <c r="BS14" s="27">
        <f t="shared" si="54"/>
        <v>596.49363062610018</v>
      </c>
      <c r="BT14" s="27">
        <f t="shared" si="54"/>
        <v>590.52869431983913</v>
      </c>
      <c r="BU14" s="27">
        <f t="shared" si="54"/>
        <v>584.62340737664078</v>
      </c>
      <c r="BV14" s="27">
        <f t="shared" si="54"/>
        <v>578.77717330287442</v>
      </c>
      <c r="BW14" s="27">
        <f t="shared" si="54"/>
        <v>572.98940156984565</v>
      </c>
      <c r="BX14" s="27">
        <f t="shared" si="54"/>
        <v>567.25950755414715</v>
      </c>
      <c r="BY14" s="27">
        <f t="shared" si="54"/>
        <v>561.58691247860565</v>
      </c>
      <c r="BZ14" s="27">
        <f t="shared" si="54"/>
        <v>555.9710433538196</v>
      </c>
      <c r="CA14" s="27">
        <f t="shared" si="54"/>
        <v>550.41133292028144</v>
      </c>
      <c r="CB14" s="27">
        <f t="shared" si="54"/>
        <v>544.90721959107861</v>
      </c>
      <c r="CC14" s="27">
        <f t="shared" si="54"/>
        <v>539.45814739516777</v>
      </c>
      <c r="CD14" s="27">
        <f t="shared" si="54"/>
        <v>534.06356592121608</v>
      </c>
      <c r="CE14" s="27">
        <f t="shared" si="54"/>
        <v>528.72293026200396</v>
      </c>
      <c r="CF14" s="27">
        <f t="shared" si="54"/>
        <v>523.43570095938389</v>
      </c>
      <c r="CG14" s="27">
        <f t="shared" si="54"/>
        <v>518.20134394979004</v>
      </c>
      <c r="CH14" s="27">
        <f t="shared" si="54"/>
        <v>513.01933051029209</v>
      </c>
      <c r="CI14" s="27">
        <f t="shared" si="54"/>
        <v>507.88913720518917</v>
      </c>
      <c r="CJ14" s="27">
        <f t="shared" si="54"/>
        <v>502.81024583313729</v>
      </c>
      <c r="CK14" s="27">
        <f t="shared" si="54"/>
        <v>497.78214337480591</v>
      </c>
      <c r="CL14" s="27">
        <f t="shared" si="54"/>
        <v>492.80432194105782</v>
      </c>
      <c r="CM14" s="27">
        <f t="shared" si="54"/>
        <v>487.87627872164722</v>
      </c>
      <c r="CN14" s="27">
        <f t="shared" si="54"/>
        <v>482.99751593443074</v>
      </c>
      <c r="CO14" s="27">
        <f t="shared" si="54"/>
        <v>478.16754077508642</v>
      </c>
      <c r="CP14" s="27">
        <f t="shared" si="54"/>
        <v>473.38586536733555</v>
      </c>
      <c r="CQ14" s="27">
        <f t="shared" si="54"/>
        <v>468.65200671366222</v>
      </c>
      <c r="CR14" s="27">
        <f t="shared" si="54"/>
        <v>463.96548664652562</v>
      </c>
      <c r="CS14" s="27">
        <f t="shared" si="54"/>
        <v>459.32583178006035</v>
      </c>
      <c r="CT14" s="27">
        <f t="shared" si="54"/>
        <v>454.73257346225972</v>
      </c>
      <c r="CU14" s="27">
        <f t="shared" si="54"/>
        <v>450.18524772763715</v>
      </c>
      <c r="CV14" s="27">
        <f t="shared" si="54"/>
        <v>445.68339525036077</v>
      </c>
      <c r="CW14" s="27">
        <f t="shared" si="54"/>
        <v>441.22656129785719</v>
      </c>
      <c r="CX14" s="27">
        <f t="shared" si="54"/>
        <v>436.81429568487863</v>
      </c>
      <c r="CY14" s="27">
        <f t="shared" ref="CY14:EE14" si="55">CX14*(1+$AN$18)</f>
        <v>432.44615272802986</v>
      </c>
      <c r="CZ14" s="27">
        <f t="shared" si="55"/>
        <v>428.12169120074958</v>
      </c>
      <c r="DA14" s="27">
        <f t="shared" si="55"/>
        <v>423.84047428874209</v>
      </c>
      <c r="DB14" s="27">
        <f t="shared" si="55"/>
        <v>419.60206954585465</v>
      </c>
      <c r="DC14" s="27">
        <f t="shared" si="55"/>
        <v>415.40604885039608</v>
      </c>
      <c r="DD14" s="27">
        <f t="shared" si="55"/>
        <v>411.25198836189213</v>
      </c>
      <c r="DE14" s="27">
        <f t="shared" si="55"/>
        <v>407.13946847827322</v>
      </c>
      <c r="DF14" s="27">
        <f t="shared" si="55"/>
        <v>403.0680737934905</v>
      </c>
      <c r="DG14" s="27">
        <f t="shared" si="55"/>
        <v>399.03739305555558</v>
      </c>
      <c r="DH14" s="27">
        <f t="shared" si="55"/>
        <v>395.04701912500002</v>
      </c>
      <c r="DI14" s="27">
        <f t="shared" si="55"/>
        <v>391.09654893375</v>
      </c>
      <c r="DJ14" s="27">
        <f t="shared" si="55"/>
        <v>387.18558344441249</v>
      </c>
      <c r="DK14" s="27">
        <f t="shared" si="55"/>
        <v>383.31372760996834</v>
      </c>
      <c r="DL14" s="27">
        <f t="shared" si="55"/>
        <v>379.48059033386863</v>
      </c>
      <c r="DM14" s="27">
        <f t="shared" si="55"/>
        <v>375.68578443052996</v>
      </c>
      <c r="DN14" s="27">
        <f t="shared" si="55"/>
        <v>371.92892658622463</v>
      </c>
      <c r="DO14" s="27">
        <f t="shared" si="55"/>
        <v>368.20963732036239</v>
      </c>
      <c r="DP14" s="27">
        <f t="shared" si="55"/>
        <v>364.52754094715874</v>
      </c>
      <c r="DQ14" s="27">
        <f t="shared" si="55"/>
        <v>360.88226553768715</v>
      </c>
      <c r="DR14" s="27">
        <f t="shared" si="55"/>
        <v>357.27344288231029</v>
      </c>
      <c r="DS14" s="27">
        <f t="shared" si="55"/>
        <v>353.70070845348721</v>
      </c>
      <c r="DT14" s="27">
        <f t="shared" si="55"/>
        <v>350.16370136895233</v>
      </c>
      <c r="DU14" s="27">
        <f t="shared" si="55"/>
        <v>346.66206435526283</v>
      </c>
      <c r="DV14" s="27">
        <f t="shared" si="55"/>
        <v>343.1954437117102</v>
      </c>
      <c r="DW14" s="27">
        <f t="shared" si="55"/>
        <v>339.7634892745931</v>
      </c>
      <c r="DX14" s="27">
        <f t="shared" si="55"/>
        <v>336.36585438184716</v>
      </c>
      <c r="DY14" s="27">
        <f t="shared" si="55"/>
        <v>333.00219583802868</v>
      </c>
      <c r="DZ14" s="27">
        <f t="shared" si="55"/>
        <v>329.67217387964837</v>
      </c>
      <c r="EA14" s="27">
        <f t="shared" si="55"/>
        <v>326.37545214085191</v>
      </c>
      <c r="EB14" s="27">
        <f t="shared" si="55"/>
        <v>323.11169761944336</v>
      </c>
      <c r="EC14" s="27">
        <f t="shared" si="55"/>
        <v>319.88058064324895</v>
      </c>
      <c r="ED14" s="27">
        <f t="shared" si="55"/>
        <v>316.68177483681643</v>
      </c>
      <c r="EE14" s="27">
        <f t="shared" si="55"/>
        <v>313.51495708844828</v>
      </c>
    </row>
    <row r="15" spans="1:135" x14ac:dyDescent="0.25">
      <c r="C15" s="2" t="s">
        <v>66</v>
      </c>
      <c r="H15" s="2">
        <v>342</v>
      </c>
      <c r="L15" s="2">
        <v>342</v>
      </c>
      <c r="M15" s="2">
        <v>342</v>
      </c>
      <c r="N15" s="13">
        <v>350.957583</v>
      </c>
      <c r="O15" s="13">
        <v>350.957583</v>
      </c>
      <c r="P15" s="16">
        <v>350.957583</v>
      </c>
      <c r="Q15" s="13">
        <v>350.957583</v>
      </c>
      <c r="R15" s="13">
        <v>350.957583</v>
      </c>
      <c r="S15" s="13">
        <v>350.957583</v>
      </c>
      <c r="W15" s="2">
        <v>128</v>
      </c>
      <c r="X15" s="13">
        <v>155</v>
      </c>
      <c r="Y15" s="13">
        <v>203.957583</v>
      </c>
      <c r="Z15" s="13">
        <v>350.957583</v>
      </c>
      <c r="AA15" s="16">
        <v>350.957583</v>
      </c>
      <c r="AB15" s="13">
        <v>350.957583</v>
      </c>
      <c r="AC15" s="13">
        <v>350.957583</v>
      </c>
      <c r="AD15" s="13">
        <v>350.957583</v>
      </c>
      <c r="AE15" s="13">
        <v>350.957583</v>
      </c>
      <c r="AF15" s="13">
        <v>350.957583</v>
      </c>
      <c r="AG15" s="13">
        <v>350.957583</v>
      </c>
      <c r="AH15" s="13">
        <v>350.957583</v>
      </c>
      <c r="AI15" s="13">
        <v>350.957583</v>
      </c>
      <c r="AJ15" s="13">
        <v>350.957583</v>
      </c>
      <c r="AK15" s="13">
        <v>350.957583</v>
      </c>
    </row>
    <row r="16" spans="1:135" x14ac:dyDescent="0.25">
      <c r="C16" s="2" t="s">
        <v>114</v>
      </c>
      <c r="H16" s="12">
        <f t="shared" ref="H16" si="56">(H14/H15)*$B$12</f>
        <v>6.7949385964912221E-2</v>
      </c>
      <c r="L16" s="12">
        <f t="shared" ref="L16:N16" si="57">(L14/L15)*$B$12</f>
        <v>-0.72277415204678364</v>
      </c>
      <c r="M16" s="12">
        <f>(M14/M15)*$B$12</f>
        <v>0.73367836257309926</v>
      </c>
      <c r="N16" s="12">
        <f t="shared" si="57"/>
        <v>0.8953304194598356</v>
      </c>
      <c r="O16" s="12">
        <f>(O14/O15)*$B$12</f>
        <v>1.2695326204135617</v>
      </c>
      <c r="P16" s="5">
        <f>(P14/P15)*$B$12</f>
        <v>5.7852119411250978E-2</v>
      </c>
      <c r="Q16" s="12">
        <f t="shared" ref="Q16:S16" si="58">(Q14/Q15)*$B$12</f>
        <v>1.4594213797055926</v>
      </c>
      <c r="R16" s="12">
        <f t="shared" si="58"/>
        <v>1.4594213797055926</v>
      </c>
      <c r="S16" s="12">
        <f t="shared" si="58"/>
        <v>0.93468560273279522</v>
      </c>
      <c r="W16" s="12">
        <f>(W14/W15)*$B$12</f>
        <v>0.67000789062500032</v>
      </c>
      <c r="X16" s="12">
        <f t="shared" ref="X16:Y16" si="59">(X14/X15)*$B$12</f>
        <v>2.6392058709677428</v>
      </c>
      <c r="Y16" s="12">
        <f t="shared" si="59"/>
        <v>0.64887011335097089</v>
      </c>
      <c r="Z16" s="12">
        <f>(Z14/Z15)*$B$12</f>
        <v>2.2213049318840334</v>
      </c>
      <c r="AA16" s="5">
        <f t="shared" ref="AA16:AK16" si="60">(AA14/AA15)*$B$12</f>
        <v>3.9343376717977905</v>
      </c>
      <c r="AB16" s="12">
        <f t="shared" si="60"/>
        <v>10.068367720665549</v>
      </c>
      <c r="AC16" s="12">
        <f t="shared" si="60"/>
        <v>16.463585002521516</v>
      </c>
      <c r="AD16" s="12">
        <f t="shared" si="60"/>
        <v>16.965232405307511</v>
      </c>
      <c r="AE16" s="12">
        <f t="shared" si="60"/>
        <v>17.843167833760695</v>
      </c>
      <c r="AF16" s="12">
        <f t="shared" si="60"/>
        <v>19.310281839956708</v>
      </c>
      <c r="AG16" s="12">
        <f t="shared" si="60"/>
        <v>20.850434343685354</v>
      </c>
      <c r="AH16" s="12">
        <f t="shared" si="60"/>
        <v>22.456194614082477</v>
      </c>
      <c r="AI16" s="12">
        <f t="shared" si="60"/>
        <v>24.116441931074071</v>
      </c>
      <c r="AJ16" s="12">
        <f t="shared" si="60"/>
        <v>25.815407203230503</v>
      </c>
      <c r="AK16" s="12">
        <f t="shared" si="60"/>
        <v>27.531500870761434</v>
      </c>
    </row>
    <row r="17" spans="3:40" x14ac:dyDescent="0.25">
      <c r="AM17" s="2" t="s">
        <v>125</v>
      </c>
      <c r="AN17" s="32">
        <v>0.1</v>
      </c>
    </row>
    <row r="18" spans="3:40" x14ac:dyDescent="0.25">
      <c r="C18" s="4" t="s">
        <v>67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63">
        <f>(P4-L4)/L4</f>
        <v>2.4460000000000002</v>
      </c>
      <c r="Q18" s="56">
        <f>(Q4-M4)/M4</f>
        <v>1.2222222222222223</v>
      </c>
      <c r="R18" s="56">
        <f>(R4-N4)/N4</f>
        <v>0.72839506172839508</v>
      </c>
      <c r="S18" s="56">
        <f>(S4-O4)/O4</f>
        <v>0.45792997270755093</v>
      </c>
      <c r="T18" s="4"/>
      <c r="U18" s="4"/>
      <c r="V18" s="4"/>
      <c r="W18" s="4"/>
      <c r="X18" s="57">
        <f t="shared" ref="X18:AK18" si="61">(X4-W4)/W4</f>
        <v>0.74643079851652505</v>
      </c>
      <c r="Y18" s="57">
        <f t="shared" si="61"/>
        <v>2.0653236112155089E-2</v>
      </c>
      <c r="Z18" s="57">
        <f t="shared" si="61"/>
        <v>1.2899412642006223</v>
      </c>
      <c r="AA18" s="58">
        <f t="shared" si="61"/>
        <v>0.89144400935924539</v>
      </c>
      <c r="AB18" s="57">
        <f t="shared" si="61"/>
        <v>1.3997075290026655</v>
      </c>
      <c r="AC18" s="57">
        <f t="shared" si="61"/>
        <v>0.30380868024800711</v>
      </c>
      <c r="AD18" s="57">
        <f t="shared" si="61"/>
        <v>0.10000000000000003</v>
      </c>
      <c r="AE18" s="57">
        <f t="shared" si="61"/>
        <v>0.10000000000000005</v>
      </c>
      <c r="AF18" s="57">
        <f t="shared" si="61"/>
        <v>0.10000000000000003</v>
      </c>
      <c r="AG18" s="57">
        <f t="shared" si="61"/>
        <v>0.1000000000000002</v>
      </c>
      <c r="AH18" s="57">
        <f t="shared" si="61"/>
        <v>0.10000000000000014</v>
      </c>
      <c r="AI18" s="57">
        <f t="shared" si="61"/>
        <v>0.10000000000000007</v>
      </c>
      <c r="AJ18" s="57">
        <f t="shared" si="61"/>
        <v>0.10000000000000005</v>
      </c>
      <c r="AK18" s="57">
        <f t="shared" si="61"/>
        <v>0.10000000000000016</v>
      </c>
      <c r="AM18" s="2" t="s">
        <v>126</v>
      </c>
      <c r="AN18" s="32">
        <v>-0.01</v>
      </c>
    </row>
    <row r="19" spans="3:40" x14ac:dyDescent="0.25">
      <c r="C19" s="2" t="s">
        <v>124</v>
      </c>
      <c r="L19" s="25">
        <f t="shared" ref="L19:N19" si="62">L7/L4</f>
        <v>-0.41994736842105257</v>
      </c>
      <c r="M19" s="25">
        <f t="shared" si="62"/>
        <v>0.52380952380952384</v>
      </c>
      <c r="N19" s="25">
        <f t="shared" si="62"/>
        <v>0.58888888888888891</v>
      </c>
      <c r="O19" s="25">
        <f>O7/O4</f>
        <v>0.60078378315332759</v>
      </c>
      <c r="P19" s="26">
        <f>P7/P4</f>
        <v>0.31945505085988335</v>
      </c>
      <c r="Q19" s="25">
        <f t="shared" ref="Q19:S19" si="63">Q7/Q4</f>
        <v>0.6428571428571429</v>
      </c>
      <c r="R19" s="25">
        <f t="shared" si="63"/>
        <v>0.6428571428571429</v>
      </c>
      <c r="S19" s="25">
        <f t="shared" si="63"/>
        <v>0.65600000000000003</v>
      </c>
      <c r="W19" s="25">
        <f>W7/W4</f>
        <v>0.36199087597229979</v>
      </c>
      <c r="X19" s="25">
        <f t="shared" ref="X19:AJ19" si="64">X7/X4</f>
        <v>0.53453168458242506</v>
      </c>
      <c r="Y19" s="25">
        <f t="shared" si="64"/>
        <v>0.45019425162490107</v>
      </c>
      <c r="Z19" s="25">
        <f>Z7/Z4</f>
        <v>0.50506155070797387</v>
      </c>
      <c r="AA19" s="26">
        <f t="shared" si="64"/>
        <v>0.6013424758860213</v>
      </c>
      <c r="AB19" s="25">
        <f t="shared" si="64"/>
        <v>0.48981399468556247</v>
      </c>
      <c r="AC19" s="25">
        <f t="shared" si="64"/>
        <v>0.52445652173913049</v>
      </c>
      <c r="AD19" s="25">
        <f t="shared" si="64"/>
        <v>0.51828063241106725</v>
      </c>
      <c r="AE19" s="25">
        <f t="shared" si="64"/>
        <v>0.51154329859863445</v>
      </c>
      <c r="AF19" s="25">
        <f t="shared" si="64"/>
        <v>0.50419347989416263</v>
      </c>
      <c r="AG19" s="25">
        <f t="shared" si="64"/>
        <v>0.49617549585292053</v>
      </c>
      <c r="AH19" s="25">
        <f t="shared" si="64"/>
        <v>0.48742860417156547</v>
      </c>
      <c r="AI19" s="25">
        <f t="shared" si="64"/>
        <v>0.47788654051917823</v>
      </c>
      <c r="AJ19" s="25">
        <f t="shared" si="64"/>
        <v>0.46747701653475565</v>
      </c>
      <c r="AK19" s="25">
        <f t="shared" ref="AK19" si="65">AK7/AK4</f>
        <v>0.45612117218811299</v>
      </c>
      <c r="AM19" s="2" t="s">
        <v>127</v>
      </c>
      <c r="AN19" s="9">
        <f>NPV(AN17,AA14:EE14)</f>
        <v>5966.6881903109288</v>
      </c>
    </row>
    <row r="20" spans="3:40" x14ac:dyDescent="0.25">
      <c r="C20" s="2" t="s">
        <v>131</v>
      </c>
      <c r="D20" s="9"/>
      <c r="E20" s="9"/>
      <c r="F20" s="9"/>
      <c r="G20" s="9"/>
      <c r="H20" s="9"/>
      <c r="I20" s="9"/>
      <c r="J20" s="9"/>
      <c r="K20" s="9"/>
      <c r="L20" s="9">
        <v>1801</v>
      </c>
      <c r="M20" s="9">
        <v>1915</v>
      </c>
      <c r="N20" s="9">
        <v>2054</v>
      </c>
      <c r="O20" s="9">
        <v>2336</v>
      </c>
      <c r="P20" s="3">
        <v>2487</v>
      </c>
      <c r="W20" s="25"/>
      <c r="X20" s="25"/>
      <c r="Y20" s="25"/>
      <c r="Z20" s="25"/>
      <c r="AA20" s="26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M20" s="17" t="s">
        <v>128</v>
      </c>
      <c r="AN20" s="31">
        <f>AN19*B12</f>
        <v>68676.581070478787</v>
      </c>
    </row>
    <row r="21" spans="3:40" x14ac:dyDescent="0.25">
      <c r="AM21" s="2" t="s">
        <v>2</v>
      </c>
      <c r="AN21" s="12">
        <v>350.957583</v>
      </c>
    </row>
    <row r="22" spans="3:40" x14ac:dyDescent="0.25">
      <c r="C22" s="1" t="s">
        <v>132</v>
      </c>
      <c r="O22" s="21"/>
      <c r="P22" s="23"/>
      <c r="Y22" s="12"/>
      <c r="AM22" s="2" t="s">
        <v>129</v>
      </c>
      <c r="AN22" s="13">
        <f>AN20/AN21</f>
        <v>195.6834227185762</v>
      </c>
    </row>
    <row r="23" spans="3:40" x14ac:dyDescent="0.25">
      <c r="C23" s="2" t="s">
        <v>68</v>
      </c>
      <c r="D23" s="9"/>
      <c r="E23" s="9"/>
      <c r="F23" s="9"/>
      <c r="G23" s="9"/>
      <c r="H23" s="9">
        <v>16.946999999999999</v>
      </c>
      <c r="I23" s="9">
        <v>16.946999999999999</v>
      </c>
      <c r="J23" s="9"/>
      <c r="K23" s="9"/>
      <c r="L23" s="9">
        <v>17.236000000000001</v>
      </c>
      <c r="M23" s="9">
        <v>17.440000000000001</v>
      </c>
      <c r="N23" s="9">
        <v>16.72</v>
      </c>
      <c r="O23" s="9">
        <v>18.190000000000001</v>
      </c>
      <c r="P23" s="8">
        <v>18.643999999999998</v>
      </c>
      <c r="AM23" s="4" t="s">
        <v>130</v>
      </c>
      <c r="AN23" s="33">
        <f>(AN22-B4)/B4</f>
        <v>2.7631427445880039</v>
      </c>
    </row>
    <row r="24" spans="3:40" x14ac:dyDescent="0.25">
      <c r="C24" s="2" t="s">
        <v>69</v>
      </c>
      <c r="D24" s="9"/>
      <c r="E24" s="9"/>
      <c r="F24" s="9"/>
      <c r="G24" s="9"/>
      <c r="H24" s="9">
        <v>1085.6320000000001</v>
      </c>
      <c r="I24" s="9">
        <v>1085.6320000000001</v>
      </c>
      <c r="J24" s="9"/>
      <c r="K24" s="9"/>
      <c r="L24" s="9">
        <v>1188.829</v>
      </c>
      <c r="M24" s="9">
        <v>1380.924</v>
      </c>
      <c r="N24" s="9">
        <v>1612.704</v>
      </c>
      <c r="O24" s="9">
        <v>1712.2660000000001</v>
      </c>
      <c r="P24" s="8">
        <v>2188.3490000000002</v>
      </c>
    </row>
    <row r="25" spans="3:40" x14ac:dyDescent="0.25">
      <c r="C25" s="2" t="s">
        <v>77</v>
      </c>
      <c r="D25" s="9"/>
      <c r="E25" s="9"/>
      <c r="F25" s="9"/>
      <c r="G25" s="9"/>
      <c r="H25" s="9">
        <v>0.97299999999999998</v>
      </c>
      <c r="I25" s="9">
        <v>0.97299999999999998</v>
      </c>
      <c r="J25" s="9"/>
      <c r="K25" s="9"/>
      <c r="L25" s="9">
        <v>11</v>
      </c>
      <c r="M25" s="9">
        <v>11.118</v>
      </c>
      <c r="N25" s="9">
        <v>10.691000000000001</v>
      </c>
      <c r="O25" s="9">
        <v>10.337</v>
      </c>
      <c r="P25" s="8">
        <v>10.638999999999999</v>
      </c>
    </row>
    <row r="26" spans="3:40" x14ac:dyDescent="0.25">
      <c r="C26" s="2" t="s">
        <v>78</v>
      </c>
      <c r="D26" s="9"/>
      <c r="E26" s="9"/>
      <c r="F26" s="9"/>
      <c r="G26" s="9"/>
      <c r="H26" s="9">
        <v>1.22</v>
      </c>
      <c r="I26" s="9">
        <v>1.22</v>
      </c>
      <c r="J26" s="9"/>
      <c r="K26" s="9"/>
      <c r="L26" s="9">
        <v>1.226</v>
      </c>
      <c r="M26" s="9">
        <v>1.0469999999999999</v>
      </c>
      <c r="N26" s="9">
        <v>1.0469999999999999</v>
      </c>
      <c r="O26" s="9">
        <v>1.014</v>
      </c>
      <c r="P26" s="8">
        <v>1</v>
      </c>
    </row>
    <row r="27" spans="3:40" x14ac:dyDescent="0.25">
      <c r="C27" s="2" t="s">
        <v>70</v>
      </c>
      <c r="D27" s="9"/>
      <c r="E27" s="9"/>
      <c r="F27" s="9"/>
      <c r="G27" s="9"/>
      <c r="H27" s="9">
        <v>0.33800000000000002</v>
      </c>
      <c r="I27" s="9">
        <v>0.33800000000000002</v>
      </c>
      <c r="J27" s="9"/>
      <c r="K27" s="9"/>
      <c r="L27" s="9">
        <v>1.248</v>
      </c>
      <c r="M27" s="9">
        <v>3.1920000000000002</v>
      </c>
      <c r="N27" s="9">
        <v>0.69499999999999995</v>
      </c>
      <c r="O27" s="9">
        <v>6.593</v>
      </c>
      <c r="P27" s="8">
        <v>2.9</v>
      </c>
    </row>
    <row r="28" spans="3:40" x14ac:dyDescent="0.25">
      <c r="C28" s="2" t="s">
        <v>71</v>
      </c>
      <c r="D28" s="9"/>
      <c r="E28" s="9"/>
      <c r="F28" s="9"/>
      <c r="G28" s="9"/>
      <c r="H28" s="9">
        <v>1.8360000000000001</v>
      </c>
      <c r="I28" s="9">
        <v>1.8360000000000001</v>
      </c>
      <c r="J28" s="9"/>
      <c r="K28" s="9"/>
      <c r="L28" s="9">
        <v>1.86</v>
      </c>
      <c r="M28" s="9">
        <v>0.94699999999999995</v>
      </c>
      <c r="N28" s="9">
        <v>1.351</v>
      </c>
      <c r="O28" s="9">
        <v>1.0389999999999999</v>
      </c>
      <c r="P28" s="8">
        <v>3.5</v>
      </c>
    </row>
    <row r="29" spans="3:40" x14ac:dyDescent="0.25">
      <c r="C29" s="2" t="s">
        <v>72</v>
      </c>
      <c r="D29" s="9"/>
      <c r="E29" s="9"/>
      <c r="F29" s="9"/>
      <c r="G29" s="9"/>
      <c r="H29" s="9">
        <v>30.552</v>
      </c>
      <c r="I29" s="9">
        <v>30.552</v>
      </c>
      <c r="J29" s="9"/>
      <c r="K29" s="9"/>
      <c r="L29" s="9">
        <v>36.527999999999999</v>
      </c>
      <c r="M29" s="9">
        <v>39.680999999999997</v>
      </c>
      <c r="N29" s="9">
        <v>46.317999999999998</v>
      </c>
      <c r="O29" s="9">
        <v>62.985999999999997</v>
      </c>
      <c r="P29" s="8">
        <v>105.81699999999999</v>
      </c>
    </row>
    <row r="30" spans="3:40" x14ac:dyDescent="0.25">
      <c r="C30" s="2" t="s">
        <v>73</v>
      </c>
      <c r="D30" s="9"/>
      <c r="E30" s="9"/>
      <c r="F30" s="9"/>
      <c r="G30" s="9"/>
      <c r="H30" s="9">
        <v>8.8800000000000008</v>
      </c>
      <c r="I30" s="9">
        <v>8.8800000000000008</v>
      </c>
      <c r="J30" s="9"/>
      <c r="K30" s="9"/>
      <c r="L30" s="9">
        <v>1.5489999999999999</v>
      </c>
      <c r="M30" s="9">
        <v>18.295999999999999</v>
      </c>
      <c r="N30" s="9">
        <v>30.564</v>
      </c>
      <c r="O30" s="9">
        <v>37.609000000000002</v>
      </c>
      <c r="P30" s="8">
        <v>24</v>
      </c>
    </row>
    <row r="31" spans="3:40" x14ac:dyDescent="0.25">
      <c r="C31" s="2" t="s">
        <v>74</v>
      </c>
      <c r="D31" s="9"/>
      <c r="E31" s="9"/>
      <c r="F31" s="9"/>
      <c r="G31" s="9"/>
      <c r="H31" s="9">
        <v>9.5619999999999994</v>
      </c>
      <c r="I31" s="9">
        <v>9.5619999999999994</v>
      </c>
      <c r="J31" s="9"/>
      <c r="K31" s="9"/>
      <c r="L31" s="9">
        <v>15.388999999999999</v>
      </c>
      <c r="M31" s="9">
        <v>21.555</v>
      </c>
      <c r="N31" s="9">
        <v>15.627000000000001</v>
      </c>
      <c r="O31" s="9">
        <v>16.643000000000001</v>
      </c>
      <c r="P31" s="8">
        <v>13.345000000000001</v>
      </c>
    </row>
    <row r="32" spans="3:40" x14ac:dyDescent="0.25">
      <c r="C32" s="2" t="s">
        <v>200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11.875</v>
      </c>
      <c r="P32" s="8">
        <v>1</v>
      </c>
    </row>
    <row r="33" spans="3:16" x14ac:dyDescent="0.25">
      <c r="C33" s="2" t="s">
        <v>196</v>
      </c>
      <c r="D33" s="9"/>
      <c r="E33" s="9"/>
      <c r="F33" s="9"/>
      <c r="G33" s="9"/>
      <c r="H33" s="9">
        <v>1.2E-2</v>
      </c>
      <c r="I33" s="9">
        <v>0</v>
      </c>
      <c r="J33" s="9"/>
      <c r="K33" s="9"/>
      <c r="L33" s="9">
        <v>1.2E-2</v>
      </c>
      <c r="M33" s="9">
        <v>2.278</v>
      </c>
      <c r="N33" s="9">
        <v>0</v>
      </c>
      <c r="O33" s="9">
        <v>0</v>
      </c>
      <c r="P33" s="8">
        <v>1</v>
      </c>
    </row>
    <row r="34" spans="3:16" x14ac:dyDescent="0.25">
      <c r="C34" s="2" t="s">
        <v>75</v>
      </c>
      <c r="D34" s="9"/>
      <c r="E34" s="9"/>
      <c r="F34" s="9"/>
      <c r="G34" s="9"/>
      <c r="H34" s="9">
        <v>96.608000000000004</v>
      </c>
      <c r="I34" s="9">
        <v>96.6</v>
      </c>
      <c r="J34" s="9"/>
      <c r="K34" s="9"/>
      <c r="L34" s="9">
        <v>209.13</v>
      </c>
      <c r="M34" s="9">
        <v>93.05</v>
      </c>
      <c r="N34" s="9">
        <v>91.853999999999999</v>
      </c>
      <c r="O34" s="9">
        <v>58.463999999999999</v>
      </c>
      <c r="P34" s="8">
        <v>94.1</v>
      </c>
    </row>
    <row r="35" spans="3:16" x14ac:dyDescent="0.25">
      <c r="C35" s="4" t="s">
        <v>76</v>
      </c>
      <c r="D35" s="27">
        <f t="shared" ref="D35:M35" si="66">SUM(D23:D34)</f>
        <v>0</v>
      </c>
      <c r="E35" s="27">
        <f t="shared" si="66"/>
        <v>0</v>
      </c>
      <c r="F35" s="27">
        <f t="shared" si="66"/>
        <v>0</v>
      </c>
      <c r="G35" s="27">
        <f t="shared" si="66"/>
        <v>0</v>
      </c>
      <c r="H35" s="27">
        <f t="shared" si="66"/>
        <v>1252.5599999999997</v>
      </c>
      <c r="I35" s="27">
        <f t="shared" si="66"/>
        <v>1252.5399999999997</v>
      </c>
      <c r="J35" s="27">
        <f t="shared" si="66"/>
        <v>0</v>
      </c>
      <c r="K35" s="27">
        <f t="shared" si="66"/>
        <v>0</v>
      </c>
      <c r="L35" s="27">
        <f t="shared" si="66"/>
        <v>1484.0070000000001</v>
      </c>
      <c r="M35" s="27">
        <f t="shared" si="66"/>
        <v>1589.528</v>
      </c>
      <c r="N35" s="27">
        <f>SUM(N23:N34)</f>
        <v>1827.5710000000001</v>
      </c>
      <c r="O35" s="27">
        <f>SUM(O23:O34)</f>
        <v>1937.0160000000001</v>
      </c>
      <c r="P35" s="10">
        <f>SUM(P23:P34)</f>
        <v>2464.2939999999999</v>
      </c>
    </row>
    <row r="36" spans="3:16" x14ac:dyDescent="0.25">
      <c r="C36" s="2" t="s">
        <v>79</v>
      </c>
      <c r="D36" s="9"/>
      <c r="E36" s="9"/>
      <c r="F36" s="9"/>
      <c r="G36" s="9"/>
      <c r="H36" s="9">
        <v>41.838999999999999</v>
      </c>
      <c r="I36" s="9">
        <v>41.838999999999999</v>
      </c>
      <c r="J36" s="9"/>
      <c r="K36" s="9"/>
      <c r="L36" s="9">
        <v>47.14</v>
      </c>
      <c r="M36" s="9">
        <v>47.143999999999998</v>
      </c>
      <c r="N36" s="9">
        <v>47.143999999999998</v>
      </c>
      <c r="O36" s="9">
        <v>47.143999999999998</v>
      </c>
      <c r="P36" s="8">
        <v>47.143999999999998</v>
      </c>
    </row>
    <row r="37" spans="3:16" x14ac:dyDescent="0.25">
      <c r="C37" s="2" t="s">
        <v>195</v>
      </c>
      <c r="D37" s="9"/>
      <c r="E37" s="9"/>
      <c r="F37" s="9"/>
      <c r="G37" s="9"/>
      <c r="H37" s="9">
        <v>952.85799999999995</v>
      </c>
      <c r="I37" s="9">
        <v>952.85799999999995</v>
      </c>
      <c r="J37" s="9"/>
      <c r="K37" s="9"/>
      <c r="L37" s="9">
        <v>1099.95</v>
      </c>
      <c r="M37" s="9">
        <v>1100.0029999999999</v>
      </c>
      <c r="N37" s="9">
        <v>1099.4949999999999</v>
      </c>
      <c r="O37" s="9">
        <v>1099.4949999999999</v>
      </c>
      <c r="P37" s="8">
        <v>1099.4949999999999</v>
      </c>
    </row>
    <row r="38" spans="3:16" x14ac:dyDescent="0.25">
      <c r="C38" s="2" t="s">
        <v>80</v>
      </c>
      <c r="D38" s="9"/>
      <c r="E38" s="9"/>
      <c r="F38" s="9"/>
      <c r="G38" s="9"/>
      <c r="J38" s="9"/>
      <c r="K38" s="9"/>
      <c r="L38" s="9"/>
      <c r="N38" s="9">
        <v>-1.2829999999999999</v>
      </c>
      <c r="O38" s="9">
        <v>-1.2829999999999999</v>
      </c>
      <c r="P38" s="8">
        <v>-1.2</v>
      </c>
    </row>
    <row r="39" spans="3:16" x14ac:dyDescent="0.25">
      <c r="C39" s="2" t="s">
        <v>81</v>
      </c>
      <c r="D39" s="9"/>
      <c r="E39" s="9"/>
      <c r="F39" s="9"/>
      <c r="G39" s="9"/>
      <c r="H39" s="9">
        <v>-28.283000000000001</v>
      </c>
      <c r="I39" s="9">
        <v>-28.283000000000001</v>
      </c>
      <c r="J39" s="9"/>
      <c r="K39" s="9"/>
      <c r="L39" s="9">
        <v>-4.0609999999999999</v>
      </c>
      <c r="M39" s="9">
        <v>10.696999999999999</v>
      </c>
      <c r="N39" s="9">
        <v>-34.57</v>
      </c>
      <c r="O39" s="9">
        <v>29.18</v>
      </c>
      <c r="P39" s="8">
        <v>18.399999999999999</v>
      </c>
    </row>
    <row r="40" spans="3:16" x14ac:dyDescent="0.25">
      <c r="C40" s="2" t="s">
        <v>82</v>
      </c>
      <c r="D40" s="9"/>
      <c r="E40" s="9"/>
      <c r="F40" s="9"/>
      <c r="G40" s="9"/>
      <c r="H40" s="9">
        <v>-7.3730000000000002</v>
      </c>
      <c r="I40" s="9">
        <v>-7.3730000000000002</v>
      </c>
      <c r="J40" s="9"/>
      <c r="K40" s="9"/>
      <c r="L40" s="9">
        <v>-27.893999999999998</v>
      </c>
      <c r="M40" s="9">
        <v>-6.5289999999999999</v>
      </c>
      <c r="N40" s="9">
        <v>21.614000000000001</v>
      </c>
      <c r="O40" s="9">
        <v>59.357999999999997</v>
      </c>
      <c r="P40" s="8">
        <v>61.774999999999999</v>
      </c>
    </row>
    <row r="41" spans="3:16" x14ac:dyDescent="0.25">
      <c r="C41" s="11" t="s">
        <v>83</v>
      </c>
      <c r="D41" s="55">
        <f t="shared" ref="D41:M41" si="67">SUM(D36:D40)</f>
        <v>0</v>
      </c>
      <c r="E41" s="55">
        <f t="shared" si="67"/>
        <v>0</v>
      </c>
      <c r="F41" s="55">
        <f t="shared" si="67"/>
        <v>0</v>
      </c>
      <c r="G41" s="55">
        <f t="shared" si="67"/>
        <v>0</v>
      </c>
      <c r="H41" s="55">
        <f>SUM(H36:H40)</f>
        <v>959.04099999999983</v>
      </c>
      <c r="I41" s="55">
        <f t="shared" si="67"/>
        <v>959.04099999999983</v>
      </c>
      <c r="J41" s="55">
        <f t="shared" si="67"/>
        <v>0</v>
      </c>
      <c r="K41" s="55">
        <f t="shared" si="67"/>
        <v>0</v>
      </c>
      <c r="L41" s="55">
        <f>SUM(L36:L40)</f>
        <v>1115.1350000000002</v>
      </c>
      <c r="M41" s="55">
        <f t="shared" si="67"/>
        <v>1151.3149999999998</v>
      </c>
      <c r="N41" s="55">
        <f>SUM(N36:N40)</f>
        <v>1132.4000000000001</v>
      </c>
      <c r="O41" s="55">
        <f>SUM(O36:O40)</f>
        <v>1233.894</v>
      </c>
      <c r="P41" s="64">
        <f>SUM(P36:P40)</f>
        <v>1225.614</v>
      </c>
    </row>
    <row r="42" spans="3:16" x14ac:dyDescent="0.25">
      <c r="C42" s="2" t="s">
        <v>84</v>
      </c>
      <c r="D42" s="9"/>
      <c r="E42" s="9"/>
      <c r="F42" s="9"/>
      <c r="G42" s="9"/>
      <c r="H42" s="9">
        <v>4.8129999999999997</v>
      </c>
      <c r="I42" s="9">
        <v>4.8129999999999997</v>
      </c>
      <c r="J42" s="9"/>
      <c r="K42" s="9"/>
      <c r="L42" s="9">
        <v>4.8129999999999997</v>
      </c>
      <c r="M42" s="9">
        <v>0</v>
      </c>
      <c r="N42" s="9">
        <v>0</v>
      </c>
      <c r="O42" s="9">
        <v>0</v>
      </c>
      <c r="P42" s="8">
        <v>0</v>
      </c>
    </row>
    <row r="43" spans="3:16" x14ac:dyDescent="0.25">
      <c r="C43" s="2" t="s">
        <v>85</v>
      </c>
      <c r="D43" s="9"/>
      <c r="E43" s="9"/>
      <c r="F43" s="9"/>
      <c r="G43" s="9"/>
      <c r="H43" s="9">
        <v>0.39200000000000002</v>
      </c>
      <c r="I43" s="9">
        <v>0.39200000000000002</v>
      </c>
      <c r="J43" s="9"/>
      <c r="K43" s="9"/>
      <c r="L43" s="9">
        <v>9.8580000000000005</v>
      </c>
      <c r="M43" s="9">
        <v>9.859</v>
      </c>
      <c r="N43" s="9">
        <v>9.609</v>
      </c>
      <c r="O43" s="9">
        <v>9.6969999999999992</v>
      </c>
      <c r="P43" s="8">
        <v>10</v>
      </c>
    </row>
    <row r="44" spans="3:16" x14ac:dyDescent="0.25">
      <c r="C44" s="2" t="s">
        <v>86</v>
      </c>
      <c r="D44" s="9"/>
      <c r="E44" s="9"/>
      <c r="F44" s="9"/>
      <c r="G44" s="9"/>
      <c r="H44" s="9">
        <v>10.191000000000001</v>
      </c>
      <c r="I44" s="9">
        <v>10.191000000000001</v>
      </c>
      <c r="J44" s="9"/>
      <c r="K44" s="9"/>
      <c r="L44" s="9">
        <v>10.417</v>
      </c>
      <c r="M44" s="9">
        <v>11.236000000000001</v>
      </c>
      <c r="N44" s="9">
        <v>10.788</v>
      </c>
      <c r="O44" s="9">
        <v>11.972</v>
      </c>
      <c r="P44" s="8">
        <v>11.5</v>
      </c>
    </row>
    <row r="45" spans="3:16" x14ac:dyDescent="0.25">
      <c r="C45" s="2" t="s">
        <v>87</v>
      </c>
      <c r="D45" s="9"/>
      <c r="E45" s="9"/>
      <c r="F45" s="9"/>
      <c r="G45" s="9"/>
      <c r="H45" s="9">
        <v>1.778</v>
      </c>
      <c r="I45" s="9">
        <v>1.778</v>
      </c>
      <c r="J45" s="9"/>
      <c r="K45" s="9"/>
      <c r="L45" s="9">
        <v>6.327</v>
      </c>
      <c r="M45" s="9">
        <v>1.734</v>
      </c>
      <c r="N45" s="9">
        <v>7.4649999999999999</v>
      </c>
      <c r="O45" s="9">
        <v>1.7470000000000001</v>
      </c>
      <c r="P45" s="8">
        <v>4</v>
      </c>
    </row>
    <row r="46" spans="3:16" x14ac:dyDescent="0.25">
      <c r="C46" s="2" t="s">
        <v>88</v>
      </c>
      <c r="D46" s="9"/>
      <c r="E46" s="9"/>
      <c r="F46" s="9"/>
      <c r="G46" s="9"/>
      <c r="H46" s="9">
        <v>204.773</v>
      </c>
      <c r="I46" s="9">
        <v>204.773</v>
      </c>
      <c r="J46" s="9"/>
      <c r="K46" s="9"/>
      <c r="L46" s="9">
        <v>254.59100000000001</v>
      </c>
      <c r="M46" s="9">
        <v>335.02800000000002</v>
      </c>
      <c r="N46" s="9">
        <v>546.75300000000004</v>
      </c>
      <c r="O46" s="9">
        <v>539.85400000000004</v>
      </c>
      <c r="P46" s="8">
        <v>995.471</v>
      </c>
    </row>
    <row r="47" spans="3:16" x14ac:dyDescent="0.25">
      <c r="C47" s="2" t="s">
        <v>89</v>
      </c>
      <c r="D47" s="9"/>
      <c r="E47" s="9"/>
      <c r="F47" s="9"/>
      <c r="G47" s="9"/>
      <c r="H47" s="9">
        <v>17.957000000000001</v>
      </c>
      <c r="I47" s="9">
        <v>17.957000000000001</v>
      </c>
      <c r="J47" s="9"/>
      <c r="K47" s="9"/>
      <c r="L47" s="9">
        <v>8.3170000000000002</v>
      </c>
      <c r="M47" s="9">
        <v>3.609</v>
      </c>
      <c r="N47" s="9">
        <v>18.594999999999999</v>
      </c>
      <c r="O47" s="9">
        <v>16.204999999999998</v>
      </c>
      <c r="P47" s="8">
        <v>14</v>
      </c>
    </row>
    <row r="48" spans="3:16" x14ac:dyDescent="0.25">
      <c r="C48" s="2" t="s">
        <v>90</v>
      </c>
      <c r="D48" s="9"/>
      <c r="E48" s="9"/>
      <c r="F48" s="9"/>
      <c r="G48" s="9"/>
      <c r="H48" s="9">
        <v>32.636000000000003</v>
      </c>
      <c r="I48" s="9">
        <v>32.636000000000003</v>
      </c>
      <c r="J48" s="9"/>
      <c r="K48" s="9"/>
      <c r="L48" s="9">
        <v>49.115000000000002</v>
      </c>
      <c r="M48" s="9">
        <v>42.279000000000003</v>
      </c>
      <c r="N48" s="9">
        <v>37.744999999999997</v>
      </c>
      <c r="O48" s="9">
        <v>43.594999999999999</v>
      </c>
      <c r="P48" s="8">
        <v>36.250999999999998</v>
      </c>
    </row>
    <row r="49" spans="3:26" x14ac:dyDescent="0.25">
      <c r="C49" s="2" t="s">
        <v>91</v>
      </c>
      <c r="D49" s="9"/>
      <c r="E49" s="9"/>
      <c r="F49" s="9"/>
      <c r="G49" s="9"/>
      <c r="H49" s="9">
        <v>2.0859999999999999</v>
      </c>
      <c r="I49" s="9">
        <v>2</v>
      </c>
      <c r="J49" s="9"/>
      <c r="K49" s="9"/>
      <c r="L49" s="9">
        <v>2.0859999999999999</v>
      </c>
      <c r="M49" s="9">
        <v>4.9939999999999998</v>
      </c>
      <c r="N49" s="9">
        <v>4.7990000000000004</v>
      </c>
      <c r="O49" s="9">
        <v>0.84099999999999997</v>
      </c>
      <c r="P49" s="8">
        <v>0.84099999999999997</v>
      </c>
    </row>
    <row r="50" spans="3:26" x14ac:dyDescent="0.25">
      <c r="C50" s="2" t="s">
        <v>92</v>
      </c>
      <c r="D50" s="9"/>
      <c r="E50" s="9"/>
      <c r="F50" s="9"/>
      <c r="G50" s="9"/>
      <c r="H50" s="9">
        <v>0.16200000000000001</v>
      </c>
      <c r="I50" s="9">
        <v>0.16200000000000001</v>
      </c>
      <c r="J50" s="9"/>
      <c r="K50" s="9"/>
      <c r="L50" s="9">
        <v>0.155</v>
      </c>
      <c r="M50" s="9">
        <v>7.9000000000000001E-2</v>
      </c>
      <c r="N50" s="9">
        <v>0.15</v>
      </c>
      <c r="O50" s="9">
        <v>0.223</v>
      </c>
      <c r="P50" s="8">
        <v>0.33500000000000002</v>
      </c>
    </row>
    <row r="51" spans="3:26" x14ac:dyDescent="0.25">
      <c r="C51" s="2" t="s">
        <v>93</v>
      </c>
      <c r="D51" s="9"/>
      <c r="E51" s="9"/>
      <c r="F51" s="9"/>
      <c r="G51" s="9"/>
      <c r="H51" s="9">
        <v>12.103</v>
      </c>
      <c r="I51" s="9">
        <v>12.103</v>
      </c>
      <c r="J51" s="9"/>
      <c r="K51" s="9"/>
      <c r="L51" s="9">
        <v>16.821000000000002</v>
      </c>
      <c r="M51" s="9">
        <v>23.186</v>
      </c>
      <c r="N51" s="9">
        <v>22.76</v>
      </c>
      <c r="O51" s="9">
        <v>45.59</v>
      </c>
      <c r="P51" s="8">
        <v>98.441999999999993</v>
      </c>
    </row>
    <row r="52" spans="3:26" x14ac:dyDescent="0.25">
      <c r="C52" s="2" t="s">
        <v>94</v>
      </c>
      <c r="D52" s="9"/>
      <c r="E52" s="9"/>
      <c r="F52" s="9"/>
      <c r="G52" s="9"/>
      <c r="H52" s="9">
        <v>0.60099999999999998</v>
      </c>
      <c r="I52" s="9">
        <v>0.60099999999999998</v>
      </c>
      <c r="J52" s="9"/>
      <c r="K52" s="9"/>
      <c r="L52" s="9">
        <v>1.4179999999999999</v>
      </c>
      <c r="M52" s="9">
        <v>1.262</v>
      </c>
      <c r="N52" s="9">
        <v>1.155</v>
      </c>
      <c r="O52" s="9">
        <v>1.274</v>
      </c>
      <c r="P52" s="8">
        <v>0.83499999999999996</v>
      </c>
    </row>
    <row r="53" spans="3:26" x14ac:dyDescent="0.25">
      <c r="C53" s="2" t="s">
        <v>95</v>
      </c>
      <c r="D53" s="9"/>
      <c r="E53" s="9"/>
      <c r="F53" s="9"/>
      <c r="G53" s="9"/>
      <c r="H53" s="9">
        <v>1.224</v>
      </c>
      <c r="I53" s="9">
        <v>1.224</v>
      </c>
      <c r="J53" s="9"/>
      <c r="K53" s="9"/>
      <c r="L53" s="9">
        <v>1.266</v>
      </c>
      <c r="M53" s="9">
        <v>0.48299999999999998</v>
      </c>
      <c r="N53" s="9">
        <v>0.36899999999999999</v>
      </c>
      <c r="O53" s="9">
        <v>0.752</v>
      </c>
      <c r="P53" s="8">
        <v>2.2999999999999998</v>
      </c>
    </row>
    <row r="54" spans="3:26" x14ac:dyDescent="0.25">
      <c r="C54" s="2" t="s">
        <v>96</v>
      </c>
      <c r="D54" s="9"/>
      <c r="E54" s="9"/>
      <c r="F54" s="9"/>
      <c r="G54" s="9"/>
      <c r="H54" s="9">
        <v>0.79900000000000004</v>
      </c>
      <c r="I54" s="9">
        <v>0.79900000000000004</v>
      </c>
      <c r="J54" s="9"/>
      <c r="K54" s="9"/>
      <c r="L54" s="9">
        <v>3.2810000000000001</v>
      </c>
      <c r="M54" s="9">
        <v>4.3440000000000003</v>
      </c>
      <c r="N54" s="9">
        <v>32.567999999999998</v>
      </c>
      <c r="O54" s="9">
        <v>31.163</v>
      </c>
      <c r="P54" s="8">
        <v>63.735999999999997</v>
      </c>
    </row>
    <row r="55" spans="3:26" x14ac:dyDescent="0.25">
      <c r="C55" s="2" t="s">
        <v>97</v>
      </c>
      <c r="D55" s="9"/>
      <c r="E55" s="9"/>
      <c r="F55" s="9"/>
      <c r="G55" s="9"/>
      <c r="H55" s="9">
        <v>4.0039999999999996</v>
      </c>
      <c r="I55" s="9">
        <v>4.04</v>
      </c>
      <c r="J55" s="9"/>
      <c r="K55" s="9"/>
      <c r="L55" s="9">
        <v>0.69099999999999995</v>
      </c>
      <c r="M55" s="9">
        <v>0.12</v>
      </c>
      <c r="N55" s="9">
        <v>2.415</v>
      </c>
      <c r="O55" s="9">
        <v>0.20899999999999999</v>
      </c>
      <c r="P55" s="8">
        <v>0.17</v>
      </c>
    </row>
    <row r="56" spans="3:26" x14ac:dyDescent="0.25">
      <c r="C56" s="11" t="s">
        <v>98</v>
      </c>
      <c r="D56" s="55">
        <f t="shared" ref="D56:L56" si="68">SUM(D43:D55)</f>
        <v>0</v>
      </c>
      <c r="E56" s="55">
        <f t="shared" si="68"/>
        <v>0</v>
      </c>
      <c r="F56" s="55">
        <f t="shared" si="68"/>
        <v>0</v>
      </c>
      <c r="G56" s="55">
        <f t="shared" si="68"/>
        <v>0</v>
      </c>
      <c r="H56" s="55">
        <f t="shared" si="68"/>
        <v>288.70599999999996</v>
      </c>
      <c r="I56" s="55">
        <f t="shared" si="68"/>
        <v>288.65599999999995</v>
      </c>
      <c r="J56" s="55">
        <f t="shared" si="68"/>
        <v>0</v>
      </c>
      <c r="K56" s="55">
        <f t="shared" si="68"/>
        <v>0</v>
      </c>
      <c r="L56" s="55">
        <f t="shared" si="68"/>
        <v>364.34300000000002</v>
      </c>
      <c r="M56" s="55">
        <f>SUM(M43:M54)</f>
        <v>438.09300000000002</v>
      </c>
      <c r="N56" s="55">
        <f>SUM(N43:N55)</f>
        <v>695.17099999999994</v>
      </c>
      <c r="O56" s="55">
        <f>SUM(O43:O55)</f>
        <v>703.12199999999996</v>
      </c>
      <c r="P56" s="64">
        <f>SUM(P43:P55)</f>
        <v>1237.8810000000001</v>
      </c>
    </row>
    <row r="57" spans="3:26" x14ac:dyDescent="0.25">
      <c r="C57" s="4" t="s">
        <v>99</v>
      </c>
      <c r="D57" s="27">
        <f t="shared" ref="D57:M57" si="69">D41+D56</f>
        <v>0</v>
      </c>
      <c r="E57" s="27">
        <f t="shared" si="69"/>
        <v>0</v>
      </c>
      <c r="F57" s="27">
        <f t="shared" si="69"/>
        <v>0</v>
      </c>
      <c r="G57" s="27">
        <f t="shared" si="69"/>
        <v>0</v>
      </c>
      <c r="H57" s="27">
        <f t="shared" si="69"/>
        <v>1247.7469999999998</v>
      </c>
      <c r="I57" s="27">
        <f>I41+I56</f>
        <v>1247.6969999999997</v>
      </c>
      <c r="J57" s="27">
        <f t="shared" si="69"/>
        <v>0</v>
      </c>
      <c r="K57" s="27">
        <f t="shared" si="69"/>
        <v>0</v>
      </c>
      <c r="L57" s="27">
        <f t="shared" si="69"/>
        <v>1479.4780000000003</v>
      </c>
      <c r="M57" s="27">
        <f t="shared" si="69"/>
        <v>1589.4079999999999</v>
      </c>
      <c r="N57" s="27">
        <f>N41+N56</f>
        <v>1827.5709999999999</v>
      </c>
      <c r="O57" s="27">
        <f>O41+O56</f>
        <v>1937.0160000000001</v>
      </c>
      <c r="P57" s="10">
        <f>P41+P56</f>
        <v>2463.4949999999999</v>
      </c>
    </row>
    <row r="58" spans="3:26" x14ac:dyDescent="0.25">
      <c r="N58" s="9"/>
    </row>
    <row r="59" spans="3:26" x14ac:dyDescent="0.25">
      <c r="C59" s="1" t="s">
        <v>210</v>
      </c>
      <c r="N59" s="9"/>
    </row>
    <row r="60" spans="3:26" x14ac:dyDescent="0.25">
      <c r="C60" s="2" t="s">
        <v>212</v>
      </c>
      <c r="D60" s="9">
        <f t="shared" ref="D60:K60" si="70">D14</f>
        <v>0</v>
      </c>
      <c r="E60" s="9">
        <f t="shared" si="70"/>
        <v>0</v>
      </c>
      <c r="F60" s="9">
        <f t="shared" si="70"/>
        <v>0</v>
      </c>
      <c r="G60" s="9">
        <f t="shared" si="70"/>
        <v>0</v>
      </c>
      <c r="H60" s="9">
        <f t="shared" si="70"/>
        <v>2.0189999999999984</v>
      </c>
      <c r="I60" s="9">
        <f t="shared" si="70"/>
        <v>0</v>
      </c>
      <c r="J60" s="9">
        <f t="shared" si="70"/>
        <v>0</v>
      </c>
      <c r="K60" s="9">
        <f t="shared" si="70"/>
        <v>0</v>
      </c>
      <c r="L60" s="9">
        <f>L14</f>
        <v>-21.475999999999999</v>
      </c>
      <c r="M60" s="9">
        <f t="shared" ref="M60:P60" si="71">M14</f>
        <v>21.799999999999997</v>
      </c>
      <c r="N60" s="9">
        <f t="shared" si="71"/>
        <v>27.300000000000004</v>
      </c>
      <c r="O60" s="9">
        <f t="shared" si="71"/>
        <v>38.710000000000008</v>
      </c>
      <c r="P60" s="8">
        <f t="shared" si="71"/>
        <v>1.7640000000000022</v>
      </c>
      <c r="U60" s="9"/>
      <c r="V60" s="9"/>
      <c r="W60" s="9">
        <f t="shared" ref="W60:Y60" si="72">W14</f>
        <v>7.4510000000000041</v>
      </c>
      <c r="X60" s="9">
        <f t="shared" si="72"/>
        <v>35.541000000000011</v>
      </c>
      <c r="Y60" s="9">
        <f t="shared" si="72"/>
        <v>11.498000000000005</v>
      </c>
      <c r="Z60" s="9">
        <f>Z14</f>
        <v>67.731000000000009</v>
      </c>
    </row>
    <row r="61" spans="3:26" x14ac:dyDescent="0.25">
      <c r="C61" s="2" t="s">
        <v>211</v>
      </c>
      <c r="D61" s="9"/>
      <c r="E61" s="9"/>
      <c r="F61" s="9"/>
      <c r="G61" s="9"/>
      <c r="H61" s="9">
        <v>2</v>
      </c>
      <c r="I61" s="9"/>
      <c r="J61" s="9"/>
      <c r="K61" s="9"/>
      <c r="L61" s="9">
        <v>-21</v>
      </c>
      <c r="M61" s="9"/>
      <c r="N61" s="9"/>
      <c r="O61" s="9"/>
      <c r="P61" s="8">
        <v>2</v>
      </c>
      <c r="U61" s="9"/>
      <c r="V61" s="9"/>
      <c r="W61" s="9">
        <v>7.4</v>
      </c>
      <c r="X61" s="9">
        <v>36</v>
      </c>
      <c r="Y61" s="9">
        <v>11</v>
      </c>
      <c r="Z61" s="9">
        <f>65</f>
        <v>65</v>
      </c>
    </row>
    <row r="62" spans="3:26" x14ac:dyDescent="0.25">
      <c r="C62" s="2" t="s">
        <v>213</v>
      </c>
      <c r="D62" s="9"/>
      <c r="E62" s="9"/>
      <c r="F62" s="9"/>
      <c r="G62" s="9"/>
      <c r="H62" s="9">
        <v>5.9</v>
      </c>
      <c r="I62" s="9"/>
      <c r="J62" s="9"/>
      <c r="K62" s="9"/>
      <c r="L62" s="9">
        <v>10</v>
      </c>
      <c r="M62" s="9"/>
      <c r="N62" s="9"/>
      <c r="O62" s="9"/>
      <c r="P62" s="8">
        <v>18.824000000000002</v>
      </c>
      <c r="U62" s="9"/>
      <c r="V62" s="9"/>
      <c r="W62" s="9">
        <v>16.399999999999999</v>
      </c>
      <c r="X62" s="9">
        <v>23.9</v>
      </c>
      <c r="Y62" s="9">
        <v>31.7</v>
      </c>
      <c r="Z62" s="9">
        <v>59</v>
      </c>
    </row>
    <row r="63" spans="3:26" x14ac:dyDescent="0.25">
      <c r="C63" s="2" t="s">
        <v>229</v>
      </c>
      <c r="D63" s="9"/>
      <c r="E63" s="9"/>
      <c r="F63" s="9"/>
      <c r="G63" s="9"/>
      <c r="H63" s="9">
        <v>0.121</v>
      </c>
      <c r="I63" s="9"/>
      <c r="J63" s="9"/>
      <c r="K63" s="9"/>
      <c r="L63" s="9">
        <v>2.2999999999999998</v>
      </c>
      <c r="M63" s="9"/>
      <c r="N63" s="9"/>
      <c r="O63" s="9"/>
      <c r="P63" s="8">
        <f>-0.266+0.107+0.705</f>
        <v>0.54599999999999993</v>
      </c>
      <c r="U63" s="9"/>
      <c r="V63" s="9"/>
      <c r="W63" s="9">
        <v>4.5</v>
      </c>
      <c r="X63" s="9">
        <v>0</v>
      </c>
      <c r="Y63" s="9">
        <v>0</v>
      </c>
      <c r="Z63" s="9">
        <v>3.2</v>
      </c>
    </row>
    <row r="64" spans="3:26" x14ac:dyDescent="0.25">
      <c r="C64" s="2" t="s">
        <v>214</v>
      </c>
      <c r="D64" s="9"/>
      <c r="E64" s="9"/>
      <c r="F64" s="9"/>
      <c r="G64" s="9"/>
      <c r="H64" s="9">
        <v>0.02</v>
      </c>
      <c r="I64" s="9"/>
      <c r="J64" s="9"/>
      <c r="K64" s="9"/>
      <c r="L64" s="9">
        <v>-0.4</v>
      </c>
      <c r="M64" s="9"/>
      <c r="N64" s="9"/>
      <c r="O64" s="9"/>
      <c r="P64" s="8">
        <v>0.19600000000000001</v>
      </c>
      <c r="U64" s="9"/>
      <c r="V64" s="9"/>
      <c r="W64" s="9">
        <v>0</v>
      </c>
      <c r="X64" s="9">
        <v>0</v>
      </c>
      <c r="Y64" s="9">
        <v>0</v>
      </c>
      <c r="Z64" s="9">
        <v>0</v>
      </c>
    </row>
    <row r="65" spans="3:26" x14ac:dyDescent="0.25">
      <c r="C65" s="2" t="s">
        <v>215</v>
      </c>
      <c r="D65" s="27"/>
      <c r="E65" s="27"/>
      <c r="F65" s="27"/>
      <c r="G65" s="27"/>
      <c r="H65" s="27">
        <v>7.8E-2</v>
      </c>
      <c r="I65" s="27"/>
      <c r="J65" s="27"/>
      <c r="K65" s="27"/>
      <c r="L65" s="27">
        <v>0.27200000000000002</v>
      </c>
      <c r="M65" s="27"/>
      <c r="N65" s="27"/>
      <c r="O65" s="27"/>
      <c r="P65" s="8">
        <v>0.61899999999999999</v>
      </c>
      <c r="U65" s="9"/>
      <c r="V65" s="9"/>
      <c r="W65" s="9">
        <v>-0.32100000000000001</v>
      </c>
      <c r="X65" s="9">
        <v>0</v>
      </c>
      <c r="Y65" s="9">
        <v>0</v>
      </c>
      <c r="Z65" s="9">
        <v>0</v>
      </c>
    </row>
    <row r="66" spans="3:26" x14ac:dyDescent="0.25">
      <c r="C66" s="2" t="s">
        <v>216</v>
      </c>
      <c r="D66" s="9"/>
      <c r="E66" s="9"/>
      <c r="F66" s="9"/>
      <c r="G66" s="9"/>
      <c r="H66" s="9">
        <v>-3.38</v>
      </c>
      <c r="I66" s="9"/>
      <c r="J66" s="9"/>
      <c r="K66" s="9"/>
      <c r="L66" s="9">
        <v>21.6</v>
      </c>
      <c r="M66" s="9"/>
      <c r="N66" s="9"/>
      <c r="O66" s="9"/>
      <c r="P66" s="8">
        <v>-4.444</v>
      </c>
      <c r="U66" s="9"/>
      <c r="V66" s="9"/>
      <c r="W66" s="9">
        <f>1.9</f>
        <v>1.9</v>
      </c>
      <c r="X66" s="9">
        <v>-30.4</v>
      </c>
      <c r="Y66" s="9">
        <v>20.100000000000001</v>
      </c>
      <c r="Z66" s="9">
        <v>-32.512999999999998</v>
      </c>
    </row>
    <row r="67" spans="3:26" x14ac:dyDescent="0.25">
      <c r="C67" s="2" t="s">
        <v>217</v>
      </c>
      <c r="D67" s="9"/>
      <c r="E67" s="9"/>
      <c r="F67" s="9"/>
      <c r="G67" s="9"/>
      <c r="H67" s="9">
        <v>0</v>
      </c>
      <c r="I67" s="9"/>
      <c r="J67" s="9"/>
      <c r="K67" s="9"/>
      <c r="L67" s="9">
        <v>1.4999999999999999E-2</v>
      </c>
      <c r="M67" s="9"/>
      <c r="N67" s="9"/>
      <c r="O67" s="9"/>
      <c r="P67" s="8">
        <v>1.6</v>
      </c>
      <c r="U67" s="9"/>
      <c r="V67" s="9"/>
      <c r="W67" s="9">
        <v>0.158</v>
      </c>
      <c r="X67" s="9">
        <v>-1.2999999999999999E-2</v>
      </c>
      <c r="Y67" s="9">
        <v>2E-3</v>
      </c>
      <c r="Z67" s="9">
        <v>-1.7</v>
      </c>
    </row>
    <row r="68" spans="3:26" x14ac:dyDescent="0.25">
      <c r="C68" s="4" t="s">
        <v>193</v>
      </c>
      <c r="D68" s="27">
        <f t="shared" ref="D68:P68" si="73">SUM(D61:D67)</f>
        <v>0</v>
      </c>
      <c r="E68" s="27">
        <f t="shared" si="73"/>
        <v>0</v>
      </c>
      <c r="F68" s="27">
        <f t="shared" si="73"/>
        <v>0</v>
      </c>
      <c r="G68" s="27">
        <f t="shared" si="73"/>
        <v>0</v>
      </c>
      <c r="H68" s="27">
        <f t="shared" si="73"/>
        <v>4.7389999999999999</v>
      </c>
      <c r="I68" s="27">
        <f t="shared" si="73"/>
        <v>0</v>
      </c>
      <c r="J68" s="27">
        <f t="shared" si="73"/>
        <v>0</v>
      </c>
      <c r="K68" s="27">
        <f t="shared" si="73"/>
        <v>0</v>
      </c>
      <c r="L68" s="27">
        <f t="shared" si="73"/>
        <v>12.787000000000003</v>
      </c>
      <c r="M68" s="27">
        <f t="shared" si="73"/>
        <v>0</v>
      </c>
      <c r="N68" s="27">
        <f t="shared" si="73"/>
        <v>0</v>
      </c>
      <c r="O68" s="27">
        <f t="shared" si="73"/>
        <v>0</v>
      </c>
      <c r="P68" s="10">
        <f t="shared" si="73"/>
        <v>19.341000000000005</v>
      </c>
      <c r="U68" s="9"/>
      <c r="V68" s="9"/>
      <c r="W68" s="27">
        <f>SUM(W61:W67)</f>
        <v>30.036999999999995</v>
      </c>
      <c r="X68" s="27">
        <f>SUM(X61:X67)</f>
        <v>29.486999999999998</v>
      </c>
      <c r="Y68" s="27">
        <f>SUM(Y61:Y67)</f>
        <v>62.802000000000007</v>
      </c>
      <c r="Z68" s="27">
        <f>SUM(Z61:Z67)</f>
        <v>92.987000000000009</v>
      </c>
    </row>
    <row r="69" spans="3:26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U69" s="9"/>
      <c r="V69" s="9"/>
      <c r="W69" s="9"/>
      <c r="X69" s="9"/>
      <c r="Y69" s="9"/>
      <c r="Z69" s="9"/>
    </row>
    <row r="70" spans="3:26" x14ac:dyDescent="0.25">
      <c r="C70" s="2" t="s">
        <v>218</v>
      </c>
      <c r="D70" s="9"/>
      <c r="E70" s="9"/>
      <c r="F70" s="9"/>
      <c r="G70" s="9"/>
      <c r="H70" s="9">
        <v>-7.9</v>
      </c>
      <c r="I70" s="9"/>
      <c r="J70" s="9"/>
      <c r="K70" s="9"/>
      <c r="L70" s="9">
        <v>-101.867</v>
      </c>
      <c r="M70" s="9"/>
      <c r="N70" s="9"/>
      <c r="O70" s="9"/>
      <c r="P70" s="8">
        <v>-466.21699999999998</v>
      </c>
      <c r="U70" s="9"/>
      <c r="V70" s="9"/>
      <c r="W70" s="9">
        <v>-162.941</v>
      </c>
      <c r="X70" s="9">
        <v>-224.60599999999999</v>
      </c>
      <c r="Y70" s="9">
        <v>-66.899000000000001</v>
      </c>
      <c r="Z70" s="9">
        <v>-615.54200000000003</v>
      </c>
    </row>
    <row r="71" spans="3:26" x14ac:dyDescent="0.25">
      <c r="C71" s="2" t="s">
        <v>219</v>
      </c>
      <c r="D71" s="9"/>
      <c r="E71" s="9"/>
      <c r="F71" s="9"/>
      <c r="G71" s="9"/>
      <c r="H71" s="9">
        <v>-3.9E-2</v>
      </c>
      <c r="I71" s="9"/>
      <c r="J71" s="9"/>
      <c r="K71" s="9"/>
      <c r="L71" s="9">
        <v>0</v>
      </c>
      <c r="M71" s="9"/>
      <c r="N71" s="9"/>
      <c r="O71" s="9"/>
      <c r="P71" s="8">
        <f>-0.492-0.077</f>
        <v>-0.56899999999999995</v>
      </c>
      <c r="U71" s="9"/>
      <c r="V71" s="9"/>
      <c r="W71" s="9">
        <v>-0.434</v>
      </c>
      <c r="X71" s="9">
        <f>-0.228-0.574</f>
        <v>-0.80199999999999994</v>
      </c>
      <c r="Y71" s="9">
        <f>10.403+1.8-0.031</f>
        <v>12.172000000000001</v>
      </c>
      <c r="Z71" s="9">
        <f>-0.41+0.206</f>
        <v>-0.20399999999999999</v>
      </c>
    </row>
    <row r="72" spans="3:26" x14ac:dyDescent="0.25">
      <c r="C72" s="4" t="s">
        <v>194</v>
      </c>
      <c r="D72" s="27">
        <f t="shared" ref="D72:K72" si="74">SUM(D70:D71)</f>
        <v>0</v>
      </c>
      <c r="E72" s="27">
        <f t="shared" si="74"/>
        <v>0</v>
      </c>
      <c r="F72" s="27">
        <f t="shared" si="74"/>
        <v>0</v>
      </c>
      <c r="G72" s="27">
        <f t="shared" si="74"/>
        <v>0</v>
      </c>
      <c r="H72" s="27">
        <f t="shared" si="74"/>
        <v>-7.9390000000000001</v>
      </c>
      <c r="I72" s="27">
        <f t="shared" si="74"/>
        <v>0</v>
      </c>
      <c r="J72" s="27">
        <f t="shared" si="74"/>
        <v>0</v>
      </c>
      <c r="K72" s="27">
        <f t="shared" si="74"/>
        <v>0</v>
      </c>
      <c r="L72" s="27">
        <f>SUM(L70:L71)</f>
        <v>-101.867</v>
      </c>
      <c r="M72" s="27">
        <f t="shared" ref="M72:P72" si="75">SUM(M70:M71)</f>
        <v>0</v>
      </c>
      <c r="N72" s="27">
        <f t="shared" si="75"/>
        <v>0</v>
      </c>
      <c r="O72" s="27">
        <f t="shared" si="75"/>
        <v>0</v>
      </c>
      <c r="P72" s="10">
        <f t="shared" si="75"/>
        <v>-466.786</v>
      </c>
      <c r="U72" s="9"/>
      <c r="V72" s="9"/>
      <c r="W72" s="27">
        <f t="shared" ref="W72" si="76">SUM(W70:W71)</f>
        <v>-163.375</v>
      </c>
      <c r="X72" s="27">
        <f t="shared" ref="X72" si="77">SUM(X70:X71)</f>
        <v>-225.40799999999999</v>
      </c>
      <c r="Y72" s="27">
        <f t="shared" ref="Y72" si="78">SUM(Y70:Y71)</f>
        <v>-54.727000000000004</v>
      </c>
      <c r="Z72" s="27">
        <f t="shared" ref="Z72" si="79">SUM(Z70:Z71)</f>
        <v>-615.74599999999998</v>
      </c>
    </row>
    <row r="73" spans="3:26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8"/>
      <c r="U73" s="9"/>
      <c r="V73" s="9"/>
      <c r="W73" s="9"/>
      <c r="X73" s="9"/>
      <c r="Y73" s="9"/>
      <c r="Z73" s="9"/>
    </row>
    <row r="74" spans="3:26" x14ac:dyDescent="0.25">
      <c r="C74" s="2" t="s">
        <v>220</v>
      </c>
      <c r="D74" s="9"/>
      <c r="E74" s="9"/>
      <c r="F74" s="9"/>
      <c r="G74" s="9"/>
      <c r="H74" s="9">
        <v>-0.10299999999999999</v>
      </c>
      <c r="I74" s="9"/>
      <c r="J74" s="9"/>
      <c r="K74" s="9"/>
      <c r="L74" s="9">
        <v>-0.34399999999999997</v>
      </c>
      <c r="M74" s="9"/>
      <c r="N74" s="9"/>
      <c r="O74" s="9"/>
      <c r="P74" s="8">
        <v>-0.79</v>
      </c>
      <c r="U74" s="9"/>
      <c r="V74" s="9"/>
      <c r="W74" s="9">
        <v>-0.28499999999999998</v>
      </c>
      <c r="X74" s="9">
        <v>-0.22800000000000001</v>
      </c>
      <c r="Y74" s="9">
        <v>-0.56000000000000005</v>
      </c>
      <c r="Z74" s="9">
        <v>-1.9</v>
      </c>
    </row>
    <row r="75" spans="3:26" x14ac:dyDescent="0.25">
      <c r="C75" s="2" t="s">
        <v>221</v>
      </c>
      <c r="D75" s="9"/>
      <c r="E75" s="9"/>
      <c r="F75" s="9"/>
      <c r="G75" s="9"/>
      <c r="H75" s="9">
        <v>-1.38</v>
      </c>
      <c r="I75" s="9"/>
      <c r="J75" s="9"/>
      <c r="K75" s="9"/>
      <c r="L75" s="9">
        <v>-1.34</v>
      </c>
      <c r="M75" s="9"/>
      <c r="N75" s="9"/>
      <c r="O75" s="9"/>
      <c r="P75" s="8">
        <v>-3.7</v>
      </c>
      <c r="U75" s="9"/>
      <c r="V75" s="9"/>
      <c r="W75" s="9">
        <v>-3.9</v>
      </c>
      <c r="X75" s="9">
        <v>-4.2</v>
      </c>
      <c r="Y75" s="9">
        <v>-7.1</v>
      </c>
      <c r="Z75" s="9">
        <v>-19.689</v>
      </c>
    </row>
    <row r="76" spans="3:26" x14ac:dyDescent="0.25">
      <c r="C76" s="2" t="s">
        <v>222</v>
      </c>
      <c r="D76" s="9"/>
      <c r="E76" s="9"/>
      <c r="F76" s="9"/>
      <c r="G76" s="9"/>
      <c r="H76" s="9">
        <v>0</v>
      </c>
      <c r="I76" s="9"/>
      <c r="J76" s="9"/>
      <c r="K76" s="9"/>
      <c r="L76" s="9">
        <v>154.86799999999999</v>
      </c>
      <c r="M76" s="9"/>
      <c r="N76" s="9"/>
      <c r="O76" s="9"/>
      <c r="P76" s="8">
        <v>0</v>
      </c>
      <c r="U76" s="9"/>
      <c r="V76" s="9"/>
      <c r="W76" s="9">
        <v>79.218000000000004</v>
      </c>
      <c r="X76" s="9">
        <v>183.25</v>
      </c>
      <c r="Y76" s="9">
        <v>0</v>
      </c>
      <c r="Z76" s="9">
        <v>154.95400000000001</v>
      </c>
    </row>
    <row r="77" spans="3:26" x14ac:dyDescent="0.25">
      <c r="C77" s="2" t="s">
        <v>223</v>
      </c>
      <c r="D77" s="9"/>
      <c r="E77" s="9"/>
      <c r="F77" s="9"/>
      <c r="G77" s="9"/>
      <c r="H77" s="9">
        <v>0</v>
      </c>
      <c r="I77" s="9"/>
      <c r="J77" s="9"/>
      <c r="K77" s="9"/>
      <c r="L77" s="9">
        <v>-2.4</v>
      </c>
      <c r="M77" s="9"/>
      <c r="N77" s="9"/>
      <c r="O77" s="9"/>
      <c r="P77" s="8">
        <v>0</v>
      </c>
      <c r="U77" s="9"/>
      <c r="V77" s="9"/>
      <c r="W77" s="9">
        <v>-2.1</v>
      </c>
      <c r="X77" s="9">
        <v>-5.0999999999999996</v>
      </c>
      <c r="Y77" s="9">
        <v>-6.9</v>
      </c>
      <c r="Z77" s="9">
        <v>-3</v>
      </c>
    </row>
    <row r="78" spans="3:26" x14ac:dyDescent="0.25">
      <c r="C78" s="2" t="s">
        <v>224</v>
      </c>
      <c r="D78" s="9"/>
      <c r="E78" s="9"/>
      <c r="F78" s="9"/>
      <c r="G78" s="9"/>
      <c r="H78" s="9">
        <v>0</v>
      </c>
      <c r="I78" s="9"/>
      <c r="J78" s="9"/>
      <c r="K78" s="9"/>
      <c r="L78" s="9">
        <v>50</v>
      </c>
      <c r="M78" s="9"/>
      <c r="N78" s="9"/>
      <c r="O78" s="9"/>
      <c r="P78" s="8">
        <f>-0.705+494.749-7.5</f>
        <v>486.54400000000004</v>
      </c>
      <c r="U78" s="9"/>
      <c r="V78" s="9"/>
      <c r="W78" s="9">
        <f>8.9-10</f>
        <v>-1.0999999999999996</v>
      </c>
      <c r="X78" s="9">
        <f>113.459+16-65-25</f>
        <v>39.459000000000003</v>
      </c>
      <c r="Y78" s="9">
        <f>199.935-115</f>
        <v>84.935000000000002</v>
      </c>
      <c r="Z78" s="9">
        <f>-1.2-2.3+365.975-10.6</f>
        <v>351.875</v>
      </c>
    </row>
    <row r="79" spans="3:26" x14ac:dyDescent="0.25">
      <c r="C79" s="4" t="s">
        <v>225</v>
      </c>
      <c r="D79" s="27">
        <f t="shared" ref="D79:K79" si="80">SUM(D74:D78)</f>
        <v>0</v>
      </c>
      <c r="E79" s="27">
        <f t="shared" si="80"/>
        <v>0</v>
      </c>
      <c r="F79" s="27">
        <f t="shared" si="80"/>
        <v>0</v>
      </c>
      <c r="G79" s="27">
        <f t="shared" si="80"/>
        <v>0</v>
      </c>
      <c r="H79" s="27">
        <f t="shared" si="80"/>
        <v>-1.4829999999999999</v>
      </c>
      <c r="I79" s="27">
        <f t="shared" si="80"/>
        <v>0</v>
      </c>
      <c r="J79" s="27">
        <f t="shared" si="80"/>
        <v>0</v>
      </c>
      <c r="K79" s="27">
        <f t="shared" si="80"/>
        <v>0</v>
      </c>
      <c r="L79" s="27">
        <f>SUM(L74:L78)</f>
        <v>200.78399999999999</v>
      </c>
      <c r="M79" s="27">
        <f t="shared" ref="M79:P79" si="81">SUM(M74:M78)</f>
        <v>0</v>
      </c>
      <c r="N79" s="27">
        <f t="shared" si="81"/>
        <v>0</v>
      </c>
      <c r="O79" s="27">
        <f t="shared" si="81"/>
        <v>0</v>
      </c>
      <c r="P79" s="10">
        <f t="shared" si="81"/>
        <v>482.05400000000003</v>
      </c>
      <c r="U79" s="9"/>
      <c r="V79" s="9"/>
      <c r="W79" s="27">
        <f t="shared" ref="W79" si="82">SUM(W74:W78)</f>
        <v>71.833000000000013</v>
      </c>
      <c r="X79" s="27">
        <f t="shared" ref="X79" si="83">SUM(X74:X78)</f>
        <v>213.18100000000001</v>
      </c>
      <c r="Y79" s="27">
        <f t="shared" ref="Y79" si="84">SUM(Y74:Y78)</f>
        <v>70.375</v>
      </c>
      <c r="Z79" s="27">
        <f t="shared" ref="Z79" si="85">SUM(Z74:Z78)</f>
        <v>482.24</v>
      </c>
    </row>
    <row r="80" spans="3:26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8"/>
      <c r="U80" s="9"/>
      <c r="V80" s="9"/>
      <c r="W80" s="9"/>
      <c r="X80" s="9"/>
      <c r="Y80" s="9"/>
      <c r="Z80" s="9"/>
    </row>
    <row r="81" spans="3:26" x14ac:dyDescent="0.25">
      <c r="C81" s="2" t="s">
        <v>226</v>
      </c>
      <c r="D81" s="9"/>
      <c r="E81" s="9"/>
      <c r="F81" s="9"/>
      <c r="G81" s="9"/>
      <c r="H81" s="9">
        <v>0</v>
      </c>
      <c r="I81" s="9"/>
      <c r="J81" s="9"/>
      <c r="K81" s="9"/>
      <c r="L81" s="9">
        <v>0.56100000000000005</v>
      </c>
      <c r="M81" s="9"/>
      <c r="N81" s="9"/>
      <c r="O81" s="9"/>
      <c r="P81" s="8"/>
      <c r="U81" s="9"/>
      <c r="V81" s="9"/>
      <c r="W81" s="9"/>
      <c r="X81" s="9">
        <v>0</v>
      </c>
      <c r="Y81" s="9">
        <v>-1.3</v>
      </c>
      <c r="Z81" s="9">
        <v>2</v>
      </c>
    </row>
    <row r="82" spans="3:26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8"/>
      <c r="Q82" s="62" t="s">
        <v>233</v>
      </c>
      <c r="U82" s="9"/>
      <c r="V82" s="9"/>
      <c r="W82" s="9"/>
      <c r="X82" s="9"/>
      <c r="Y82" s="9"/>
      <c r="Z82" s="9"/>
    </row>
    <row r="83" spans="3:26" x14ac:dyDescent="0.25">
      <c r="C83" s="2" t="s">
        <v>227</v>
      </c>
      <c r="D83" s="9">
        <f t="shared" ref="D83:K83" si="86">D68+D72+D79+D81</f>
        <v>0</v>
      </c>
      <c r="E83" s="9">
        <f t="shared" si="86"/>
        <v>0</v>
      </c>
      <c r="F83" s="9">
        <f t="shared" si="86"/>
        <v>0</v>
      </c>
      <c r="G83" s="9">
        <f t="shared" si="86"/>
        <v>0</v>
      </c>
      <c r="H83" s="9">
        <f t="shared" si="86"/>
        <v>-4.6829999999999998</v>
      </c>
      <c r="I83" s="9">
        <f t="shared" si="86"/>
        <v>0</v>
      </c>
      <c r="J83" s="9">
        <f t="shared" si="86"/>
        <v>0</v>
      </c>
      <c r="K83" s="9">
        <f t="shared" si="86"/>
        <v>0</v>
      </c>
      <c r="L83" s="9">
        <f>L68+L72+L79+L81</f>
        <v>112.265</v>
      </c>
      <c r="M83" s="9">
        <f t="shared" ref="M83:O83" si="87">M68+M72+M79+M81</f>
        <v>0</v>
      </c>
      <c r="N83" s="9">
        <f t="shared" si="87"/>
        <v>0</v>
      </c>
      <c r="O83" s="9">
        <f t="shared" si="87"/>
        <v>0</v>
      </c>
      <c r="P83" s="8">
        <f t="shared" ref="P83" si="88">P68+P72+P79+P81</f>
        <v>34.609000000000037</v>
      </c>
      <c r="U83" s="9"/>
      <c r="V83" s="9"/>
      <c r="W83" s="9">
        <f t="shared" ref="W83:Y83" si="89">W68+W72+W79+W81</f>
        <v>-61.504999999999981</v>
      </c>
      <c r="X83" s="9">
        <f t="shared" si="89"/>
        <v>17.260000000000019</v>
      </c>
      <c r="Y83" s="9">
        <f t="shared" si="89"/>
        <v>77.150000000000006</v>
      </c>
      <c r="Z83" s="9">
        <f>Z68+Z72+Z79+Z81</f>
        <v>-38.519000000000005</v>
      </c>
    </row>
    <row r="84" spans="3:26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8"/>
      <c r="U84" s="9"/>
      <c r="V84" s="9"/>
      <c r="W84" s="9"/>
      <c r="X84" s="9"/>
      <c r="Y84" s="9"/>
      <c r="Z84" s="9"/>
    </row>
    <row r="85" spans="3:26" x14ac:dyDescent="0.25">
      <c r="C85" s="2" t="s">
        <v>228</v>
      </c>
      <c r="D85" s="9">
        <f t="shared" ref="D85:K85" si="90">D68+D70</f>
        <v>0</v>
      </c>
      <c r="E85" s="9">
        <f t="shared" si="90"/>
        <v>0</v>
      </c>
      <c r="F85" s="9">
        <f t="shared" si="90"/>
        <v>0</v>
      </c>
      <c r="G85" s="9">
        <f t="shared" si="90"/>
        <v>0</v>
      </c>
      <c r="H85" s="9">
        <f t="shared" si="90"/>
        <v>-3.1610000000000005</v>
      </c>
      <c r="I85" s="9">
        <f t="shared" si="90"/>
        <v>0</v>
      </c>
      <c r="J85" s="9">
        <f t="shared" si="90"/>
        <v>0</v>
      </c>
      <c r="K85" s="9">
        <f t="shared" si="90"/>
        <v>0</v>
      </c>
      <c r="L85" s="9">
        <f>L68+L70</f>
        <v>-89.08</v>
      </c>
      <c r="M85" s="9">
        <f t="shared" ref="M85:O85" si="91">M68+M70</f>
        <v>0</v>
      </c>
      <c r="N85" s="9">
        <f t="shared" si="91"/>
        <v>0</v>
      </c>
      <c r="O85" s="9">
        <f t="shared" si="91"/>
        <v>0</v>
      </c>
      <c r="P85" s="8">
        <f t="shared" ref="P85" si="92">P68+P70</f>
        <v>-446.87599999999998</v>
      </c>
      <c r="U85" s="9"/>
      <c r="V85" s="9"/>
      <c r="W85" s="9">
        <f t="shared" ref="W85:Y85" si="93">W68+W70</f>
        <v>-132.904</v>
      </c>
      <c r="X85" s="9">
        <f t="shared" si="93"/>
        <v>-195.119</v>
      </c>
      <c r="Y85" s="9">
        <f t="shared" si="93"/>
        <v>-4.0969999999999942</v>
      </c>
      <c r="Z85" s="9">
        <f>Z68+Z70</f>
        <v>-522.55500000000006</v>
      </c>
    </row>
    <row r="86" spans="3:26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U86" s="9"/>
      <c r="V86" s="9"/>
      <c r="W86" s="9"/>
      <c r="X86" s="9"/>
      <c r="Y86" s="9"/>
      <c r="Z86" s="9"/>
    </row>
    <row r="87" spans="3:26" x14ac:dyDescent="0.25">
      <c r="N87" s="9"/>
      <c r="U87" s="9"/>
      <c r="V87" s="9"/>
      <c r="W87" s="9"/>
      <c r="X87" s="9"/>
      <c r="Y87" s="9"/>
      <c r="Z87" s="9"/>
    </row>
    <row r="88" spans="3:26" x14ac:dyDescent="0.25">
      <c r="N88" s="9"/>
      <c r="U88" s="9"/>
      <c r="V88" s="9"/>
      <c r="W88" s="9"/>
      <c r="X88" s="9"/>
      <c r="Y88" s="9"/>
      <c r="Z88" s="9"/>
    </row>
    <row r="89" spans="3:26" x14ac:dyDescent="0.25">
      <c r="N89" s="9"/>
      <c r="U89" s="9"/>
      <c r="V89" s="9"/>
      <c r="W89" s="9"/>
      <c r="X89" s="9"/>
      <c r="Y89" s="9"/>
      <c r="Z89" s="9"/>
    </row>
    <row r="90" spans="3:26" x14ac:dyDescent="0.25">
      <c r="N90" s="9"/>
      <c r="U90" s="9"/>
      <c r="V90" s="9"/>
      <c r="W90" s="9"/>
      <c r="X90" s="9"/>
      <c r="Y90" s="9"/>
      <c r="Z90" s="9"/>
    </row>
    <row r="91" spans="3:26" x14ac:dyDescent="0.25">
      <c r="N91" s="9"/>
      <c r="U91" s="9"/>
      <c r="V91" s="9"/>
      <c r="W91" s="9"/>
      <c r="X91" s="9"/>
      <c r="Y91" s="9"/>
      <c r="Z91" s="9"/>
    </row>
    <row r="92" spans="3:26" x14ac:dyDescent="0.25">
      <c r="N92" s="9"/>
    </row>
    <row r="93" spans="3:26" x14ac:dyDescent="0.25">
      <c r="N93" s="9"/>
    </row>
    <row r="94" spans="3:26" x14ac:dyDescent="0.25">
      <c r="N94" s="9"/>
    </row>
    <row r="95" spans="3:26" x14ac:dyDescent="0.25">
      <c r="N95" s="9"/>
    </row>
    <row r="96" spans="3:26" x14ac:dyDescent="0.25">
      <c r="N96" s="9"/>
    </row>
    <row r="97" spans="14:14" x14ac:dyDescent="0.25">
      <c r="N97" s="9"/>
    </row>
    <row r="98" spans="14:14" x14ac:dyDescent="0.25">
      <c r="N98" s="9"/>
    </row>
    <row r="99" spans="14:14" x14ac:dyDescent="0.25">
      <c r="N99" s="9"/>
    </row>
    <row r="100" spans="14:14" x14ac:dyDescent="0.25">
      <c r="N100" s="9"/>
    </row>
    <row r="101" spans="14:14" x14ac:dyDescent="0.25">
      <c r="N101" s="9"/>
    </row>
    <row r="102" spans="14:14" x14ac:dyDescent="0.25">
      <c r="N102" s="9"/>
    </row>
    <row r="103" spans="14:14" x14ac:dyDescent="0.25">
      <c r="N103" s="9"/>
    </row>
    <row r="104" spans="14:14" x14ac:dyDescent="0.25">
      <c r="N104" s="9"/>
    </row>
    <row r="105" spans="14:14" x14ac:dyDescent="0.25">
      <c r="N105" s="9"/>
    </row>
    <row r="106" spans="14:14" x14ac:dyDescent="0.25">
      <c r="N106" s="9"/>
    </row>
    <row r="107" spans="14:14" x14ac:dyDescent="0.25">
      <c r="N107" s="9"/>
    </row>
    <row r="108" spans="14:14" x14ac:dyDescent="0.25">
      <c r="N108" s="9"/>
    </row>
    <row r="109" spans="14:14" x14ac:dyDescent="0.25">
      <c r="N109" s="9"/>
    </row>
    <row r="110" spans="14:14" x14ac:dyDescent="0.25">
      <c r="N110" s="9"/>
    </row>
    <row r="111" spans="14:14" x14ac:dyDescent="0.25">
      <c r="N111" s="9"/>
    </row>
    <row r="112" spans="14:14" x14ac:dyDescent="0.25">
      <c r="N112" s="9"/>
    </row>
    <row r="113" spans="14:14" x14ac:dyDescent="0.25">
      <c r="N113" s="9"/>
    </row>
    <row r="114" spans="14:14" x14ac:dyDescent="0.25">
      <c r="N114" s="9"/>
    </row>
    <row r="115" spans="14:14" x14ac:dyDescent="0.25">
      <c r="N115" s="9"/>
    </row>
    <row r="116" spans="14:14" x14ac:dyDescent="0.25">
      <c r="N116" s="9"/>
    </row>
    <row r="117" spans="14:14" x14ac:dyDescent="0.25">
      <c r="N117" s="9"/>
    </row>
    <row r="118" spans="14:14" x14ac:dyDescent="0.25">
      <c r="N118" s="9"/>
    </row>
    <row r="119" spans="14:14" x14ac:dyDescent="0.25">
      <c r="N119" s="9"/>
    </row>
    <row r="120" spans="14:14" x14ac:dyDescent="0.25">
      <c r="N120" s="9"/>
    </row>
    <row r="121" spans="14:14" x14ac:dyDescent="0.25">
      <c r="N121" s="9"/>
    </row>
    <row r="122" spans="14:14" x14ac:dyDescent="0.25">
      <c r="N122" s="9"/>
    </row>
    <row r="123" spans="14:14" x14ac:dyDescent="0.25">
      <c r="N123" s="9"/>
    </row>
    <row r="124" spans="14:14" x14ac:dyDescent="0.25">
      <c r="N124" s="9"/>
    </row>
    <row r="125" spans="14:14" x14ac:dyDescent="0.25">
      <c r="N125" s="9"/>
    </row>
    <row r="126" spans="14:14" x14ac:dyDescent="0.25">
      <c r="N126" s="9"/>
    </row>
    <row r="127" spans="14:14" x14ac:dyDescent="0.25">
      <c r="N127" s="9"/>
    </row>
    <row r="128" spans="14:14" x14ac:dyDescent="0.25">
      <c r="N128" s="9"/>
    </row>
    <row r="129" spans="14:14" x14ac:dyDescent="0.25">
      <c r="N129" s="9"/>
    </row>
    <row r="130" spans="14:14" x14ac:dyDescent="0.25">
      <c r="N130" s="9"/>
    </row>
    <row r="131" spans="14:14" x14ac:dyDescent="0.25">
      <c r="N131" s="9"/>
    </row>
    <row r="132" spans="14:14" x14ac:dyDescent="0.25">
      <c r="N132" s="9"/>
    </row>
    <row r="133" spans="14:14" x14ac:dyDescent="0.25">
      <c r="N133" s="9"/>
    </row>
    <row r="134" spans="14:14" x14ac:dyDescent="0.25">
      <c r="N134" s="9"/>
    </row>
    <row r="135" spans="14:14" x14ac:dyDescent="0.25">
      <c r="N135" s="9"/>
    </row>
    <row r="136" spans="14:14" x14ac:dyDescent="0.25">
      <c r="N136" s="9"/>
    </row>
    <row r="137" spans="14:14" x14ac:dyDescent="0.25">
      <c r="N137" s="9"/>
    </row>
    <row r="138" spans="14:14" x14ac:dyDescent="0.25">
      <c r="N138" s="9"/>
    </row>
    <row r="139" spans="14:14" x14ac:dyDescent="0.25">
      <c r="N139" s="9"/>
    </row>
    <row r="140" spans="14:14" x14ac:dyDescent="0.25">
      <c r="N140" s="9"/>
    </row>
    <row r="141" spans="14:14" x14ac:dyDescent="0.25">
      <c r="N141" s="9"/>
    </row>
    <row r="142" spans="14:14" x14ac:dyDescent="0.25">
      <c r="N142" s="9"/>
    </row>
    <row r="143" spans="14:14" x14ac:dyDescent="0.25">
      <c r="N143" s="9"/>
    </row>
    <row r="144" spans="14:14" x14ac:dyDescent="0.25">
      <c r="N144" s="9"/>
    </row>
    <row r="145" spans="14:14" x14ac:dyDescent="0.25">
      <c r="N145" s="9"/>
    </row>
    <row r="146" spans="14:14" x14ac:dyDescent="0.25">
      <c r="N146" s="9"/>
    </row>
    <row r="147" spans="14:14" x14ac:dyDescent="0.25">
      <c r="N147" s="9"/>
    </row>
    <row r="148" spans="14:14" x14ac:dyDescent="0.25">
      <c r="N148" s="9"/>
    </row>
    <row r="149" spans="14:14" x14ac:dyDescent="0.25">
      <c r="N149" s="9"/>
    </row>
    <row r="150" spans="14:14" x14ac:dyDescent="0.25">
      <c r="N150" s="9"/>
    </row>
    <row r="151" spans="14:14" x14ac:dyDescent="0.25">
      <c r="N151" s="9"/>
    </row>
    <row r="152" spans="14:14" x14ac:dyDescent="0.25">
      <c r="N152" s="9"/>
    </row>
    <row r="153" spans="14:14" x14ac:dyDescent="0.25">
      <c r="N153" s="9"/>
    </row>
    <row r="154" spans="14:14" x14ac:dyDescent="0.25">
      <c r="N154" s="9"/>
    </row>
    <row r="155" spans="14:14" x14ac:dyDescent="0.25">
      <c r="N155" s="9"/>
    </row>
    <row r="156" spans="14:14" x14ac:dyDescent="0.25">
      <c r="N156" s="9"/>
    </row>
    <row r="157" spans="14:14" x14ac:dyDescent="0.25">
      <c r="N157" s="9"/>
    </row>
    <row r="158" spans="14:14" x14ac:dyDescent="0.25">
      <c r="N158" s="9"/>
    </row>
    <row r="159" spans="14:14" x14ac:dyDescent="0.25">
      <c r="N159" s="9"/>
    </row>
    <row r="160" spans="14:14" x14ac:dyDescent="0.25">
      <c r="N160" s="9"/>
    </row>
    <row r="161" spans="14:14" x14ac:dyDescent="0.25">
      <c r="N161" s="9"/>
    </row>
    <row r="162" spans="14:14" x14ac:dyDescent="0.25">
      <c r="N162" s="9"/>
    </row>
    <row r="163" spans="14:14" x14ac:dyDescent="0.25">
      <c r="N163" s="9"/>
    </row>
    <row r="164" spans="14:14" x14ac:dyDescent="0.25">
      <c r="N164" s="9"/>
    </row>
    <row r="165" spans="14:14" x14ac:dyDescent="0.25">
      <c r="N165" s="9"/>
    </row>
    <row r="166" spans="14:14" x14ac:dyDescent="0.25">
      <c r="N166" s="9"/>
    </row>
    <row r="167" spans="14:14" x14ac:dyDescent="0.25">
      <c r="N167" s="9"/>
    </row>
    <row r="168" spans="14:14" x14ac:dyDescent="0.25">
      <c r="N168" s="9"/>
    </row>
    <row r="169" spans="14:14" x14ac:dyDescent="0.25">
      <c r="N169" s="9"/>
    </row>
    <row r="170" spans="14:14" x14ac:dyDescent="0.25">
      <c r="N170" s="9"/>
    </row>
    <row r="171" spans="14:14" x14ac:dyDescent="0.25">
      <c r="N171" s="9"/>
    </row>
    <row r="172" spans="14:14" x14ac:dyDescent="0.25">
      <c r="N172" s="9"/>
    </row>
    <row r="173" spans="14:14" x14ac:dyDescent="0.25">
      <c r="N173" s="9"/>
    </row>
    <row r="174" spans="14:14" x14ac:dyDescent="0.25">
      <c r="N174" s="9"/>
    </row>
    <row r="175" spans="14:14" x14ac:dyDescent="0.25">
      <c r="N175" s="9"/>
    </row>
    <row r="176" spans="14:14" x14ac:dyDescent="0.25">
      <c r="N176" s="9"/>
    </row>
    <row r="177" spans="14:14" x14ac:dyDescent="0.25">
      <c r="N177" s="9"/>
    </row>
    <row r="178" spans="14:14" x14ac:dyDescent="0.25">
      <c r="N178" s="9"/>
    </row>
    <row r="179" spans="14:14" x14ac:dyDescent="0.25">
      <c r="N179" s="9"/>
    </row>
    <row r="180" spans="14:14" x14ac:dyDescent="0.25">
      <c r="N180" s="9"/>
    </row>
    <row r="181" spans="14:14" x14ac:dyDescent="0.25">
      <c r="N181" s="9"/>
    </row>
    <row r="182" spans="14:14" x14ac:dyDescent="0.25">
      <c r="N182" s="9"/>
    </row>
    <row r="183" spans="14:14" x14ac:dyDescent="0.25">
      <c r="N183" s="9"/>
    </row>
    <row r="184" spans="14:14" x14ac:dyDescent="0.25">
      <c r="N184" s="9"/>
    </row>
    <row r="185" spans="14:14" x14ac:dyDescent="0.25">
      <c r="N185" s="9"/>
    </row>
    <row r="186" spans="14:14" x14ac:dyDescent="0.25">
      <c r="N186" s="9"/>
    </row>
    <row r="187" spans="14:14" x14ac:dyDescent="0.25">
      <c r="N187" s="9"/>
    </row>
    <row r="188" spans="14:14" x14ac:dyDescent="0.25">
      <c r="N188" s="9"/>
    </row>
    <row r="189" spans="14:14" x14ac:dyDescent="0.25">
      <c r="N189" s="9"/>
    </row>
    <row r="190" spans="14:14" x14ac:dyDescent="0.25">
      <c r="N190" s="9"/>
    </row>
    <row r="191" spans="14:14" x14ac:dyDescent="0.25">
      <c r="N191" s="9"/>
    </row>
    <row r="192" spans="14:14" x14ac:dyDescent="0.25">
      <c r="N192" s="9"/>
    </row>
    <row r="193" spans="14:14" x14ac:dyDescent="0.25">
      <c r="N193" s="9"/>
    </row>
    <row r="194" spans="14:14" x14ac:dyDescent="0.25">
      <c r="N194" s="9"/>
    </row>
    <row r="195" spans="14:14" x14ac:dyDescent="0.25">
      <c r="N195" s="9"/>
    </row>
    <row r="196" spans="14:14" x14ac:dyDescent="0.25">
      <c r="N196" s="9"/>
    </row>
    <row r="197" spans="14:14" x14ac:dyDescent="0.25">
      <c r="N197" s="9"/>
    </row>
    <row r="198" spans="14:14" x14ac:dyDescent="0.25">
      <c r="N198" s="9"/>
    </row>
    <row r="199" spans="14:14" x14ac:dyDescent="0.25">
      <c r="N199" s="9"/>
    </row>
    <row r="200" spans="14:14" x14ac:dyDescent="0.25">
      <c r="N200" s="9"/>
    </row>
    <row r="201" spans="14:14" x14ac:dyDescent="0.25">
      <c r="N201" s="9"/>
    </row>
    <row r="202" spans="14:14" x14ac:dyDescent="0.25">
      <c r="N202" s="9"/>
    </row>
    <row r="203" spans="14:14" x14ac:dyDescent="0.25">
      <c r="N203" s="9"/>
    </row>
    <row r="204" spans="14:14" x14ac:dyDescent="0.25">
      <c r="N204" s="9"/>
    </row>
    <row r="205" spans="14:14" x14ac:dyDescent="0.25">
      <c r="N205" s="9"/>
    </row>
    <row r="206" spans="14:14" x14ac:dyDescent="0.25">
      <c r="N206" s="9"/>
    </row>
    <row r="207" spans="14:14" x14ac:dyDescent="0.25">
      <c r="N207" s="9"/>
    </row>
    <row r="208" spans="14:14" x14ac:dyDescent="0.25">
      <c r="N208" s="9"/>
    </row>
    <row r="209" spans="14:14" x14ac:dyDescent="0.25">
      <c r="N209" s="9"/>
    </row>
    <row r="210" spans="14:14" x14ac:dyDescent="0.25">
      <c r="N2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A3A6-3437-C44D-8681-BBAC0A234C8E}">
  <dimension ref="E7:H10"/>
  <sheetViews>
    <sheetView showGridLines="0" topLeftCell="D1" workbookViewId="0">
      <selection activeCell="I11" sqref="I11"/>
    </sheetView>
  </sheetViews>
  <sheetFormatPr baseColWidth="10" defaultRowHeight="16" x14ac:dyDescent="0.2"/>
  <cols>
    <col min="5" max="5" width="57.6640625" bestFit="1" customWidth="1"/>
    <col min="6" max="8" width="27.83203125" bestFit="1" customWidth="1"/>
  </cols>
  <sheetData>
    <row r="7" spans="5:8" ht="92" x14ac:dyDescent="1">
      <c r="E7" s="28"/>
      <c r="F7" s="30">
        <v>2025</v>
      </c>
      <c r="G7" s="30">
        <v>2026</v>
      </c>
      <c r="H7" s="30">
        <v>2027</v>
      </c>
    </row>
    <row r="8" spans="5:8" ht="92" x14ac:dyDescent="1">
      <c r="E8" s="30" t="s">
        <v>123</v>
      </c>
      <c r="F8" s="29">
        <f>Modell!$B$9/(Modell!AA7*Modell!$B$12)</f>
        <v>7.3465191505237391</v>
      </c>
      <c r="G8" s="29">
        <f>Modell!$B$9/(Modell!AB7*Modell!$B$12)</f>
        <v>3.7584951392216532</v>
      </c>
      <c r="H8" s="29">
        <f>Modell!$B$9/(Modell!AC7*Modell!$B$12)</f>
        <v>2.6922899119035937</v>
      </c>
    </row>
    <row r="9" spans="5:8" ht="92" x14ac:dyDescent="1">
      <c r="E9" s="30" t="s">
        <v>120</v>
      </c>
      <c r="F9" s="29">
        <f>Modell!$B$9/(Modell!AA9*Modell!$B$12)</f>
        <v>11.69678105051141</v>
      </c>
      <c r="G9" s="29">
        <f>Modell!$B$9/(Modell!AB9*Modell!$B$12)</f>
        <v>6.6404083450146141</v>
      </c>
      <c r="H9" s="29">
        <f>Modell!$B$9/(Modell!AC9*Modell!$B$12)</f>
        <v>3.39615655553852</v>
      </c>
    </row>
    <row r="10" spans="5:8" ht="92" x14ac:dyDescent="1">
      <c r="E10" s="30" t="s">
        <v>121</v>
      </c>
      <c r="F10" s="28">
        <f>Modell!$B$4/Modell!AA16</f>
        <v>13.216964159621476</v>
      </c>
      <c r="G10" s="29">
        <f>Modell!$B$4/Modell!AB16</f>
        <v>5.1646901903740403</v>
      </c>
      <c r="H10" s="29">
        <f>Modell!$B$4/Modell!AC16</f>
        <v>3.1584858335554395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Info</vt:lpstr>
      <vt:lpstr>Modell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2025-01-11T15:35:20Z</dcterms:created>
  <dcterms:modified xsi:type="dcterms:W3CDTF">2025-06-05T07:16:45Z</dcterms:modified>
</cp:coreProperties>
</file>