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E9132C0B-A783-824D-BD01-B9B272CF0339}" xr6:coauthVersionLast="47" xr6:coauthVersionMax="47" xr10:uidLastSave="{00000000-0000-0000-0000-000000000000}"/>
  <bookViews>
    <workbookView xWindow="24280" yWindow="500" windowWidth="26480" windowHeight="26740" activeTab="1" xr2:uid="{63E64FC1-3DBC-8948-A6F7-2B4A72814B1F}"/>
  </bookViews>
  <sheets>
    <sheet name="Info" sheetId="1" r:id="rId1"/>
    <sheet name="Modell" sheetId="2" r:id="rId2"/>
    <sheet name="Seg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4" i="2" l="1"/>
  <c r="Q20" i="2"/>
  <c r="R20" i="2"/>
  <c r="S20" i="2"/>
  <c r="X91" i="2"/>
  <c r="X87" i="2"/>
  <c r="Y91" i="2"/>
  <c r="X79" i="2"/>
  <c r="Y79" i="2"/>
  <c r="AB100" i="2"/>
  <c r="V100" i="2"/>
  <c r="W100" i="2"/>
  <c r="X100" i="2"/>
  <c r="Y100" i="2"/>
  <c r="Z100" i="2"/>
  <c r="AA100" i="2"/>
  <c r="V98" i="2"/>
  <c r="W98" i="2"/>
  <c r="AB98" i="2"/>
  <c r="AA98" i="2"/>
  <c r="V76" i="2"/>
  <c r="W76" i="2"/>
  <c r="X76" i="2"/>
  <c r="Y76" i="2"/>
  <c r="Z76" i="2"/>
  <c r="AB76" i="2"/>
  <c r="AA76" i="2"/>
  <c r="Z93" i="2"/>
  <c r="Z87" i="2"/>
  <c r="Z79" i="2"/>
  <c r="AA79" i="2"/>
  <c r="Z74" i="2"/>
  <c r="V66" i="2"/>
  <c r="W66" i="2"/>
  <c r="X66" i="2"/>
  <c r="Y66" i="2"/>
  <c r="Z66" i="2"/>
  <c r="AA66" i="2"/>
  <c r="AB66" i="2"/>
  <c r="V12" i="2"/>
  <c r="V10" i="2"/>
  <c r="V94" i="2"/>
  <c r="W94" i="2"/>
  <c r="Y94" i="2"/>
  <c r="Z94" i="2"/>
  <c r="AA94" i="2"/>
  <c r="AB94" i="2"/>
  <c r="X94" i="2"/>
  <c r="Y85" i="2"/>
  <c r="Z85" i="2"/>
  <c r="Z98" i="2" s="1"/>
  <c r="AA85" i="2"/>
  <c r="AB85" i="2"/>
  <c r="V85" i="2"/>
  <c r="W85" i="2"/>
  <c r="X85" i="2"/>
  <c r="W20" i="2"/>
  <c r="X20" i="2"/>
  <c r="W16" i="2"/>
  <c r="W12" i="2"/>
  <c r="W10" i="2"/>
  <c r="X16" i="2"/>
  <c r="X12" i="2"/>
  <c r="X10" i="2"/>
  <c r="X11" i="2"/>
  <c r="X13" i="2" s="1"/>
  <c r="X17" i="2" s="1"/>
  <c r="X19" i="2" s="1"/>
  <c r="V9" i="2"/>
  <c r="V11" i="2" s="1"/>
  <c r="V13" i="2" s="1"/>
  <c r="V17" i="2" s="1"/>
  <c r="W9" i="2"/>
  <c r="W11" i="2" s="1"/>
  <c r="W13" i="2" s="1"/>
  <c r="W17" i="2" s="1"/>
  <c r="W19" i="2" s="1"/>
  <c r="X9" i="2"/>
  <c r="X98" i="2" l="1"/>
  <c r="Y98" i="2"/>
  <c r="V19" i="2"/>
  <c r="V20" i="2" s="1"/>
  <c r="W27" i="2"/>
  <c r="X27" i="2"/>
  <c r="W28" i="2"/>
  <c r="X28" i="2"/>
  <c r="W29" i="2"/>
  <c r="X29" i="2"/>
  <c r="V24" i="2"/>
  <c r="V25" i="2"/>
  <c r="W24" i="2"/>
  <c r="X24" i="2"/>
  <c r="W25" i="2"/>
  <c r="X25" i="2"/>
  <c r="W23" i="2"/>
  <c r="X23" i="2"/>
  <c r="I92" i="2"/>
  <c r="I94" i="2" s="1"/>
  <c r="D52" i="2"/>
  <c r="E52" i="2"/>
  <c r="F52" i="2"/>
  <c r="G52" i="2"/>
  <c r="H52" i="2"/>
  <c r="I52" i="2"/>
  <c r="J52" i="2"/>
  <c r="K52" i="2"/>
  <c r="L52" i="2"/>
  <c r="M52" i="2"/>
  <c r="D62" i="2"/>
  <c r="E62" i="2"/>
  <c r="F62" i="2"/>
  <c r="G62" i="2"/>
  <c r="H62" i="2"/>
  <c r="I62" i="2"/>
  <c r="J62" i="2"/>
  <c r="K62" i="2"/>
  <c r="L62" i="2"/>
  <c r="L63" i="2" s="1"/>
  <c r="M62" i="2"/>
  <c r="D47" i="2"/>
  <c r="E47" i="2"/>
  <c r="F47" i="2"/>
  <c r="G47" i="2"/>
  <c r="H47" i="2"/>
  <c r="I47" i="2"/>
  <c r="J47" i="2"/>
  <c r="K47" i="2"/>
  <c r="L47" i="2"/>
  <c r="M47" i="2"/>
  <c r="P100" i="2"/>
  <c r="O79" i="2"/>
  <c r="D76" i="2"/>
  <c r="D100" i="2" s="1"/>
  <c r="E76" i="2"/>
  <c r="E100" i="2" s="1"/>
  <c r="F76" i="2"/>
  <c r="F100" i="2" s="1"/>
  <c r="G76" i="2"/>
  <c r="G100" i="2" s="1"/>
  <c r="H76" i="2"/>
  <c r="I76" i="2"/>
  <c r="J76" i="2"/>
  <c r="J100" i="2" s="1"/>
  <c r="K76" i="2"/>
  <c r="K100" i="2" s="1"/>
  <c r="L76" i="2"/>
  <c r="L100" i="2" s="1"/>
  <c r="M76" i="2"/>
  <c r="M100" i="2" s="1"/>
  <c r="N76" i="2"/>
  <c r="N100" i="2" s="1"/>
  <c r="O76" i="2"/>
  <c r="O100" i="2" s="1"/>
  <c r="D85" i="2"/>
  <c r="E85" i="2"/>
  <c r="F85" i="2"/>
  <c r="G85" i="2"/>
  <c r="H85" i="2"/>
  <c r="I85" i="2"/>
  <c r="J85" i="2"/>
  <c r="K85" i="2"/>
  <c r="L85" i="2"/>
  <c r="M85" i="2"/>
  <c r="N85" i="2"/>
  <c r="O85" i="2"/>
  <c r="D94" i="2"/>
  <c r="E94" i="2"/>
  <c r="F94" i="2"/>
  <c r="G94" i="2"/>
  <c r="H94" i="2"/>
  <c r="J94" i="2"/>
  <c r="K94" i="2"/>
  <c r="L94" i="2"/>
  <c r="M94" i="2"/>
  <c r="N94" i="2"/>
  <c r="O94" i="2"/>
  <c r="V24" i="4"/>
  <c r="V22" i="4"/>
  <c r="V23" i="4" s="1"/>
  <c r="V21" i="4"/>
  <c r="V25" i="4" s="1"/>
  <c r="V16" i="4"/>
  <c r="V17" i="4" s="1"/>
  <c r="V14" i="4"/>
  <c r="V15" i="4" s="1"/>
  <c r="V13" i="4"/>
  <c r="V7" i="4"/>
  <c r="V5" i="4"/>
  <c r="V8" i="4"/>
  <c r="V9" i="4" s="1"/>
  <c r="V6" i="4"/>
  <c r="P94" i="2"/>
  <c r="P85" i="2"/>
  <c r="P76" i="2"/>
  <c r="B8" i="2"/>
  <c r="P12" i="2"/>
  <c r="P29" i="2"/>
  <c r="P28" i="2"/>
  <c r="P27" i="2"/>
  <c r="P9" i="2"/>
  <c r="P62" i="2"/>
  <c r="P52" i="2"/>
  <c r="P47" i="2"/>
  <c r="Q13" i="4"/>
  <c r="Q35" i="4"/>
  <c r="Q34" i="4"/>
  <c r="Q32" i="4"/>
  <c r="Q30" i="4"/>
  <c r="Q29" i="4"/>
  <c r="L35" i="4"/>
  <c r="L34" i="4"/>
  <c r="L32" i="4"/>
  <c r="L30" i="4"/>
  <c r="L29" i="4"/>
  <c r="G35" i="4"/>
  <c r="G34" i="4"/>
  <c r="G32" i="4"/>
  <c r="G30" i="4"/>
  <c r="G29" i="4"/>
  <c r="G27" i="4"/>
  <c r="G26" i="4"/>
  <c r="G24" i="4"/>
  <c r="G22" i="4"/>
  <c r="G21" i="4"/>
  <c r="L27" i="4"/>
  <c r="L26" i="4"/>
  <c r="L24" i="4"/>
  <c r="L22" i="4"/>
  <c r="L21" i="4"/>
  <c r="Q27" i="4"/>
  <c r="Q26" i="4"/>
  <c r="Q24" i="4"/>
  <c r="Q22" i="4"/>
  <c r="Q21" i="4"/>
  <c r="Q19" i="4"/>
  <c r="Q18" i="4"/>
  <c r="Q16" i="4"/>
  <c r="Q14" i="4"/>
  <c r="L19" i="4"/>
  <c r="L18" i="4"/>
  <c r="L16" i="4"/>
  <c r="L14" i="4"/>
  <c r="L13" i="4"/>
  <c r="G19" i="4"/>
  <c r="G18" i="4"/>
  <c r="G16" i="4"/>
  <c r="G14" i="4"/>
  <c r="G13" i="4"/>
  <c r="Q11" i="4"/>
  <c r="Q10" i="4"/>
  <c r="Q9" i="4"/>
  <c r="Q8" i="4"/>
  <c r="Q6" i="4"/>
  <c r="Q5" i="4"/>
  <c r="L11" i="4"/>
  <c r="L10" i="4"/>
  <c r="L8" i="4"/>
  <c r="L6" i="4"/>
  <c r="L7" i="4" s="1"/>
  <c r="L5" i="4"/>
  <c r="G11" i="4"/>
  <c r="G10" i="4"/>
  <c r="G8" i="4"/>
  <c r="G6" i="4"/>
  <c r="G7" i="4" s="1"/>
  <c r="G5" i="4"/>
  <c r="F98" i="2" l="1"/>
  <c r="D63" i="2"/>
  <c r="E63" i="2"/>
  <c r="E98" i="2"/>
  <c r="D98" i="2"/>
  <c r="G98" i="2"/>
  <c r="F63" i="2"/>
  <c r="G63" i="2"/>
  <c r="H98" i="2"/>
  <c r="H100" i="2"/>
  <c r="L98" i="2"/>
  <c r="I98" i="2"/>
  <c r="I100" i="2"/>
  <c r="M98" i="2"/>
  <c r="I63" i="2"/>
  <c r="H63" i="2"/>
  <c r="M63" i="2"/>
  <c r="K63" i="2"/>
  <c r="J63" i="2"/>
  <c r="J98" i="2"/>
  <c r="N98" i="2"/>
  <c r="K98" i="2"/>
  <c r="O98" i="2"/>
  <c r="P98" i="2"/>
  <c r="P63" i="2"/>
  <c r="P11" i="2"/>
  <c r="L9" i="4"/>
  <c r="Q7" i="4"/>
  <c r="G9" i="4"/>
  <c r="G31" i="4"/>
  <c r="G33" i="4"/>
  <c r="L31" i="4"/>
  <c r="L33" i="4"/>
  <c r="Q33" i="4"/>
  <c r="Q31" i="4"/>
  <c r="G25" i="4"/>
  <c r="G23" i="4"/>
  <c r="L23" i="4"/>
  <c r="L25" i="4"/>
  <c r="Q25" i="4"/>
  <c r="Q23" i="4"/>
  <c r="G15" i="4"/>
  <c r="G17" i="4"/>
  <c r="L17" i="4"/>
  <c r="L15" i="4"/>
  <c r="Q15" i="4"/>
  <c r="Q17" i="4"/>
  <c r="AA4" i="2"/>
  <c r="AB4" i="2" s="1"/>
  <c r="AC4" i="2" s="1"/>
  <c r="P13" i="2" l="1"/>
  <c r="P17" i="2" s="1"/>
  <c r="P19" i="2" s="1"/>
  <c r="P24" i="2"/>
  <c r="P66" i="2"/>
  <c r="P20" i="2"/>
  <c r="P25" i="2"/>
  <c r="O62" i="2"/>
  <c r="N52" i="2"/>
  <c r="O52" i="2"/>
  <c r="O47" i="2"/>
  <c r="O12" i="2"/>
  <c r="O63" i="2" l="1"/>
  <c r="K27" i="2"/>
  <c r="O29" i="2" l="1"/>
  <c r="O27" i="2"/>
  <c r="O30" i="2"/>
  <c r="O28" i="2"/>
  <c r="N27" i="2"/>
  <c r="O9" i="2"/>
  <c r="AA18" i="2"/>
  <c r="AA16" i="2"/>
  <c r="AA15" i="2"/>
  <c r="AA14" i="2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A5" i="2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A6" i="2"/>
  <c r="AB6" i="2" s="1"/>
  <c r="AA7" i="2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Z18" i="2"/>
  <c r="Z15" i="2"/>
  <c r="Z16" i="2"/>
  <c r="Z14" i="2"/>
  <c r="Z10" i="2"/>
  <c r="Z7" i="2"/>
  <c r="Z5" i="2"/>
  <c r="Z28" i="2" s="1"/>
  <c r="Z6" i="2"/>
  <c r="Z29" i="2" s="1"/>
  <c r="Z8" i="2"/>
  <c r="Z4" i="2"/>
  <c r="Y18" i="2"/>
  <c r="Y15" i="2"/>
  <c r="Y16" i="2"/>
  <c r="Y14" i="2"/>
  <c r="Y10" i="2"/>
  <c r="Y8" i="2"/>
  <c r="Y7" i="2"/>
  <c r="Y6" i="2"/>
  <c r="Y29" i="2" s="1"/>
  <c r="Y5" i="2"/>
  <c r="Y28" i="2" s="1"/>
  <c r="Y4" i="2"/>
  <c r="Y27" i="2" s="1"/>
  <c r="K29" i="2"/>
  <c r="D12" i="2"/>
  <c r="D9" i="2"/>
  <c r="D11" i="2" s="1"/>
  <c r="D24" i="2" s="1"/>
  <c r="E12" i="2"/>
  <c r="E9" i="2"/>
  <c r="E11" i="2" s="1"/>
  <c r="E24" i="2" s="1"/>
  <c r="F12" i="2"/>
  <c r="F9" i="2"/>
  <c r="F11" i="2" s="1"/>
  <c r="F24" i="2" s="1"/>
  <c r="G12" i="2"/>
  <c r="G9" i="2"/>
  <c r="G11" i="2" s="1"/>
  <c r="K12" i="2"/>
  <c r="K9" i="2"/>
  <c r="H12" i="2"/>
  <c r="L12" i="2"/>
  <c r="H9" i="2"/>
  <c r="H11" i="2" s="1"/>
  <c r="H24" i="2" s="1"/>
  <c r="L9" i="2"/>
  <c r="P23" i="2" s="1"/>
  <c r="N62" i="2"/>
  <c r="N47" i="2"/>
  <c r="I12" i="2"/>
  <c r="I9" i="2"/>
  <c r="M12" i="2"/>
  <c r="M9" i="2"/>
  <c r="M11" i="2" s="1"/>
  <c r="M24" i="2" s="1"/>
  <c r="M27" i="2"/>
  <c r="H27" i="2"/>
  <c r="I27" i="2"/>
  <c r="J27" i="2"/>
  <c r="L27" i="2"/>
  <c r="H28" i="2"/>
  <c r="I28" i="2"/>
  <c r="J28" i="2"/>
  <c r="K28" i="2"/>
  <c r="L28" i="2"/>
  <c r="M28" i="2"/>
  <c r="L29" i="2"/>
  <c r="M29" i="2"/>
  <c r="H30" i="2"/>
  <c r="I30" i="2"/>
  <c r="J30" i="2"/>
  <c r="K30" i="2"/>
  <c r="L30" i="2"/>
  <c r="M30" i="2"/>
  <c r="N28" i="2"/>
  <c r="N29" i="2"/>
  <c r="N30" i="2"/>
  <c r="J12" i="2"/>
  <c r="J9" i="2"/>
  <c r="J11" i="2" s="1"/>
  <c r="J24" i="2" s="1"/>
  <c r="N12" i="2"/>
  <c r="N9" i="2"/>
  <c r="N11" i="2" s="1"/>
  <c r="G13" i="2" l="1"/>
  <c r="G24" i="2"/>
  <c r="N13" i="2"/>
  <c r="N24" i="2"/>
  <c r="Z12" i="2"/>
  <c r="O23" i="2"/>
  <c r="Z30" i="2"/>
  <c r="H13" i="2"/>
  <c r="H17" i="2" s="1"/>
  <c r="H19" i="2" s="1"/>
  <c r="Y12" i="2"/>
  <c r="H23" i="2"/>
  <c r="AA12" i="2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J13" i="2"/>
  <c r="J17" i="2" s="1"/>
  <c r="J19" i="2" s="1"/>
  <c r="Z27" i="2"/>
  <c r="AA9" i="2"/>
  <c r="D13" i="2"/>
  <c r="D25" i="2" s="1"/>
  <c r="Y9" i="2"/>
  <c r="AA30" i="2"/>
  <c r="AB7" i="2"/>
  <c r="AC7" i="2" s="1"/>
  <c r="AC6" i="2"/>
  <c r="AA28" i="2"/>
  <c r="O11" i="2"/>
  <c r="AA27" i="2"/>
  <c r="AA29" i="2"/>
  <c r="Z9" i="2"/>
  <c r="E13" i="2"/>
  <c r="E17" i="2" s="1"/>
  <c r="E19" i="2" s="1"/>
  <c r="I23" i="2"/>
  <c r="F13" i="2"/>
  <c r="F17" i="2" s="1"/>
  <c r="F19" i="2" s="1"/>
  <c r="N17" i="2"/>
  <c r="N19" i="2" s="1"/>
  <c r="N25" i="2"/>
  <c r="N23" i="2"/>
  <c r="J23" i="2"/>
  <c r="G25" i="2"/>
  <c r="G17" i="2"/>
  <c r="G19" i="2" s="1"/>
  <c r="K23" i="2"/>
  <c r="K11" i="2"/>
  <c r="L23" i="2"/>
  <c r="L11" i="2"/>
  <c r="N63" i="2"/>
  <c r="I11" i="2"/>
  <c r="M13" i="2"/>
  <c r="M17" i="2" s="1"/>
  <c r="M19" i="2" s="1"/>
  <c r="M23" i="2"/>
  <c r="B6" i="2"/>
  <c r="B9" i="2" s="1"/>
  <c r="Y11" i="2" l="1"/>
  <c r="Y24" i="2" s="1"/>
  <c r="Y23" i="2"/>
  <c r="O13" i="2"/>
  <c r="O24" i="2"/>
  <c r="F20" i="2"/>
  <c r="F66" i="2"/>
  <c r="I13" i="2"/>
  <c r="I17" i="2" s="1"/>
  <c r="I19" i="2" s="1"/>
  <c r="I24" i="2"/>
  <c r="L13" i="2"/>
  <c r="L17" i="2" s="1"/>
  <c r="L19" i="2" s="1"/>
  <c r="L24" i="2"/>
  <c r="J20" i="2"/>
  <c r="J66" i="2"/>
  <c r="E20" i="2"/>
  <c r="E66" i="2"/>
  <c r="H20" i="2"/>
  <c r="H66" i="2"/>
  <c r="N20" i="2"/>
  <c r="N66" i="2"/>
  <c r="K13" i="2"/>
  <c r="K17" i="2" s="1"/>
  <c r="K19" i="2" s="1"/>
  <c r="K24" i="2"/>
  <c r="G20" i="2"/>
  <c r="G66" i="2"/>
  <c r="M20" i="2"/>
  <c r="M66" i="2"/>
  <c r="D17" i="2"/>
  <c r="D19" i="2" s="1"/>
  <c r="H25" i="2"/>
  <c r="F25" i="2"/>
  <c r="Y13" i="2"/>
  <c r="Y17" i="2" s="1"/>
  <c r="Y19" i="2" s="1"/>
  <c r="Y20" i="2" s="1"/>
  <c r="J25" i="2"/>
  <c r="AB9" i="2"/>
  <c r="AB23" i="2" s="1"/>
  <c r="E25" i="2"/>
  <c r="AD7" i="2"/>
  <c r="AC30" i="2"/>
  <c r="AB30" i="2"/>
  <c r="AD6" i="2"/>
  <c r="AC29" i="2"/>
  <c r="AB29" i="2"/>
  <c r="AC28" i="2"/>
  <c r="AB28" i="2"/>
  <c r="AB27" i="2"/>
  <c r="AA11" i="2"/>
  <c r="AA23" i="2"/>
  <c r="O17" i="2"/>
  <c r="O19" i="2" s="1"/>
  <c r="O25" i="2"/>
  <c r="Z11" i="2"/>
  <c r="Z23" i="2"/>
  <c r="Y25" i="2"/>
  <c r="M25" i="2"/>
  <c r="L25" i="2"/>
  <c r="Z13" i="2" l="1"/>
  <c r="Z17" i="2" s="1"/>
  <c r="Z24" i="2"/>
  <c r="O20" i="2"/>
  <c r="O66" i="2"/>
  <c r="I20" i="2"/>
  <c r="I66" i="2"/>
  <c r="I25" i="2"/>
  <c r="K20" i="2"/>
  <c r="K66" i="2"/>
  <c r="K25" i="2"/>
  <c r="AA13" i="2"/>
  <c r="AA17" i="2" s="1"/>
  <c r="AA19" i="2" s="1"/>
  <c r="AA20" i="2" s="1"/>
  <c r="AA24" i="2"/>
  <c r="D20" i="2"/>
  <c r="D66" i="2"/>
  <c r="L20" i="2"/>
  <c r="L66" i="2"/>
  <c r="AE7" i="2"/>
  <c r="AD30" i="2"/>
  <c r="AE6" i="2"/>
  <c r="AD29" i="2"/>
  <c r="AD28" i="2"/>
  <c r="AB11" i="2"/>
  <c r="AD4" i="2"/>
  <c r="AC27" i="2"/>
  <c r="AC9" i="2"/>
  <c r="Z19" i="2"/>
  <c r="Z20" i="2" s="1"/>
  <c r="Z25" i="2"/>
  <c r="AB13" i="2" l="1"/>
  <c r="AB24" i="2"/>
  <c r="AA25" i="2"/>
  <c r="AF7" i="2"/>
  <c r="AE30" i="2"/>
  <c r="AF6" i="2"/>
  <c r="AE29" i="2"/>
  <c r="AE28" i="2"/>
  <c r="AC11" i="2"/>
  <c r="AC23" i="2"/>
  <c r="AE4" i="2"/>
  <c r="AD9" i="2"/>
  <c r="AD27" i="2"/>
  <c r="AB25" i="2"/>
  <c r="AB17" i="2"/>
  <c r="AB18" i="2" s="1"/>
  <c r="AB19" i="2" s="1"/>
  <c r="AB20" i="2" s="1"/>
  <c r="F7" i="3" s="1"/>
  <c r="F6" i="3"/>
  <c r="AC13" i="2" l="1"/>
  <c r="AC24" i="2"/>
  <c r="AG7" i="2"/>
  <c r="AF30" i="2"/>
  <c r="AG6" i="2"/>
  <c r="AF29" i="2"/>
  <c r="AF28" i="2"/>
  <c r="AD11" i="2"/>
  <c r="AD23" i="2"/>
  <c r="AF4" i="2"/>
  <c r="AE27" i="2"/>
  <c r="AE9" i="2"/>
  <c r="AC25" i="2"/>
  <c r="AC17" i="2"/>
  <c r="AC18" i="2" s="1"/>
  <c r="AC19" i="2" s="1"/>
  <c r="AC20" i="2" s="1"/>
  <c r="G7" i="3" s="1"/>
  <c r="G6" i="3"/>
  <c r="AD13" i="2" l="1"/>
  <c r="AD24" i="2"/>
  <c r="AH7" i="2"/>
  <c r="AG30" i="2"/>
  <c r="AH6" i="2"/>
  <c r="AG29" i="2"/>
  <c r="AG28" i="2"/>
  <c r="AE23" i="2"/>
  <c r="AE11" i="2"/>
  <c r="AG4" i="2"/>
  <c r="AF27" i="2"/>
  <c r="AF9" i="2"/>
  <c r="AD17" i="2"/>
  <c r="AD18" i="2" s="1"/>
  <c r="AD19" i="2" s="1"/>
  <c r="AD20" i="2" s="1"/>
  <c r="H7" i="3" s="1"/>
  <c r="AD25" i="2"/>
  <c r="H6" i="3"/>
  <c r="AE13" i="2" l="1"/>
  <c r="AE24" i="2"/>
  <c r="AI7" i="2"/>
  <c r="AH30" i="2"/>
  <c r="AI6" i="2"/>
  <c r="AH29" i="2"/>
  <c r="AH28" i="2"/>
  <c r="AF11" i="2"/>
  <c r="AF23" i="2"/>
  <c r="AE17" i="2"/>
  <c r="AE18" i="2" s="1"/>
  <c r="AE19" i="2" s="1"/>
  <c r="AE20" i="2" s="1"/>
  <c r="AE25" i="2"/>
  <c r="AH4" i="2"/>
  <c r="AG27" i="2"/>
  <c r="AG9" i="2"/>
  <c r="AF13" i="2" l="1"/>
  <c r="AF24" i="2"/>
  <c r="AJ7" i="2"/>
  <c r="AI30" i="2"/>
  <c r="AJ6" i="2"/>
  <c r="AI29" i="2"/>
  <c r="AI28" i="2"/>
  <c r="AG23" i="2"/>
  <c r="AG11" i="2"/>
  <c r="AI4" i="2"/>
  <c r="AH27" i="2"/>
  <c r="AH9" i="2"/>
  <c r="AF17" i="2"/>
  <c r="AF18" i="2" s="1"/>
  <c r="AF19" i="2" s="1"/>
  <c r="AF20" i="2" s="1"/>
  <c r="AF25" i="2"/>
  <c r="AG13" i="2" l="1"/>
  <c r="AG24" i="2"/>
  <c r="AK7" i="2"/>
  <c r="AJ30" i="2"/>
  <c r="AK6" i="2"/>
  <c r="AJ29" i="2"/>
  <c r="AJ28" i="2"/>
  <c r="AH11" i="2"/>
  <c r="AH23" i="2"/>
  <c r="AG25" i="2"/>
  <c r="AG17" i="2"/>
  <c r="AG18" i="2" s="1"/>
  <c r="AG19" i="2" s="1"/>
  <c r="AJ4" i="2"/>
  <c r="AI27" i="2"/>
  <c r="AI9" i="2"/>
  <c r="AH13" i="2" l="1"/>
  <c r="AH24" i="2"/>
  <c r="AL7" i="2"/>
  <c r="AL30" i="2" s="1"/>
  <c r="AK30" i="2"/>
  <c r="AL6" i="2"/>
  <c r="AL29" i="2" s="1"/>
  <c r="AK29" i="2"/>
  <c r="AL28" i="2"/>
  <c r="AK28" i="2"/>
  <c r="AI23" i="2"/>
  <c r="AI11" i="2"/>
  <c r="AK4" i="2"/>
  <c r="AJ27" i="2"/>
  <c r="AJ9" i="2"/>
  <c r="AG20" i="2"/>
  <c r="AH17" i="2"/>
  <c r="AH18" i="2" s="1"/>
  <c r="AH19" i="2" s="1"/>
  <c r="AH20" i="2" s="1"/>
  <c r="AH25" i="2"/>
  <c r="AI13" i="2" l="1"/>
  <c r="AI24" i="2"/>
  <c r="AJ23" i="2"/>
  <c r="AJ11" i="2"/>
  <c r="AL4" i="2"/>
  <c r="AK27" i="2"/>
  <c r="AK9" i="2"/>
  <c r="AI17" i="2"/>
  <c r="AI18" i="2" s="1"/>
  <c r="AI19" i="2" s="1"/>
  <c r="AI20" i="2" s="1"/>
  <c r="AI25" i="2"/>
  <c r="AJ13" i="2" l="1"/>
  <c r="AJ24" i="2"/>
  <c r="AK11" i="2"/>
  <c r="AK23" i="2"/>
  <c r="AL27" i="2"/>
  <c r="AL9" i="2"/>
  <c r="AJ25" i="2"/>
  <c r="AJ17" i="2"/>
  <c r="AJ18" i="2" s="1"/>
  <c r="AJ19" i="2" s="1"/>
  <c r="AK13" i="2" l="1"/>
  <c r="AK24" i="2"/>
  <c r="AJ20" i="2"/>
  <c r="AL23" i="2"/>
  <c r="AL11" i="2"/>
  <c r="AK25" i="2"/>
  <c r="AK17" i="2"/>
  <c r="AK18" i="2" s="1"/>
  <c r="AK19" i="2" s="1"/>
  <c r="AK20" i="2" s="1"/>
  <c r="AL13" i="2" l="1"/>
  <c r="AL24" i="2"/>
  <c r="AL17" i="2"/>
  <c r="AL18" i="2" s="1"/>
  <c r="AL19" i="2" s="1"/>
  <c r="AL25" i="2"/>
  <c r="AM19" i="2" l="1"/>
  <c r="AL20" i="2"/>
  <c r="AN19" i="2" l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AO26" i="2" l="1"/>
  <c r="AO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 hodt</author>
    <author>tc={950EABA7-9B38-1F4A-A30A-5ECDB3482575}</author>
    <author>tc={18E49EF8-801B-8140-8DA8-F8DD76097708}</author>
    <author>tc={1DFC6FD2-DD86-BE48-8C96-9A776E80062C}</author>
    <author>tc={658D1463-9180-9B4D-AA23-5402447C4371}</author>
  </authors>
  <commentList>
    <comment ref="AB7" authorId="0" shapeId="0" xr:uid="{22EDB924-CC37-E44B-8CBD-ECB5F25D7FD9}">
      <text>
        <r>
          <rPr>
            <b/>
            <sz val="10"/>
            <color rgb="FF000000"/>
            <rFont val="Tahoma"/>
            <family val="2"/>
          </rPr>
          <t>august hodt: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KOG CMD 2024, forventer CAGR 20-40% de neste 10-årene
</t>
        </r>
      </text>
    </comment>
    <comment ref="P8" authorId="1" shapeId="0" xr:uid="{950EABA7-9B38-1F4A-A30A-5ECDB348257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One-off på 1048</t>
      </text>
    </comment>
    <comment ref="P23" authorId="2" shapeId="0" xr:uid="{18E49EF8-801B-8140-8DA8-F8DD7609770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Justert for one-of er 19%</t>
      </text>
    </comment>
    <comment ref="P25" authorId="3" shapeId="0" xr:uid="{1DFC6FD2-DD86-BE48-8C96-9A776E80062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Justert for one-of 13,5%</t>
      </text>
    </comment>
    <comment ref="P29" authorId="4" shapeId="0" xr:uid="{658D1463-9180-9B4D-AA23-5402447C4371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KOG Digital har blitt integrert inn i Discovery
</t>
      </text>
    </comment>
  </commentList>
</comments>
</file>

<file path=xl/sharedStrings.xml><?xml version="1.0" encoding="utf-8"?>
<sst xmlns="http://schemas.openxmlformats.org/spreadsheetml/2006/main" count="203" uniqueCount="155">
  <si>
    <t>Kapitalstruktur</t>
  </si>
  <si>
    <t>Price</t>
  </si>
  <si>
    <t>S/O (m)</t>
  </si>
  <si>
    <t>MC (NOKm)</t>
  </si>
  <si>
    <t>Cash (NOKm)</t>
  </si>
  <si>
    <t>Debt (NOKm)</t>
  </si>
  <si>
    <t>EV (NOKm)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</si>
  <si>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</si>
  <si>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</si>
  <si>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</si>
  <si>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</si>
  <si>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</si>
  <si>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</si>
  <si>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</si>
  <si>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</si>
  <si>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</si>
  <si>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</si>
  <si>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</si>
  <si>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</si>
  <si>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KOG maritime</t>
  </si>
  <si>
    <t>KOG A/D</t>
  </si>
  <si>
    <t>KOG discovery</t>
  </si>
  <si>
    <t>KOG Digital</t>
  </si>
  <si>
    <t>Annet/eliminering</t>
  </si>
  <si>
    <t>NOK millioner</t>
  </si>
  <si>
    <t>Ordrereserve</t>
  </si>
  <si>
    <t>Ordreinngang</t>
  </si>
  <si>
    <t>Inntekter</t>
  </si>
  <si>
    <t>EBITDA</t>
  </si>
  <si>
    <t>A/D</t>
  </si>
  <si>
    <t>EBIT</t>
  </si>
  <si>
    <t>Resultatandel felles virksomheter</t>
  </si>
  <si>
    <t>Netto finansposter</t>
  </si>
  <si>
    <t>PTP</t>
  </si>
  <si>
    <t>Tax</t>
  </si>
  <si>
    <t>Netto inntekt</t>
  </si>
  <si>
    <t>EPS</t>
  </si>
  <si>
    <t>Share</t>
  </si>
  <si>
    <t>Revenue y/y</t>
  </si>
  <si>
    <t>EBIT margin</t>
  </si>
  <si>
    <t>KOG A/D y/y</t>
  </si>
  <si>
    <t>KOG Digital y/y</t>
  </si>
  <si>
    <t>Renter på leasingforpliktelser</t>
  </si>
  <si>
    <t>Balanse NOKm</t>
  </si>
  <si>
    <t>PP&amp;E</t>
  </si>
  <si>
    <t>Leasing assets</t>
  </si>
  <si>
    <t>Intangible assets</t>
  </si>
  <si>
    <t>Share in associated comp</t>
  </si>
  <si>
    <t>Other non-current assets</t>
  </si>
  <si>
    <t>Inventories</t>
  </si>
  <si>
    <t>Trade receivables</t>
  </si>
  <si>
    <t>Cutsomer contracts. Assets</t>
  </si>
  <si>
    <t>Derivates</t>
  </si>
  <si>
    <t>Other short-term receivables</t>
  </si>
  <si>
    <t>Cash</t>
  </si>
  <si>
    <t>Total assets</t>
  </si>
  <si>
    <t>Issued capital</t>
  </si>
  <si>
    <t>Retained earnings</t>
  </si>
  <si>
    <t>Equity</t>
  </si>
  <si>
    <t>Long-term interests-B loans</t>
  </si>
  <si>
    <t>Long-term leasing liabilites</t>
  </si>
  <si>
    <t>Other non-current liabilities and prvisions</t>
  </si>
  <si>
    <t>Customer contracts. Liabilities</t>
  </si>
  <si>
    <t>Short-term interests-B loans</t>
  </si>
  <si>
    <t>Short-term leasing liabilites</t>
  </si>
  <si>
    <t>Dividend not paid</t>
  </si>
  <si>
    <t>Other current liabilities</t>
  </si>
  <si>
    <t>Debt</t>
  </si>
  <si>
    <t>Total E/D</t>
  </si>
  <si>
    <t xml:space="preserve">Other reserves </t>
  </si>
  <si>
    <t>Non-controlling interests</t>
  </si>
  <si>
    <t>Cash flow NOKm</t>
  </si>
  <si>
    <t>CFFO</t>
  </si>
  <si>
    <t>CFFI</t>
  </si>
  <si>
    <t>CFFF</t>
  </si>
  <si>
    <t>Driftskostnader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</si>
  <si>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</si>
  <si>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</si>
  <si>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</si>
  <si>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</si>
  <si>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</si>
  <si>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</si>
  <si>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</si>
  <si>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</si>
  <si>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</si>
  <si>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</si>
  <si>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</si>
  <si>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</si>
  <si>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</si>
  <si>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</si>
  <si>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EV/EBIT</t>
  </si>
  <si>
    <t>P/E</t>
  </si>
  <si>
    <t>KOG Maritime y/y</t>
  </si>
  <si>
    <t>KOG Discovery y/y</t>
  </si>
  <si>
    <t>KOG Maritim</t>
  </si>
  <si>
    <t>KOG Dicovery</t>
  </si>
  <si>
    <t>Discount</t>
  </si>
  <si>
    <t>TV</t>
  </si>
  <si>
    <t>NPV</t>
  </si>
  <si>
    <t>S/O</t>
  </si>
  <si>
    <t>NPV/Share</t>
  </si>
  <si>
    <t>Opp/nedside</t>
  </si>
  <si>
    <t>Q125</t>
  </si>
  <si>
    <t>Q225</t>
  </si>
  <si>
    <t>Q325</t>
  </si>
  <si>
    <t>Q425</t>
  </si>
  <si>
    <t>Press release:</t>
  </si>
  <si>
    <t>NOK million</t>
  </si>
  <si>
    <t>EBITDA (%)</t>
  </si>
  <si>
    <t>EBIT (%)</t>
  </si>
  <si>
    <t> </t>
  </si>
  <si>
    <t xml:space="preserve"> </t>
  </si>
  <si>
    <t>Model NI</t>
  </si>
  <si>
    <t>Reported NI</t>
  </si>
  <si>
    <t>D/I PP&amp;E</t>
  </si>
  <si>
    <t>Depreciating leasing assets</t>
  </si>
  <si>
    <t>A/I intangible assets</t>
  </si>
  <si>
    <t>Share of NI from JV</t>
  </si>
  <si>
    <t>Net finance items</t>
  </si>
  <si>
    <t>Income taxes</t>
  </si>
  <si>
    <t>Gain on sale of business</t>
  </si>
  <si>
    <t>WC</t>
  </si>
  <si>
    <t>Dividend from JV</t>
  </si>
  <si>
    <t>Capex</t>
  </si>
  <si>
    <t>Investment in subsidiaries</t>
  </si>
  <si>
    <t>Sale of business and investment in subs</t>
  </si>
  <si>
    <t>Capitalised internal development and intangiable assets</t>
  </si>
  <si>
    <t>Settlement of cross-currency swaps</t>
  </si>
  <si>
    <t>Net change IB Debt</t>
  </si>
  <si>
    <t>Payment of principal portion of lease</t>
  </si>
  <si>
    <t>Interst paid</t>
  </si>
  <si>
    <t>Interst paid on leasing liabilties</t>
  </si>
  <si>
    <t>Net payment related to employee share parogram</t>
  </si>
  <si>
    <t>Dividends paid</t>
  </si>
  <si>
    <t>of which dividends from treasury shares</t>
  </si>
  <si>
    <t>FX</t>
  </si>
  <si>
    <t>CIC</t>
  </si>
  <si>
    <t>FCF</t>
  </si>
  <si>
    <t>EBITDA margin</t>
  </si>
  <si>
    <t>FY 2019</t>
  </si>
  <si>
    <t>FY 2020</t>
  </si>
  <si>
    <t>FY 2021</t>
  </si>
  <si>
    <t>Interest received</t>
  </si>
  <si>
    <t>Må inkoorporere digital i dicoivery</t>
  </si>
  <si>
    <t>23.05.25: Info om aksjesplitt, ex-dato 3.juni</t>
  </si>
  <si>
    <t>03.04.25: KOG skal levere 280 mikrosatelitter til SpinLaunchs kommunikjsonskostellasjon</t>
  </si>
  <si>
    <t>06.03.25: Even Aas, group excecutive presdient of publiv affairs, communication and sutain, selger 5 000 aksjer på 1615,31kr</t>
  </si>
  <si>
    <t>06.03:25: Danmark kjøper NSM-misiler av KOG, kontrakten er verdsatt til 2,1 mrd</t>
  </si>
  <si>
    <t>07.02.25: KOG velger å kjøre en 1 - 5 aksjesplitt</t>
  </si>
  <si>
    <t>27.01.25: KOG skal levere JSM missiler til US Air Force</t>
  </si>
  <si>
    <t xml:space="preserve">Leverer teknolgoi og løsninger for skip og offshoreinstallasjoner. Segmentet uvikler avanserte systemer for navigasjon, automasjon, kontroll og overvåking, samt undervannsteknologi. </t>
  </si>
  <si>
    <t xml:space="preserve">Leverandør av forsvars- og romfartsteknologi. Segmentet utvikler og produserer avanserte våpensystemer, luftversystemer, missiler, satelitteknologi og kommuniaskonslønisnger for militære og sicile kunder globalt. </t>
  </si>
  <si>
    <t>F-eks NSM og NASAMS</t>
  </si>
  <si>
    <t xml:space="preserve">Fokuserer på avansert teknologi og datafangst, kartlegging og overvåking i havrommet- Segmenetet leverer sensorer, undervannsdroner (AUV/ROV), </t>
  </si>
  <si>
    <t>posisjonssystemer og andre løsninger som brukes innen forskning, energi, miljøovervåking og forsvar.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</si>
</sst>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 %"/>
    <numFmt numFmtId="165" formatCode="0.0"/>
    <numFmt numFmtId="166" formatCode="#,##0.0"/>
  </numFmts>
  <fonts count="10" x14ac:knownFonts="1"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4" fontId="2" fillId="0" borderId="1" xfId="0" applyNumberFormat="1" applyFont="1" applyBorder="1"/>
    <xf numFmtId="3" fontId="2" fillId="0" borderId="1" xfId="0" applyNumberFormat="1" applyFont="1" applyBorder="1"/>
    <xf numFmtId="3" fontId="2" fillId="0" borderId="0" xfId="0" applyNumberFormat="1" applyFont="1"/>
    <xf numFmtId="3" fontId="3" fillId="0" borderId="0" xfId="0" applyNumberFormat="1" applyFont="1"/>
    <xf numFmtId="3" fontId="3" fillId="0" borderId="1" xfId="0" applyNumberFormat="1" applyFont="1" applyBorder="1"/>
    <xf numFmtId="4" fontId="2" fillId="0" borderId="0" xfId="0" applyNumberFormat="1" applyFont="1"/>
    <xf numFmtId="10" fontId="3" fillId="0" borderId="0" xfId="0" applyNumberFormat="1" applyFont="1"/>
    <xf numFmtId="10" fontId="3" fillId="0" borderId="1" xfId="0" applyNumberFormat="1" applyFont="1" applyBorder="1"/>
    <xf numFmtId="10" fontId="2" fillId="0" borderId="1" xfId="0" applyNumberFormat="1" applyFont="1" applyBorder="1"/>
    <xf numFmtId="10" fontId="2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4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0" xfId="0" quotePrefix="1" applyNumberFormat="1" applyFont="1"/>
    <xf numFmtId="0" fontId="2" fillId="0" borderId="3" xfId="0" applyFont="1" applyBorder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4" fontId="2" fillId="0" borderId="3" xfId="0" applyNumberFormat="1" applyFont="1" applyBorder="1"/>
    <xf numFmtId="164" fontId="3" fillId="0" borderId="0" xfId="0" applyNumberFormat="1" applyFont="1"/>
    <xf numFmtId="0" fontId="3" fillId="0" borderId="3" xfId="0" applyFont="1" applyBorder="1"/>
    <xf numFmtId="0" fontId="7" fillId="0" borderId="2" xfId="0" applyFont="1" applyBorder="1"/>
    <xf numFmtId="165" fontId="7" fillId="0" borderId="2" xfId="0" applyNumberFormat="1" applyFont="1" applyBorder="1"/>
    <xf numFmtId="0" fontId="2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0" fontId="4" fillId="0" borderId="0" xfId="0" applyNumberFormat="1" applyFont="1"/>
    <xf numFmtId="164" fontId="4" fillId="0" borderId="0" xfId="0" applyNumberFormat="1" applyFont="1"/>
    <xf numFmtId="164" fontId="1" fillId="0" borderId="0" xfId="0" applyNumberFormat="1" applyFont="1"/>
    <xf numFmtId="3" fontId="2" fillId="0" borderId="3" xfId="0" applyNumberFormat="1" applyFont="1" applyBorder="1"/>
    <xf numFmtId="3" fontId="3" fillId="0" borderId="3" xfId="0" applyNumberFormat="1" applyFont="1" applyBorder="1"/>
    <xf numFmtId="166" fontId="2" fillId="0" borderId="1" xfId="0" applyNumberFormat="1" applyFont="1" applyBorder="1"/>
    <xf numFmtId="166" fontId="3" fillId="0" borderId="1" xfId="0" applyNumberFormat="1" applyFont="1" applyBorder="1"/>
    <xf numFmtId="0" fontId="2" fillId="0" borderId="4" xfId="0" applyFont="1" applyBorder="1" applyAlignment="1">
      <alignment horizontal="right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2" fillId="0" borderId="5" xfId="0" applyFont="1" applyBorder="1"/>
    <xf numFmtId="3" fontId="2" fillId="0" borderId="1" xfId="0" quotePrefix="1" applyNumberFormat="1" applyFont="1" applyBorder="1"/>
    <xf numFmtId="2" fontId="2" fillId="0" borderId="0" xfId="0" applyNumberFormat="1" applyFont="1"/>
    <xf numFmtId="2" fontId="9" fillId="0" borderId="0" xfId="0" applyNumberFormat="1" applyFont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756D0B46-1F25-AC4B-A267-D43C8755E902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8" dT="2025-05-08T05:34:50.85" personId="{756D0B46-1F25-AC4B-A267-D43C8755E902}" id="{950EABA7-9B38-1F4A-A30A-5ECDB3482575}">
    <text>One-off på 1048</text>
  </threadedComment>
  <threadedComment ref="P23" dT="2025-05-08T06:45:40.63" personId="{756D0B46-1F25-AC4B-A267-D43C8755E902}" id="{18E49EF8-801B-8140-8DA8-F8DD76097708}">
    <text>Justert for one-of er 19%</text>
  </threadedComment>
  <threadedComment ref="P25" dT="2025-05-08T07:04:42.04" personId="{756D0B46-1F25-AC4B-A267-D43C8755E902}" id="{1DFC6FD2-DD86-BE48-8C96-9A776E80062C}">
    <text>Justert for one-of 13,5%</text>
  </threadedComment>
  <threadedComment ref="P29" dT="2025-05-08T05:15:00.79" personId="{756D0B46-1F25-AC4B-A267-D43C8755E902}" id="{658D1463-9180-9B4D-AA23-5402447C4371}">
    <text xml:space="preserve">KOG Digital har blitt integrert inn i Discovery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746-963B-CE41-8895-22A0BCD855EE}">
  <dimension ref="A6:A26"/>
  <sheetViews>
    <sheetView showGridLines="0" workbookViewId="0">
      <selection activeCell="I18" sqref="I18"/>
    </sheetView>
  </sheetViews>
  <sheetFormatPr baseColWidth="10" defaultRowHeight="19" x14ac:dyDescent="0.25"/>
  <cols>
    <col min="1" max="1" width="12.83203125" style="3" bestFit="1" customWidth="1"/>
    <col min="2" max="16384" width="10.83203125" style="3"/>
  </cols>
  <sheetData>
    <row r="6" spans="1:1" x14ac:dyDescent="0.25">
      <c r="A6" s="4" t="s">
        <v>94</v>
      </c>
    </row>
    <row r="7" spans="1:1" x14ac:dyDescent="0.25">
      <c r="A7" s="3" t="s">
        <v>150</v>
      </c>
    </row>
    <row r="8" spans="1:1" x14ac:dyDescent="0.25">
      <c r="A8" s="4" t="s">
        <v>20</v>
      </c>
    </row>
    <row r="9" spans="1:1" x14ac:dyDescent="0.25">
      <c r="A9" s="3" t="s">
        <v>151</v>
      </c>
    </row>
    <row r="10" spans="1:1" x14ac:dyDescent="0.25">
      <c r="A10" s="3" t="s">
        <v>152</v>
      </c>
    </row>
    <row r="11" spans="1:1" x14ac:dyDescent="0.25">
      <c r="A11" s="4" t="s">
        <v>95</v>
      </c>
    </row>
    <row r="12" spans="1:1" x14ac:dyDescent="0.25">
      <c r="A12" s="3" t="s">
        <v>153</v>
      </c>
    </row>
    <row r="13" spans="1:1" x14ac:dyDescent="0.25">
      <c r="A13" s="3" t="s">
        <v>154</v>
      </c>
    </row>
    <row r="20" spans="1:1" x14ac:dyDescent="0.25">
      <c r="A20" s="4" t="s">
        <v>106</v>
      </c>
    </row>
    <row r="21" spans="1:1" x14ac:dyDescent="0.25">
      <c r="A21" s="3" t="s">
        <v>144</v>
      </c>
    </row>
    <row r="22" spans="1:1" x14ac:dyDescent="0.25">
      <c r="A22" s="3" t="s">
        <v>145</v>
      </c>
    </row>
    <row r="23" spans="1:1" x14ac:dyDescent="0.25">
      <c r="A23" s="3" t="s">
        <v>146</v>
      </c>
    </row>
    <row r="24" spans="1:1" x14ac:dyDescent="0.25">
      <c r="A24" s="3" t="s">
        <v>147</v>
      </c>
    </row>
    <row r="25" spans="1:1" x14ac:dyDescent="0.25">
      <c r="A25" s="3" t="s">
        <v>148</v>
      </c>
    </row>
    <row r="26" spans="1:1" x14ac:dyDescent="0.25">
      <c r="A26" s="3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977A-CC07-0D47-BB92-62793D8A245D}">
  <dimension ref="A1:DW100"/>
  <sheetViews>
    <sheetView showGridLines="0" tabSelected="1"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AK33" sqref="AK33"/>
    </sheetView>
  </sheetViews>
  <sheetFormatPr baseColWidth="10" defaultRowHeight="19" x14ac:dyDescent="0.25"/>
  <cols>
    <col min="1" max="1" width="16.33203125" style="3" bestFit="1" customWidth="1"/>
    <col min="2" max="2" width="16.33203125" style="2" customWidth="1"/>
    <col min="3" max="3" width="48.33203125" style="3" customWidth="1"/>
    <col min="4" max="15" width="10.83203125" style="3"/>
    <col min="16" max="16" width="10.83203125" style="2"/>
    <col min="17" max="27" width="10.83203125" style="3"/>
    <col min="28" max="28" width="10.83203125" style="2"/>
    <col min="29" max="39" width="10.83203125" style="3"/>
    <col min="40" max="40" width="14.1640625" style="3" bestFit="1" customWidth="1"/>
    <col min="41" max="41" width="14.5" style="3" bestFit="1" customWidth="1"/>
    <col min="42" max="16384" width="10.83203125" style="3"/>
  </cols>
  <sheetData>
    <row r="1" spans="1:38" x14ac:dyDescent="0.25">
      <c r="AC1" s="3" t="s">
        <v>143</v>
      </c>
      <c r="AJ1" s="7">
        <v>120000</v>
      </c>
    </row>
    <row r="3" spans="1:38" x14ac:dyDescent="0.25">
      <c r="A3" s="1" t="s">
        <v>0</v>
      </c>
      <c r="C3" s="3" t="s">
        <v>24</v>
      </c>
      <c r="D3" s="20" t="s">
        <v>7</v>
      </c>
      <c r="E3" s="20" t="s">
        <v>8</v>
      </c>
      <c r="F3" s="20" t="s">
        <v>9</v>
      </c>
      <c r="G3" s="20" t="s">
        <v>10</v>
      </c>
      <c r="H3" s="20" t="s">
        <v>11</v>
      </c>
      <c r="I3" s="20" t="s">
        <v>12</v>
      </c>
      <c r="J3" s="20" t="s">
        <v>13</v>
      </c>
      <c r="K3" s="20" t="s">
        <v>14</v>
      </c>
      <c r="L3" s="20" t="s">
        <v>15</v>
      </c>
      <c r="M3" s="20" t="s">
        <v>16</v>
      </c>
      <c r="N3" s="20" t="s">
        <v>17</v>
      </c>
      <c r="O3" s="20" t="s">
        <v>18</v>
      </c>
      <c r="P3" s="21" t="s">
        <v>102</v>
      </c>
      <c r="Q3" s="20" t="s">
        <v>103</v>
      </c>
      <c r="R3" s="20" t="s">
        <v>104</v>
      </c>
      <c r="S3" s="20" t="s">
        <v>105</v>
      </c>
      <c r="T3" s="20"/>
      <c r="U3" s="20"/>
      <c r="V3" s="20" t="s">
        <v>139</v>
      </c>
      <c r="W3" s="20" t="s">
        <v>140</v>
      </c>
      <c r="X3" s="20" t="s">
        <v>141</v>
      </c>
      <c r="Y3" s="20" t="s">
        <v>76</v>
      </c>
      <c r="Z3" s="20" t="s">
        <v>77</v>
      </c>
      <c r="AA3" s="20" t="s">
        <v>78</v>
      </c>
      <c r="AB3" s="21" t="s">
        <v>79</v>
      </c>
      <c r="AC3" s="20" t="s">
        <v>80</v>
      </c>
      <c r="AD3" s="20" t="s">
        <v>81</v>
      </c>
      <c r="AE3" s="20" t="s">
        <v>82</v>
      </c>
      <c r="AF3" s="20" t="s">
        <v>83</v>
      </c>
      <c r="AG3" s="20" t="s">
        <v>84</v>
      </c>
      <c r="AH3" s="20" t="s">
        <v>85</v>
      </c>
      <c r="AI3" s="20" t="s">
        <v>86</v>
      </c>
      <c r="AJ3" s="20" t="s">
        <v>87</v>
      </c>
      <c r="AK3" s="20" t="s">
        <v>88</v>
      </c>
      <c r="AL3" s="20" t="s">
        <v>89</v>
      </c>
    </row>
    <row r="4" spans="1:38" x14ac:dyDescent="0.25">
      <c r="A4" s="3" t="s">
        <v>1</v>
      </c>
      <c r="B4" s="6">
        <v>368.95</v>
      </c>
      <c r="C4" s="3" t="s">
        <v>19</v>
      </c>
      <c r="D4" s="7">
        <v>4342</v>
      </c>
      <c r="E4" s="7">
        <v>4654</v>
      </c>
      <c r="F4" s="7">
        <v>4690</v>
      </c>
      <c r="G4" s="7">
        <v>4608</v>
      </c>
      <c r="H4" s="7">
        <v>4624</v>
      </c>
      <c r="I4" s="7">
        <v>4978</v>
      </c>
      <c r="J4" s="7">
        <v>4990</v>
      </c>
      <c r="K4" s="7">
        <v>5589</v>
      </c>
      <c r="L4" s="7">
        <v>5402</v>
      </c>
      <c r="M4" s="7">
        <v>5980</v>
      </c>
      <c r="N4" s="7">
        <v>6487</v>
      </c>
      <c r="O4" s="7">
        <v>6896</v>
      </c>
      <c r="P4" s="6">
        <v>6743</v>
      </c>
      <c r="V4" s="7">
        <v>16038</v>
      </c>
      <c r="W4" s="7">
        <v>16319</v>
      </c>
      <c r="X4" s="7">
        <v>16507</v>
      </c>
      <c r="Y4" s="7">
        <f>SUM(D4:G4)</f>
        <v>18294</v>
      </c>
      <c r="Z4" s="7">
        <f>SUM(H4:K4)</f>
        <v>20181</v>
      </c>
      <c r="AA4" s="7">
        <f>SUM(L4:O4)</f>
        <v>24765</v>
      </c>
      <c r="AB4" s="6">
        <f>AA4*1.25</f>
        <v>30956.25</v>
      </c>
      <c r="AC4" s="7">
        <f>AB4*1.16</f>
        <v>35909.25</v>
      </c>
      <c r="AD4" s="7">
        <f t="shared" ref="AD4:AL4" si="0">AC4*1.13</f>
        <v>40577.452499999999</v>
      </c>
      <c r="AE4" s="7">
        <f t="shared" si="0"/>
        <v>45852.521324999994</v>
      </c>
      <c r="AF4" s="7">
        <f t="shared" si="0"/>
        <v>51813.349097249986</v>
      </c>
      <c r="AG4" s="7">
        <f t="shared" si="0"/>
        <v>58549.084479892481</v>
      </c>
      <c r="AH4" s="7">
        <f t="shared" si="0"/>
        <v>66160.465462278502</v>
      </c>
      <c r="AI4" s="7">
        <f t="shared" si="0"/>
        <v>74761.325972374703</v>
      </c>
      <c r="AJ4" s="7">
        <f t="shared" si="0"/>
        <v>84480.298348783414</v>
      </c>
      <c r="AK4" s="7">
        <f t="shared" si="0"/>
        <v>95462.737134125244</v>
      </c>
      <c r="AL4" s="7">
        <f t="shared" si="0"/>
        <v>107872.89296156152</v>
      </c>
    </row>
    <row r="5" spans="1:38" x14ac:dyDescent="0.25">
      <c r="A5" s="3" t="s">
        <v>2</v>
      </c>
      <c r="B5" s="38">
        <v>879.60924499999999</v>
      </c>
      <c r="C5" s="3" t="s">
        <v>20</v>
      </c>
      <c r="D5" s="7">
        <v>2472</v>
      </c>
      <c r="E5" s="7">
        <v>2692</v>
      </c>
      <c r="F5" s="7">
        <v>2802</v>
      </c>
      <c r="G5" s="7">
        <v>3894</v>
      </c>
      <c r="H5" s="7">
        <v>3523</v>
      </c>
      <c r="I5" s="7">
        <v>3468</v>
      </c>
      <c r="J5" s="7">
        <v>3940</v>
      </c>
      <c r="K5" s="7">
        <v>5017</v>
      </c>
      <c r="L5" s="7">
        <v>4917</v>
      </c>
      <c r="M5" s="7">
        <v>4425</v>
      </c>
      <c r="N5" s="7">
        <v>4255</v>
      </c>
      <c r="O5" s="7">
        <v>5527</v>
      </c>
      <c r="P5" s="6">
        <v>5375</v>
      </c>
      <c r="V5" s="7">
        <v>7245</v>
      </c>
      <c r="W5" s="7">
        <v>8503</v>
      </c>
      <c r="X5" s="7">
        <v>10078</v>
      </c>
      <c r="Y5" s="7">
        <f>SUM(D5:G5)</f>
        <v>11860</v>
      </c>
      <c r="Z5" s="7">
        <f t="shared" ref="Z5:Z8" si="1">SUM(H5:K5)</f>
        <v>15948</v>
      </c>
      <c r="AA5" s="7">
        <f t="shared" ref="AA5:AA8" si="2">SUM(L5:O5)</f>
        <v>19124</v>
      </c>
      <c r="AB5" s="6">
        <f>AA5*1.1</f>
        <v>21036.400000000001</v>
      </c>
      <c r="AC5" s="7">
        <f t="shared" ref="AC5:AL5" si="3">AB5*1.1</f>
        <v>23140.040000000005</v>
      </c>
      <c r="AD5" s="7">
        <f t="shared" si="3"/>
        <v>25454.044000000005</v>
      </c>
      <c r="AE5" s="7">
        <f t="shared" si="3"/>
        <v>27999.448400000008</v>
      </c>
      <c r="AF5" s="7">
        <f t="shared" si="3"/>
        <v>30799.393240000012</v>
      </c>
      <c r="AG5" s="7">
        <f t="shared" si="3"/>
        <v>33879.332564000018</v>
      </c>
      <c r="AH5" s="7">
        <f t="shared" si="3"/>
        <v>37267.265820400025</v>
      </c>
      <c r="AI5" s="7">
        <f t="shared" si="3"/>
        <v>40993.992402440032</v>
      </c>
      <c r="AJ5" s="7">
        <f t="shared" si="3"/>
        <v>45093.391642684037</v>
      </c>
      <c r="AK5" s="7">
        <f t="shared" si="3"/>
        <v>49602.730806952444</v>
      </c>
      <c r="AL5" s="7">
        <f t="shared" si="3"/>
        <v>54563.00388764769</v>
      </c>
    </row>
    <row r="6" spans="1:38" x14ac:dyDescent="0.25">
      <c r="A6" s="3" t="s">
        <v>3</v>
      </c>
      <c r="B6" s="38">
        <f>B4*B5</f>
        <v>324531.83094274998</v>
      </c>
      <c r="C6" s="3" t="s">
        <v>21</v>
      </c>
      <c r="D6" s="7"/>
      <c r="E6" s="7"/>
      <c r="F6" s="7"/>
      <c r="G6" s="7">
        <v>827</v>
      </c>
      <c r="H6" s="7">
        <v>911</v>
      </c>
      <c r="I6" s="7">
        <v>934</v>
      </c>
      <c r="J6" s="7">
        <v>924</v>
      </c>
      <c r="K6" s="7">
        <v>1145</v>
      </c>
      <c r="L6" s="7">
        <v>1052</v>
      </c>
      <c r="M6" s="7">
        <v>1012</v>
      </c>
      <c r="N6" s="7">
        <v>1122</v>
      </c>
      <c r="O6" s="7">
        <v>1241</v>
      </c>
      <c r="P6" s="6">
        <v>1357</v>
      </c>
      <c r="V6" s="7">
        <v>798</v>
      </c>
      <c r="W6" s="7">
        <v>790</v>
      </c>
      <c r="X6" s="7">
        <v>864</v>
      </c>
      <c r="Y6" s="7">
        <f>G6</f>
        <v>827</v>
      </c>
      <c r="Z6" s="7">
        <f t="shared" si="1"/>
        <v>3914</v>
      </c>
      <c r="AA6" s="7">
        <f t="shared" si="2"/>
        <v>4427</v>
      </c>
      <c r="AB6" s="6">
        <f>AA6*1.15</f>
        <v>5091.0499999999993</v>
      </c>
      <c r="AC6" s="7">
        <f t="shared" ref="AC6:AL6" si="4">AB6*1.1</f>
        <v>5600.1549999999997</v>
      </c>
      <c r="AD6" s="7">
        <f t="shared" si="4"/>
        <v>6160.1705000000002</v>
      </c>
      <c r="AE6" s="7">
        <f t="shared" si="4"/>
        <v>6776.1875500000006</v>
      </c>
      <c r="AF6" s="7">
        <f t="shared" si="4"/>
        <v>7453.806305000001</v>
      </c>
      <c r="AG6" s="7">
        <f t="shared" si="4"/>
        <v>8199.1869355000017</v>
      </c>
      <c r="AH6" s="7">
        <f t="shared" si="4"/>
        <v>9019.1056290500019</v>
      </c>
      <c r="AI6" s="7">
        <f t="shared" si="4"/>
        <v>9921.0161919550028</v>
      </c>
      <c r="AJ6" s="7">
        <f t="shared" si="4"/>
        <v>10913.117811150503</v>
      </c>
      <c r="AK6" s="7">
        <f t="shared" si="4"/>
        <v>12004.429592265555</v>
      </c>
      <c r="AL6" s="7">
        <f t="shared" si="4"/>
        <v>13204.872551492112</v>
      </c>
    </row>
    <row r="7" spans="1:38" x14ac:dyDescent="0.25">
      <c r="A7" s="3" t="s">
        <v>4</v>
      </c>
      <c r="B7" s="38">
        <v>16460</v>
      </c>
      <c r="C7" s="3" t="s">
        <v>22</v>
      </c>
      <c r="D7" s="7">
        <v>221</v>
      </c>
      <c r="E7" s="7">
        <v>220</v>
      </c>
      <c r="F7" s="7">
        <v>262</v>
      </c>
      <c r="G7" s="7">
        <v>285</v>
      </c>
      <c r="H7" s="7">
        <v>292</v>
      </c>
      <c r="I7" s="7">
        <v>341</v>
      </c>
      <c r="J7" s="7">
        <v>360</v>
      </c>
      <c r="K7" s="7">
        <v>439</v>
      </c>
      <c r="L7" s="7">
        <v>393</v>
      </c>
      <c r="M7" s="7">
        <v>406</v>
      </c>
      <c r="N7" s="7">
        <v>422</v>
      </c>
      <c r="O7" s="7">
        <v>514</v>
      </c>
      <c r="P7" s="6">
        <v>0</v>
      </c>
      <c r="V7" s="7"/>
      <c r="W7" s="7"/>
      <c r="X7" s="7"/>
      <c r="Y7" s="7">
        <f>SUM(D7:G7)</f>
        <v>988</v>
      </c>
      <c r="Z7" s="7">
        <f>SUM(H7:K7)</f>
        <v>1432</v>
      </c>
      <c r="AA7" s="7">
        <f t="shared" si="2"/>
        <v>1735</v>
      </c>
      <c r="AB7" s="6">
        <f>AA7*1.2</f>
        <v>2082</v>
      </c>
      <c r="AC7" s="7">
        <f t="shared" ref="AC7:AL7" si="5">AB7*1.2</f>
        <v>2498.4</v>
      </c>
      <c r="AD7" s="7">
        <f t="shared" si="5"/>
        <v>2998.08</v>
      </c>
      <c r="AE7" s="7">
        <f t="shared" si="5"/>
        <v>3597.6959999999999</v>
      </c>
      <c r="AF7" s="7">
        <f t="shared" si="5"/>
        <v>4317.2352000000001</v>
      </c>
      <c r="AG7" s="7">
        <f t="shared" si="5"/>
        <v>5180.6822400000001</v>
      </c>
      <c r="AH7" s="7">
        <f t="shared" si="5"/>
        <v>6216.8186880000003</v>
      </c>
      <c r="AI7" s="7">
        <f t="shared" si="5"/>
        <v>7460.1824256</v>
      </c>
      <c r="AJ7" s="7">
        <f t="shared" si="5"/>
        <v>8952.2189107199993</v>
      </c>
      <c r="AK7" s="7">
        <f t="shared" si="5"/>
        <v>10742.662692863998</v>
      </c>
      <c r="AL7" s="7">
        <f t="shared" si="5"/>
        <v>12891.195231436797</v>
      </c>
    </row>
    <row r="8" spans="1:38" x14ac:dyDescent="0.25">
      <c r="A8" s="3" t="s">
        <v>5</v>
      </c>
      <c r="B8" s="38">
        <f>P53+P58</f>
        <v>2500</v>
      </c>
      <c r="C8" s="3" t="s">
        <v>23</v>
      </c>
      <c r="D8" s="7">
        <v>11</v>
      </c>
      <c r="E8" s="7">
        <v>1</v>
      </c>
      <c r="F8" s="7">
        <v>-9</v>
      </c>
      <c r="G8" s="7">
        <v>-170</v>
      </c>
      <c r="H8" s="7">
        <v>-260</v>
      </c>
      <c r="I8" s="7">
        <v>-107</v>
      </c>
      <c r="J8" s="7">
        <v>-236</v>
      </c>
      <c r="K8" s="7">
        <v>-254</v>
      </c>
      <c r="L8" s="7">
        <v>-315</v>
      </c>
      <c r="M8" s="7">
        <v>-233</v>
      </c>
      <c r="N8" s="7">
        <v>-362</v>
      </c>
      <c r="O8" s="7">
        <v>-269</v>
      </c>
      <c r="P8" s="6">
        <v>1147</v>
      </c>
      <c r="V8" s="7"/>
      <c r="W8" s="7"/>
      <c r="X8" s="7"/>
      <c r="Y8" s="7">
        <f>SUM(D8:G8)</f>
        <v>-167</v>
      </c>
      <c r="Z8" s="7">
        <f t="shared" si="1"/>
        <v>-857</v>
      </c>
      <c r="AA8" s="7">
        <f t="shared" si="2"/>
        <v>-1179</v>
      </c>
      <c r="AB8" s="6">
        <f>AA8*1.15</f>
        <v>-1355.85</v>
      </c>
      <c r="AC8" s="7">
        <f t="shared" ref="AC8:AL8" si="6">AB8*1.15</f>
        <v>-1559.2274999999997</v>
      </c>
      <c r="AD8" s="7">
        <f t="shared" si="6"/>
        <v>-1793.1116249999995</v>
      </c>
      <c r="AE8" s="7">
        <f t="shared" si="6"/>
        <v>-2062.0783687499993</v>
      </c>
      <c r="AF8" s="7">
        <f t="shared" si="6"/>
        <v>-2371.3901240624991</v>
      </c>
      <c r="AG8" s="7">
        <f t="shared" si="6"/>
        <v>-2727.0986426718737</v>
      </c>
      <c r="AH8" s="7">
        <f t="shared" si="6"/>
        <v>-3136.1634390726545</v>
      </c>
      <c r="AI8" s="7">
        <f t="shared" si="6"/>
        <v>-3606.5879549335523</v>
      </c>
      <c r="AJ8" s="7">
        <f t="shared" si="6"/>
        <v>-4147.5761481735844</v>
      </c>
      <c r="AK8" s="7">
        <f t="shared" si="6"/>
        <v>-4769.7125703996217</v>
      </c>
      <c r="AL8" s="7">
        <f t="shared" si="6"/>
        <v>-5485.1694559595644</v>
      </c>
    </row>
    <row r="9" spans="1:38" x14ac:dyDescent="0.25">
      <c r="A9" s="4" t="s">
        <v>6</v>
      </c>
      <c r="B9" s="39">
        <f>B6-B7+B8</f>
        <v>310571.83094274998</v>
      </c>
      <c r="C9" s="4" t="s">
        <v>27</v>
      </c>
      <c r="D9" s="8">
        <f t="shared" ref="D9:P9" si="7">SUM(D4:D8)</f>
        <v>7046</v>
      </c>
      <c r="E9" s="8">
        <f t="shared" si="7"/>
        <v>7567</v>
      </c>
      <c r="F9" s="8">
        <f t="shared" si="7"/>
        <v>7745</v>
      </c>
      <c r="G9" s="8">
        <f t="shared" si="7"/>
        <v>9444</v>
      </c>
      <c r="H9" s="8">
        <f t="shared" si="7"/>
        <v>9090</v>
      </c>
      <c r="I9" s="8">
        <f t="shared" si="7"/>
        <v>9614</v>
      </c>
      <c r="J9" s="8">
        <f t="shared" si="7"/>
        <v>9978</v>
      </c>
      <c r="K9" s="8">
        <f t="shared" si="7"/>
        <v>11936</v>
      </c>
      <c r="L9" s="8">
        <f t="shared" si="7"/>
        <v>11449</v>
      </c>
      <c r="M9" s="8">
        <f t="shared" si="7"/>
        <v>11590</v>
      </c>
      <c r="N9" s="8">
        <f t="shared" si="7"/>
        <v>11924</v>
      </c>
      <c r="O9" s="8">
        <f t="shared" si="7"/>
        <v>13909</v>
      </c>
      <c r="P9" s="9">
        <f t="shared" si="7"/>
        <v>14622</v>
      </c>
      <c r="V9" s="8">
        <f t="shared" ref="V9:X9" si="8">SUM(V4:V8)</f>
        <v>24081</v>
      </c>
      <c r="W9" s="8">
        <f t="shared" si="8"/>
        <v>25612</v>
      </c>
      <c r="X9" s="8">
        <f t="shared" si="8"/>
        <v>27449</v>
      </c>
      <c r="Y9" s="8">
        <f>SUM(Y4:Y8)</f>
        <v>31802</v>
      </c>
      <c r="Z9" s="8">
        <f>SUM(Z4:Z8)</f>
        <v>40618</v>
      </c>
      <c r="AA9" s="8">
        <f>SUM(AA4:AA8)</f>
        <v>48872</v>
      </c>
      <c r="AB9" s="9">
        <f>SUM(AB4:AB8)</f>
        <v>57809.85</v>
      </c>
      <c r="AC9" s="8">
        <f t="shared" ref="AC9:AL9" si="9">SUM(AC4:AC8)</f>
        <v>65588.617500000008</v>
      </c>
      <c r="AD9" s="8">
        <f t="shared" si="9"/>
        <v>73396.635375000013</v>
      </c>
      <c r="AE9" s="8">
        <f t="shared" si="9"/>
        <v>82163.774906250008</v>
      </c>
      <c r="AF9" s="8">
        <f t="shared" si="9"/>
        <v>92012.393718187508</v>
      </c>
      <c r="AG9" s="8">
        <f t="shared" si="9"/>
        <v>103081.18757672062</v>
      </c>
      <c r="AH9" s="8">
        <f t="shared" si="9"/>
        <v>115527.49216065586</v>
      </c>
      <c r="AI9" s="8">
        <f t="shared" si="9"/>
        <v>129529.92903743617</v>
      </c>
      <c r="AJ9" s="8">
        <f t="shared" si="9"/>
        <v>145291.45056516436</v>
      </c>
      <c r="AK9" s="8">
        <f t="shared" si="9"/>
        <v>163042.84765580759</v>
      </c>
      <c r="AL9" s="8">
        <f t="shared" si="9"/>
        <v>183046.79517617857</v>
      </c>
    </row>
    <row r="10" spans="1:38" x14ac:dyDescent="0.25">
      <c r="C10" s="3" t="s">
        <v>75</v>
      </c>
      <c r="D10" s="7">
        <v>-6217</v>
      </c>
      <c r="E10" s="7">
        <v>-6555</v>
      </c>
      <c r="F10" s="7">
        <v>-6386</v>
      </c>
      <c r="G10" s="7">
        <v>-8044</v>
      </c>
      <c r="H10" s="7">
        <v>-7733</v>
      </c>
      <c r="I10" s="7">
        <v>-8232</v>
      </c>
      <c r="J10" s="7">
        <v>-8352</v>
      </c>
      <c r="K10" s="7">
        <v>-10264</v>
      </c>
      <c r="L10" s="7">
        <v>-9630</v>
      </c>
      <c r="M10" s="7">
        <v>-9774</v>
      </c>
      <c r="N10" s="7">
        <v>-9678</v>
      </c>
      <c r="O10" s="7">
        <v>-11762</v>
      </c>
      <c r="P10" s="2">
        <v>-11330</v>
      </c>
      <c r="Q10" s="3" t="s">
        <v>110</v>
      </c>
      <c r="V10" s="7">
        <f>-9328-8764-3731+21</f>
        <v>-21802</v>
      </c>
      <c r="W10" s="7">
        <f>-8850-9510-4001</f>
        <v>-22361</v>
      </c>
      <c r="X10" s="7">
        <f>-9577-9975-3810</f>
        <v>-23362</v>
      </c>
      <c r="Y10" s="7">
        <f>SUM(D10:G10)</f>
        <v>-27202</v>
      </c>
      <c r="Z10" s="7">
        <f>SUM(H10:K10)</f>
        <v>-34581</v>
      </c>
      <c r="AA10" s="7">
        <f>SUM(L10:O10)</f>
        <v>-40844</v>
      </c>
      <c r="AB10" s="6">
        <f>AA10*1.17</f>
        <v>-47787.479999999996</v>
      </c>
      <c r="AC10" s="7">
        <f>AB10*1.13</f>
        <v>-53999.852399999989</v>
      </c>
      <c r="AD10" s="7">
        <f t="shared" ref="AD10:AL10" si="10">AC10*1.1</f>
        <v>-59399.837639999991</v>
      </c>
      <c r="AE10" s="7">
        <f t="shared" si="10"/>
        <v>-65339.821403999995</v>
      </c>
      <c r="AF10" s="7">
        <f t="shared" si="10"/>
        <v>-71873.803544399998</v>
      </c>
      <c r="AG10" s="7">
        <f t="shared" si="10"/>
        <v>-79061.183898839998</v>
      </c>
      <c r="AH10" s="7">
        <f t="shared" si="10"/>
        <v>-86967.302288724008</v>
      </c>
      <c r="AI10" s="7">
        <f t="shared" si="10"/>
        <v>-95664.03251759641</v>
      </c>
      <c r="AJ10" s="7">
        <f t="shared" si="10"/>
        <v>-105230.43576935606</v>
      </c>
      <c r="AK10" s="7">
        <f t="shared" si="10"/>
        <v>-115753.47934629167</v>
      </c>
      <c r="AL10" s="7">
        <f t="shared" si="10"/>
        <v>-127328.82728092084</v>
      </c>
    </row>
    <row r="11" spans="1:38" x14ac:dyDescent="0.25">
      <c r="C11" s="4" t="s">
        <v>28</v>
      </c>
      <c r="D11" s="8">
        <f t="shared" ref="D11:P11" si="11">SUM(D9:D10)</f>
        <v>829</v>
      </c>
      <c r="E11" s="8">
        <f t="shared" si="11"/>
        <v>1012</v>
      </c>
      <c r="F11" s="8">
        <f t="shared" si="11"/>
        <v>1359</v>
      </c>
      <c r="G11" s="8">
        <f t="shared" si="11"/>
        <v>1400</v>
      </c>
      <c r="H11" s="8">
        <f t="shared" si="11"/>
        <v>1357</v>
      </c>
      <c r="I11" s="8">
        <f t="shared" si="11"/>
        <v>1382</v>
      </c>
      <c r="J11" s="8">
        <f t="shared" si="11"/>
        <v>1626</v>
      </c>
      <c r="K11" s="8">
        <f t="shared" si="11"/>
        <v>1672</v>
      </c>
      <c r="L11" s="8">
        <f t="shared" si="11"/>
        <v>1819</v>
      </c>
      <c r="M11" s="8">
        <f t="shared" si="11"/>
        <v>1816</v>
      </c>
      <c r="N11" s="8">
        <f t="shared" si="11"/>
        <v>2246</v>
      </c>
      <c r="O11" s="8">
        <f t="shared" si="11"/>
        <v>2147</v>
      </c>
      <c r="P11" s="9">
        <f t="shared" si="11"/>
        <v>3292</v>
      </c>
      <c r="V11" s="8">
        <f t="shared" ref="V11:X11" si="12">SUM(V9:V10)</f>
        <v>2279</v>
      </c>
      <c r="W11" s="8">
        <f t="shared" si="12"/>
        <v>3251</v>
      </c>
      <c r="X11" s="8">
        <f t="shared" si="12"/>
        <v>4087</v>
      </c>
      <c r="Y11" s="8">
        <f>SUM(Y9:Y10)</f>
        <v>4600</v>
      </c>
      <c r="Z11" s="8">
        <f>SUM(Z9:Z10)</f>
        <v>6037</v>
      </c>
      <c r="AA11" s="8">
        <f>SUM(AA9:AA10)</f>
        <v>8028</v>
      </c>
      <c r="AB11" s="9">
        <f>SUM(AB9:AB10)</f>
        <v>10022.370000000003</v>
      </c>
      <c r="AC11" s="8">
        <f t="shared" ref="AC11:AL11" si="13">SUM(AC9:AC10)</f>
        <v>11588.765100000019</v>
      </c>
      <c r="AD11" s="8">
        <f t="shared" si="13"/>
        <v>13996.797735000022</v>
      </c>
      <c r="AE11" s="8">
        <f t="shared" si="13"/>
        <v>16823.953502250013</v>
      </c>
      <c r="AF11" s="8">
        <f t="shared" si="13"/>
        <v>20138.59017378751</v>
      </c>
      <c r="AG11" s="8">
        <f t="shared" si="13"/>
        <v>24020.003677880624</v>
      </c>
      <c r="AH11" s="8">
        <f t="shared" si="13"/>
        <v>28560.189871931856</v>
      </c>
      <c r="AI11" s="8">
        <f t="shared" si="13"/>
        <v>33865.896519839764</v>
      </c>
      <c r="AJ11" s="8">
        <f t="shared" si="13"/>
        <v>40061.014795808296</v>
      </c>
      <c r="AK11" s="8">
        <f t="shared" si="13"/>
        <v>47289.368309515921</v>
      </c>
      <c r="AL11" s="8">
        <f t="shared" si="13"/>
        <v>55717.967895257723</v>
      </c>
    </row>
    <row r="12" spans="1:38" x14ac:dyDescent="0.25">
      <c r="C12" s="3" t="s">
        <v>29</v>
      </c>
      <c r="D12" s="7">
        <f>-115-109-83</f>
        <v>-307</v>
      </c>
      <c r="E12" s="7">
        <f>-118-114-15-83</f>
        <v>-330</v>
      </c>
      <c r="F12" s="7">
        <f>-119-115-91</f>
        <v>-325</v>
      </c>
      <c r="G12" s="7">
        <f>-118-112-3-95-4</f>
        <v>-332</v>
      </c>
      <c r="H12" s="7">
        <f>-118-114-105</f>
        <v>-337</v>
      </c>
      <c r="I12" s="7">
        <f>-116-121-106</f>
        <v>-343</v>
      </c>
      <c r="J12" s="7">
        <f>-119-130-108</f>
        <v>-357</v>
      </c>
      <c r="K12" s="7">
        <f>-126-128-4-103-39</f>
        <v>-400</v>
      </c>
      <c r="L12" s="7">
        <f>-130-119-109</f>
        <v>-358</v>
      </c>
      <c r="M12" s="7">
        <f>-135-118-109-6</f>
        <v>-368</v>
      </c>
      <c r="N12" s="7">
        <f>-146-123-109</f>
        <v>-378</v>
      </c>
      <c r="O12" s="7">
        <f>-166-125-109-17</f>
        <v>-417</v>
      </c>
      <c r="P12" s="2">
        <f>-158-118-124</f>
        <v>-400</v>
      </c>
      <c r="Q12" s="3" t="s">
        <v>111</v>
      </c>
      <c r="V12" s="7">
        <f>-440-348-18-290</f>
        <v>-1096</v>
      </c>
      <c r="W12" s="7">
        <f>-481-411-52-339-60</f>
        <v>-1343</v>
      </c>
      <c r="X12" s="7">
        <f>-476-396-9-341-2</f>
        <v>-1224</v>
      </c>
      <c r="Y12" s="7">
        <f>SUM(D12:G12)</f>
        <v>-1294</v>
      </c>
      <c r="Z12" s="7">
        <f>SUM(H12:K12)</f>
        <v>-1437</v>
      </c>
      <c r="AA12" s="7">
        <f>SUM(L12:O12)</f>
        <v>-1521</v>
      </c>
      <c r="AB12" s="6">
        <f>AA12*1.02</f>
        <v>-1551.42</v>
      </c>
      <c r="AC12" s="7">
        <f t="shared" ref="AC12:AL12" si="14">AB12*1.02</f>
        <v>-1582.4484</v>
      </c>
      <c r="AD12" s="7">
        <f t="shared" si="14"/>
        <v>-1614.097368</v>
      </c>
      <c r="AE12" s="7">
        <f t="shared" si="14"/>
        <v>-1646.37931536</v>
      </c>
      <c r="AF12" s="7">
        <f t="shared" si="14"/>
        <v>-1679.3069016672</v>
      </c>
      <c r="AG12" s="7">
        <f t="shared" si="14"/>
        <v>-1712.893039700544</v>
      </c>
      <c r="AH12" s="7">
        <f t="shared" si="14"/>
        <v>-1747.1509004945549</v>
      </c>
      <c r="AI12" s="7">
        <f t="shared" si="14"/>
        <v>-1782.093918504446</v>
      </c>
      <c r="AJ12" s="7">
        <f t="shared" si="14"/>
        <v>-1817.735796874535</v>
      </c>
      <c r="AK12" s="7">
        <f t="shared" si="14"/>
        <v>-1854.0905128120257</v>
      </c>
      <c r="AL12" s="7">
        <f t="shared" si="14"/>
        <v>-1891.1723230682662</v>
      </c>
    </row>
    <row r="13" spans="1:38" x14ac:dyDescent="0.25">
      <c r="C13" s="4" t="s">
        <v>30</v>
      </c>
      <c r="D13" s="8">
        <f t="shared" ref="D13:P13" si="15">SUM(D11:D12)</f>
        <v>522</v>
      </c>
      <c r="E13" s="8">
        <f t="shared" si="15"/>
        <v>682</v>
      </c>
      <c r="F13" s="8">
        <f t="shared" si="15"/>
        <v>1034</v>
      </c>
      <c r="G13" s="8">
        <f t="shared" si="15"/>
        <v>1068</v>
      </c>
      <c r="H13" s="8">
        <f t="shared" si="15"/>
        <v>1020</v>
      </c>
      <c r="I13" s="8">
        <f t="shared" si="15"/>
        <v>1039</v>
      </c>
      <c r="J13" s="8">
        <f t="shared" si="15"/>
        <v>1269</v>
      </c>
      <c r="K13" s="8">
        <f t="shared" si="15"/>
        <v>1272</v>
      </c>
      <c r="L13" s="8">
        <f t="shared" si="15"/>
        <v>1461</v>
      </c>
      <c r="M13" s="8">
        <f t="shared" si="15"/>
        <v>1448</v>
      </c>
      <c r="N13" s="8">
        <f t="shared" si="15"/>
        <v>1868</v>
      </c>
      <c r="O13" s="8">
        <f t="shared" si="15"/>
        <v>1730</v>
      </c>
      <c r="P13" s="9">
        <f t="shared" si="15"/>
        <v>2892</v>
      </c>
      <c r="V13" s="8">
        <f t="shared" ref="V13:X13" si="16">SUM(V11:V12)</f>
        <v>1183</v>
      </c>
      <c r="W13" s="8">
        <f t="shared" si="16"/>
        <v>1908</v>
      </c>
      <c r="X13" s="8">
        <f t="shared" si="16"/>
        <v>2863</v>
      </c>
      <c r="Y13" s="8">
        <f>SUM(Y11:Y12)</f>
        <v>3306</v>
      </c>
      <c r="Z13" s="8">
        <f>SUM(Z11:Z12)</f>
        <v>4600</v>
      </c>
      <c r="AA13" s="8">
        <f>SUM(AA11:AA12)</f>
        <v>6507</v>
      </c>
      <c r="AB13" s="9">
        <f>SUM(AB11:AB12)</f>
        <v>8470.9500000000025</v>
      </c>
      <c r="AC13" s="8">
        <f t="shared" ref="AC13:AL13" si="17">SUM(AC11:AC12)</f>
        <v>10006.316700000019</v>
      </c>
      <c r="AD13" s="8">
        <f t="shared" si="17"/>
        <v>12382.700367000021</v>
      </c>
      <c r="AE13" s="8">
        <f t="shared" si="17"/>
        <v>15177.574186890013</v>
      </c>
      <c r="AF13" s="8">
        <f t="shared" si="17"/>
        <v>18459.283272120309</v>
      </c>
      <c r="AG13" s="8">
        <f t="shared" si="17"/>
        <v>22307.110638180082</v>
      </c>
      <c r="AH13" s="8">
        <f t="shared" si="17"/>
        <v>26813.038971437301</v>
      </c>
      <c r="AI13" s="8">
        <f t="shared" si="17"/>
        <v>32083.802601335319</v>
      </c>
      <c r="AJ13" s="8">
        <f t="shared" si="17"/>
        <v>38243.278998933762</v>
      </c>
      <c r="AK13" s="8">
        <f t="shared" si="17"/>
        <v>45435.277796703893</v>
      </c>
      <c r="AL13" s="8">
        <f t="shared" si="17"/>
        <v>53826.795572189454</v>
      </c>
    </row>
    <row r="14" spans="1:38" x14ac:dyDescent="0.25">
      <c r="C14" s="3" t="s">
        <v>31</v>
      </c>
      <c r="D14" s="7">
        <v>23</v>
      </c>
      <c r="E14" s="7">
        <v>47</v>
      </c>
      <c r="F14" s="7">
        <v>144</v>
      </c>
      <c r="G14" s="7">
        <v>174</v>
      </c>
      <c r="H14" s="7">
        <v>12</v>
      </c>
      <c r="I14" s="7">
        <v>21</v>
      </c>
      <c r="J14" s="7">
        <v>148</v>
      </c>
      <c r="K14" s="7">
        <v>177</v>
      </c>
      <c r="L14" s="7">
        <v>37</v>
      </c>
      <c r="M14" s="7">
        <v>97</v>
      </c>
      <c r="N14" s="7">
        <v>32</v>
      </c>
      <c r="O14" s="7">
        <v>276</v>
      </c>
      <c r="P14" s="2">
        <v>14</v>
      </c>
      <c r="V14" s="7">
        <v>140</v>
      </c>
      <c r="W14" s="7">
        <v>186</v>
      </c>
      <c r="X14" s="7">
        <v>244</v>
      </c>
      <c r="Y14" s="7">
        <f>SUM(D14:G14)</f>
        <v>388</v>
      </c>
      <c r="Z14" s="7">
        <f>SUM(H14:K14)</f>
        <v>358</v>
      </c>
      <c r="AA14" s="7">
        <f>SUM(L14:O14)</f>
        <v>442</v>
      </c>
      <c r="AB14" s="6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</row>
    <row r="15" spans="1:38" x14ac:dyDescent="0.25">
      <c r="C15" s="3" t="s">
        <v>42</v>
      </c>
      <c r="D15" s="7">
        <v>-32</v>
      </c>
      <c r="E15" s="7">
        <v>-30</v>
      </c>
      <c r="F15" s="7">
        <v>-33</v>
      </c>
      <c r="G15" s="7">
        <v>-33</v>
      </c>
      <c r="H15" s="7">
        <v>-32</v>
      </c>
      <c r="I15" s="7">
        <v>-34</v>
      </c>
      <c r="J15" s="7">
        <v>-36</v>
      </c>
      <c r="K15" s="7">
        <v>-33</v>
      </c>
      <c r="L15" s="7">
        <v>-36</v>
      </c>
      <c r="M15" s="7">
        <v>-35</v>
      </c>
      <c r="N15" s="7">
        <v>-39</v>
      </c>
      <c r="O15" s="3">
        <v>-39</v>
      </c>
      <c r="P15" s="2">
        <v>-46</v>
      </c>
      <c r="V15" s="7">
        <v>-225</v>
      </c>
      <c r="W15" s="7">
        <v>103</v>
      </c>
      <c r="X15" s="7">
        <v>83</v>
      </c>
      <c r="Y15" s="7">
        <f t="shared" ref="Y15:Y16" si="18">SUM(D15:G15)</f>
        <v>-128</v>
      </c>
      <c r="Z15" s="7">
        <f t="shared" ref="Z15:Z16" si="19">SUM(H15:K15)</f>
        <v>-135</v>
      </c>
      <c r="AA15" s="7">
        <f>SUM(L15:O15)</f>
        <v>-149</v>
      </c>
      <c r="AB15" s="6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</row>
    <row r="16" spans="1:38" x14ac:dyDescent="0.25">
      <c r="C16" s="3" t="s">
        <v>32</v>
      </c>
      <c r="D16" s="7">
        <v>-2</v>
      </c>
      <c r="E16" s="7">
        <v>-23</v>
      </c>
      <c r="F16" s="7">
        <v>-32</v>
      </c>
      <c r="G16" s="7">
        <v>-14</v>
      </c>
      <c r="H16" s="7">
        <v>-11</v>
      </c>
      <c r="I16" s="7">
        <v>-40</v>
      </c>
      <c r="J16" s="7">
        <v>-70</v>
      </c>
      <c r="K16" s="7">
        <v>-27</v>
      </c>
      <c r="L16" s="7">
        <v>-31</v>
      </c>
      <c r="M16" s="7">
        <v>-22</v>
      </c>
      <c r="N16" s="7">
        <v>-89</v>
      </c>
      <c r="O16" s="7">
        <v>-74</v>
      </c>
      <c r="P16" s="2">
        <v>57</v>
      </c>
      <c r="V16" s="7">
        <v>-131</v>
      </c>
      <c r="W16" s="7">
        <f>-196-142</f>
        <v>-338</v>
      </c>
      <c r="X16" s="7">
        <f>-136-132</f>
        <v>-268</v>
      </c>
      <c r="Y16" s="7">
        <f t="shared" si="18"/>
        <v>-71</v>
      </c>
      <c r="Z16" s="7">
        <f t="shared" si="19"/>
        <v>-148</v>
      </c>
      <c r="AA16" s="7">
        <f>SUM(L16:O16)</f>
        <v>-216</v>
      </c>
      <c r="AB16" s="44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</row>
    <row r="17" spans="3:127" x14ac:dyDescent="0.25">
      <c r="C17" s="3" t="s">
        <v>33</v>
      </c>
      <c r="D17" s="7">
        <f t="shared" ref="D17:P17" si="20">SUM(D13:D16)</f>
        <v>511</v>
      </c>
      <c r="E17" s="7">
        <f t="shared" si="20"/>
        <v>676</v>
      </c>
      <c r="F17" s="7">
        <f t="shared" si="20"/>
        <v>1113</v>
      </c>
      <c r="G17" s="7">
        <f t="shared" si="20"/>
        <v>1195</v>
      </c>
      <c r="H17" s="7">
        <f t="shared" si="20"/>
        <v>989</v>
      </c>
      <c r="I17" s="7">
        <f t="shared" si="20"/>
        <v>986</v>
      </c>
      <c r="J17" s="7">
        <f t="shared" si="20"/>
        <v>1311</v>
      </c>
      <c r="K17" s="7">
        <f t="shared" si="20"/>
        <v>1389</v>
      </c>
      <c r="L17" s="7">
        <f t="shared" si="20"/>
        <v>1431</v>
      </c>
      <c r="M17" s="7">
        <f t="shared" si="20"/>
        <v>1488</v>
      </c>
      <c r="N17" s="7">
        <f t="shared" si="20"/>
        <v>1772</v>
      </c>
      <c r="O17" s="7">
        <f t="shared" si="20"/>
        <v>1893</v>
      </c>
      <c r="P17" s="6">
        <f t="shared" si="20"/>
        <v>2917</v>
      </c>
      <c r="V17" s="7">
        <f t="shared" ref="V17:X17" si="21">SUM(V13:V16)</f>
        <v>967</v>
      </c>
      <c r="W17" s="7">
        <f t="shared" si="21"/>
        <v>1859</v>
      </c>
      <c r="X17" s="7">
        <f t="shared" si="21"/>
        <v>2922</v>
      </c>
      <c r="Y17" s="7">
        <f>SUM(Y13:Y16)</f>
        <v>3495</v>
      </c>
      <c r="Z17" s="7">
        <f>SUM(Z13:Z16)</f>
        <v>4675</v>
      </c>
      <c r="AA17" s="7">
        <f>SUM(AA13:AA16)</f>
        <v>6584</v>
      </c>
      <c r="AB17" s="6">
        <f>SUM(AB13:AB16)</f>
        <v>8470.9500000000025</v>
      </c>
      <c r="AC17" s="7">
        <f t="shared" ref="AC17:AL17" si="22">SUM(AC13:AC16)</f>
        <v>10006.316700000019</v>
      </c>
      <c r="AD17" s="7">
        <f t="shared" si="22"/>
        <v>12382.700367000021</v>
      </c>
      <c r="AE17" s="7">
        <f t="shared" si="22"/>
        <v>15177.574186890013</v>
      </c>
      <c r="AF17" s="7">
        <f t="shared" si="22"/>
        <v>18459.283272120309</v>
      </c>
      <c r="AG17" s="7">
        <f t="shared" si="22"/>
        <v>22307.110638180082</v>
      </c>
      <c r="AH17" s="7">
        <f t="shared" si="22"/>
        <v>26813.038971437301</v>
      </c>
      <c r="AI17" s="7">
        <f t="shared" si="22"/>
        <v>32083.802601335319</v>
      </c>
      <c r="AJ17" s="7">
        <f t="shared" si="22"/>
        <v>38243.278998933762</v>
      </c>
      <c r="AK17" s="7">
        <f t="shared" si="22"/>
        <v>45435.277796703893</v>
      </c>
      <c r="AL17" s="7">
        <f t="shared" si="22"/>
        <v>53826.795572189454</v>
      </c>
    </row>
    <row r="18" spans="3:127" x14ac:dyDescent="0.25">
      <c r="C18" s="3" t="s">
        <v>34</v>
      </c>
      <c r="D18" s="7">
        <v>-112</v>
      </c>
      <c r="E18" s="7">
        <v>-141</v>
      </c>
      <c r="F18" s="7">
        <v>-220</v>
      </c>
      <c r="G18" s="7">
        <v>-214</v>
      </c>
      <c r="H18" s="7">
        <v>-218</v>
      </c>
      <c r="I18" s="7">
        <v>-208</v>
      </c>
      <c r="J18" s="7">
        <v>-269</v>
      </c>
      <c r="K18" s="7">
        <v>-265</v>
      </c>
      <c r="L18" s="7">
        <v>-310</v>
      </c>
      <c r="M18" s="7">
        <v>-308</v>
      </c>
      <c r="N18" s="7">
        <v>-402</v>
      </c>
      <c r="O18" s="7">
        <v>-421</v>
      </c>
      <c r="P18" s="2">
        <v>-641</v>
      </c>
      <c r="V18" s="7">
        <v>-250</v>
      </c>
      <c r="W18" s="7">
        <v>-374</v>
      </c>
      <c r="X18" s="7">
        <v>-632</v>
      </c>
      <c r="Y18" s="7">
        <f>SUM(D18:G18)</f>
        <v>-687</v>
      </c>
      <c r="Z18" s="7">
        <f>SUM(H18:K18)</f>
        <v>-960</v>
      </c>
      <c r="AA18" s="7">
        <f>SUM(L18:O18)</f>
        <v>-1441</v>
      </c>
      <c r="AB18" s="6">
        <f>AB17*-0.22</f>
        <v>-1863.6090000000006</v>
      </c>
      <c r="AC18" s="7">
        <f t="shared" ref="AC18:AL18" si="23">AC17*-0.22</f>
        <v>-2201.3896740000041</v>
      </c>
      <c r="AD18" s="7">
        <f t="shared" si="23"/>
        <v>-2724.1940807400047</v>
      </c>
      <c r="AE18" s="7">
        <f t="shared" si="23"/>
        <v>-3339.066321115803</v>
      </c>
      <c r="AF18" s="7">
        <f t="shared" si="23"/>
        <v>-4061.042319866468</v>
      </c>
      <c r="AG18" s="7">
        <f t="shared" si="23"/>
        <v>-4907.5643403996182</v>
      </c>
      <c r="AH18" s="7">
        <f t="shared" si="23"/>
        <v>-5898.8685737162059</v>
      </c>
      <c r="AI18" s="7">
        <f t="shared" si="23"/>
        <v>-7058.43657229377</v>
      </c>
      <c r="AJ18" s="7">
        <f t="shared" si="23"/>
        <v>-8413.5213797654269</v>
      </c>
      <c r="AK18" s="7">
        <f t="shared" si="23"/>
        <v>-9995.7611152748559</v>
      </c>
      <c r="AL18" s="7">
        <f t="shared" si="23"/>
        <v>-11841.89502588168</v>
      </c>
    </row>
    <row r="19" spans="3:127" x14ac:dyDescent="0.25">
      <c r="C19" s="4" t="s">
        <v>35</v>
      </c>
      <c r="D19" s="8">
        <f t="shared" ref="D19:P19" si="24">SUM(D17:D18)</f>
        <v>399</v>
      </c>
      <c r="E19" s="8">
        <f t="shared" si="24"/>
        <v>535</v>
      </c>
      <c r="F19" s="8">
        <f t="shared" si="24"/>
        <v>893</v>
      </c>
      <c r="G19" s="8">
        <f t="shared" si="24"/>
        <v>981</v>
      </c>
      <c r="H19" s="8">
        <f t="shared" si="24"/>
        <v>771</v>
      </c>
      <c r="I19" s="8">
        <f t="shared" si="24"/>
        <v>778</v>
      </c>
      <c r="J19" s="8">
        <f t="shared" si="24"/>
        <v>1042</v>
      </c>
      <c r="K19" s="8">
        <f t="shared" si="24"/>
        <v>1124</v>
      </c>
      <c r="L19" s="8">
        <f t="shared" si="24"/>
        <v>1121</v>
      </c>
      <c r="M19" s="8">
        <f t="shared" si="24"/>
        <v>1180</v>
      </c>
      <c r="N19" s="8">
        <f t="shared" si="24"/>
        <v>1370</v>
      </c>
      <c r="O19" s="8">
        <f t="shared" si="24"/>
        <v>1472</v>
      </c>
      <c r="P19" s="9">
        <f t="shared" si="24"/>
        <v>2276</v>
      </c>
      <c r="V19" s="8">
        <f t="shared" ref="V19:X19" si="25">SUM(V17:V18)</f>
        <v>717</v>
      </c>
      <c r="W19" s="8">
        <f t="shared" si="25"/>
        <v>1485</v>
      </c>
      <c r="X19" s="8">
        <f t="shared" si="25"/>
        <v>2290</v>
      </c>
      <c r="Y19" s="8">
        <f>SUM(Y17:Y18)</f>
        <v>2808</v>
      </c>
      <c r="Z19" s="8">
        <f>SUM(Z17:Z18)</f>
        <v>3715</v>
      </c>
      <c r="AA19" s="8">
        <f>SUM(AA17:AA18)</f>
        <v>5143</v>
      </c>
      <c r="AB19" s="9">
        <f>SUM(AB17:AB18)</f>
        <v>6607.3410000000022</v>
      </c>
      <c r="AC19" s="8">
        <f t="shared" ref="AC19:AL19" si="26">SUM(AC17:AC18)</f>
        <v>7804.9270260000158</v>
      </c>
      <c r="AD19" s="8">
        <f t="shared" si="26"/>
        <v>9658.5062862600171</v>
      </c>
      <c r="AE19" s="8">
        <f t="shared" si="26"/>
        <v>11838.507865774211</v>
      </c>
      <c r="AF19" s="8">
        <f t="shared" si="26"/>
        <v>14398.24095225384</v>
      </c>
      <c r="AG19" s="8">
        <f t="shared" si="26"/>
        <v>17399.546297780464</v>
      </c>
      <c r="AH19" s="8">
        <f t="shared" si="26"/>
        <v>20914.170397721096</v>
      </c>
      <c r="AI19" s="8">
        <f t="shared" si="26"/>
        <v>25025.36602904155</v>
      </c>
      <c r="AJ19" s="8">
        <f t="shared" si="26"/>
        <v>29829.757619168333</v>
      </c>
      <c r="AK19" s="8">
        <f t="shared" si="26"/>
        <v>35439.516681429035</v>
      </c>
      <c r="AL19" s="8">
        <f t="shared" si="26"/>
        <v>41984.900546307777</v>
      </c>
      <c r="AM19" s="8">
        <f>AL19*(1+$AO$23)</f>
        <v>41565.051540844703</v>
      </c>
      <c r="AN19" s="8">
        <f t="shared" ref="AN19:CY19" si="27">AM19*(1+$AO$23)</f>
        <v>41149.401025436258</v>
      </c>
      <c r="AO19" s="8">
        <f t="shared" si="27"/>
        <v>40737.907015181896</v>
      </c>
      <c r="AP19" s="8">
        <f t="shared" si="27"/>
        <v>40330.527945030073</v>
      </c>
      <c r="AQ19" s="8">
        <f t="shared" si="27"/>
        <v>39927.222665579771</v>
      </c>
      <c r="AR19" s="8">
        <f t="shared" si="27"/>
        <v>39527.950438923974</v>
      </c>
      <c r="AS19" s="8">
        <f t="shared" si="27"/>
        <v>39132.670934534734</v>
      </c>
      <c r="AT19" s="8">
        <f t="shared" si="27"/>
        <v>38741.344225189387</v>
      </c>
      <c r="AU19" s="8">
        <f t="shared" si="27"/>
        <v>38353.930782937496</v>
      </c>
      <c r="AV19" s="8">
        <f t="shared" si="27"/>
        <v>37970.391475108117</v>
      </c>
      <c r="AW19" s="8">
        <f t="shared" si="27"/>
        <v>37590.687560357037</v>
      </c>
      <c r="AX19" s="8">
        <f t="shared" si="27"/>
        <v>37214.780684753467</v>
      </c>
      <c r="AY19" s="8">
        <f t="shared" si="27"/>
        <v>36842.632877905933</v>
      </c>
      <c r="AZ19" s="8">
        <f t="shared" si="27"/>
        <v>36474.206549126873</v>
      </c>
      <c r="BA19" s="8">
        <f t="shared" si="27"/>
        <v>36109.464483635602</v>
      </c>
      <c r="BB19" s="8">
        <f t="shared" si="27"/>
        <v>35748.369838799248</v>
      </c>
      <c r="BC19" s="8">
        <f t="shared" si="27"/>
        <v>35390.886140411254</v>
      </c>
      <c r="BD19" s="8">
        <f t="shared" si="27"/>
        <v>35036.977279007144</v>
      </c>
      <c r="BE19" s="8">
        <f t="shared" si="27"/>
        <v>34686.607506217071</v>
      </c>
      <c r="BF19" s="8">
        <f t="shared" si="27"/>
        <v>34339.7414311549</v>
      </c>
      <c r="BG19" s="8">
        <f t="shared" si="27"/>
        <v>33996.344016843352</v>
      </c>
      <c r="BH19" s="8">
        <f t="shared" si="27"/>
        <v>33656.380576674921</v>
      </c>
      <c r="BI19" s="8">
        <f t="shared" si="27"/>
        <v>33319.816770908168</v>
      </c>
      <c r="BJ19" s="8">
        <f t="shared" si="27"/>
        <v>32986.618603199087</v>
      </c>
      <c r="BK19" s="8">
        <f t="shared" si="27"/>
        <v>32656.752417167096</v>
      </c>
      <c r="BL19" s="8">
        <f t="shared" si="27"/>
        <v>32330.184892995425</v>
      </c>
      <c r="BM19" s="8">
        <f t="shared" si="27"/>
        <v>32006.883044065471</v>
      </c>
      <c r="BN19" s="8">
        <f t="shared" si="27"/>
        <v>31686.814213624817</v>
      </c>
      <c r="BO19" s="8">
        <f t="shared" si="27"/>
        <v>31369.946071488568</v>
      </c>
      <c r="BP19" s="8">
        <f t="shared" si="27"/>
        <v>31056.246610773684</v>
      </c>
      <c r="BQ19" s="8">
        <f t="shared" si="27"/>
        <v>30745.684144665945</v>
      </c>
      <c r="BR19" s="8">
        <f t="shared" si="27"/>
        <v>30438.227303219286</v>
      </c>
      <c r="BS19" s="8">
        <f t="shared" si="27"/>
        <v>30133.845030187094</v>
      </c>
      <c r="BT19" s="8">
        <f t="shared" si="27"/>
        <v>29832.506579885223</v>
      </c>
      <c r="BU19" s="8">
        <f t="shared" si="27"/>
        <v>29534.181514086369</v>
      </c>
      <c r="BV19" s="8">
        <f t="shared" si="27"/>
        <v>29238.839698945507</v>
      </c>
      <c r="BW19" s="8">
        <f t="shared" si="27"/>
        <v>28946.451301956051</v>
      </c>
      <c r="BX19" s="8">
        <f t="shared" si="27"/>
        <v>28656.98678893649</v>
      </c>
      <c r="BY19" s="8">
        <f t="shared" si="27"/>
        <v>28370.416921047126</v>
      </c>
      <c r="BZ19" s="8">
        <f t="shared" si="27"/>
        <v>28086.712751836654</v>
      </c>
      <c r="CA19" s="8">
        <f t="shared" si="27"/>
        <v>27805.845624318288</v>
      </c>
      <c r="CB19" s="8">
        <f t="shared" si="27"/>
        <v>27527.787168075105</v>
      </c>
      <c r="CC19" s="8">
        <f t="shared" si="27"/>
        <v>27252.509296394353</v>
      </c>
      <c r="CD19" s="8">
        <f t="shared" si="27"/>
        <v>26979.984203430409</v>
      </c>
      <c r="CE19" s="8">
        <f t="shared" si="27"/>
        <v>26710.184361396106</v>
      </c>
      <c r="CF19" s="8">
        <f t="shared" si="27"/>
        <v>26443.082517782146</v>
      </c>
      <c r="CG19" s="8">
        <f t="shared" si="27"/>
        <v>26178.651692604326</v>
      </c>
      <c r="CH19" s="8">
        <f t="shared" si="27"/>
        <v>25916.865175678282</v>
      </c>
      <c r="CI19" s="8">
        <f t="shared" si="27"/>
        <v>25657.696523921499</v>
      </c>
      <c r="CJ19" s="8">
        <f t="shared" si="27"/>
        <v>25401.119558682283</v>
      </c>
      <c r="CK19" s="8">
        <f t="shared" si="27"/>
        <v>25147.10836309546</v>
      </c>
      <c r="CL19" s="8">
        <f t="shared" si="27"/>
        <v>24895.637279464507</v>
      </c>
      <c r="CM19" s="8">
        <f t="shared" si="27"/>
        <v>24646.680906669862</v>
      </c>
      <c r="CN19" s="8">
        <f t="shared" si="27"/>
        <v>24400.214097603162</v>
      </c>
      <c r="CO19" s="8">
        <f t="shared" si="27"/>
        <v>24156.211956627132</v>
      </c>
      <c r="CP19" s="8">
        <f t="shared" si="27"/>
        <v>23914.649837060861</v>
      </c>
      <c r="CQ19" s="8">
        <f t="shared" si="27"/>
        <v>23675.503338690251</v>
      </c>
      <c r="CR19" s="8">
        <f t="shared" si="27"/>
        <v>23438.748305303347</v>
      </c>
      <c r="CS19" s="8">
        <f t="shared" si="27"/>
        <v>23204.360822250314</v>
      </c>
      <c r="CT19" s="8">
        <f t="shared" si="27"/>
        <v>22972.317214027811</v>
      </c>
      <c r="CU19" s="8">
        <f t="shared" si="27"/>
        <v>22742.594041887533</v>
      </c>
      <c r="CV19" s="8">
        <f t="shared" si="27"/>
        <v>22515.168101468658</v>
      </c>
      <c r="CW19" s="8">
        <f t="shared" si="27"/>
        <v>22290.016420453972</v>
      </c>
      <c r="CX19" s="8">
        <f t="shared" si="27"/>
        <v>22067.116256249432</v>
      </c>
      <c r="CY19" s="8">
        <f t="shared" si="27"/>
        <v>21846.445093686936</v>
      </c>
      <c r="CZ19" s="8">
        <f t="shared" ref="CZ19:DW19" si="28">CY19*(1+$AO$23)</f>
        <v>21627.980642750066</v>
      </c>
      <c r="DA19" s="8">
        <f t="shared" si="28"/>
        <v>21411.700836322565</v>
      </c>
      <c r="DB19" s="8">
        <f t="shared" si="28"/>
        <v>21197.583827959341</v>
      </c>
      <c r="DC19" s="8">
        <f t="shared" si="28"/>
        <v>20985.607989679746</v>
      </c>
      <c r="DD19" s="8">
        <f t="shared" si="28"/>
        <v>20775.751909782946</v>
      </c>
      <c r="DE19" s="8">
        <f t="shared" si="28"/>
        <v>20567.994390685115</v>
      </c>
      <c r="DF19" s="8">
        <f t="shared" si="28"/>
        <v>20362.314446778262</v>
      </c>
      <c r="DG19" s="8">
        <f t="shared" si="28"/>
        <v>20158.691302310479</v>
      </c>
      <c r="DH19" s="8">
        <f t="shared" si="28"/>
        <v>19957.104389287375</v>
      </c>
      <c r="DI19" s="8">
        <f t="shared" si="28"/>
        <v>19757.533345394502</v>
      </c>
      <c r="DJ19" s="8">
        <f t="shared" si="28"/>
        <v>19559.958011940558</v>
      </c>
      <c r="DK19" s="8">
        <f t="shared" si="28"/>
        <v>19364.358431821154</v>
      </c>
      <c r="DL19" s="8">
        <f t="shared" si="28"/>
        <v>19170.714847502943</v>
      </c>
      <c r="DM19" s="8">
        <f t="shared" si="28"/>
        <v>18979.007699027912</v>
      </c>
      <c r="DN19" s="8">
        <f t="shared" si="28"/>
        <v>18789.217622037631</v>
      </c>
      <c r="DO19" s="8">
        <f t="shared" si="28"/>
        <v>18601.325445817256</v>
      </c>
      <c r="DP19" s="8">
        <f t="shared" si="28"/>
        <v>18415.312191359084</v>
      </c>
      <c r="DQ19" s="8">
        <f t="shared" si="28"/>
        <v>18231.159069445494</v>
      </c>
      <c r="DR19" s="8">
        <f t="shared" si="28"/>
        <v>18048.847478751039</v>
      </c>
      <c r="DS19" s="8">
        <f t="shared" si="28"/>
        <v>17868.359003963527</v>
      </c>
      <c r="DT19" s="8">
        <f t="shared" si="28"/>
        <v>17689.675413923891</v>
      </c>
      <c r="DU19" s="8">
        <f t="shared" si="28"/>
        <v>17512.778659784653</v>
      </c>
      <c r="DV19" s="8">
        <f t="shared" si="28"/>
        <v>17337.650873186805</v>
      </c>
      <c r="DW19" s="8">
        <f t="shared" si="28"/>
        <v>17164.274364454937</v>
      </c>
    </row>
    <row r="20" spans="3:127" x14ac:dyDescent="0.25">
      <c r="C20" s="3" t="s">
        <v>36</v>
      </c>
      <c r="D20" s="10">
        <f t="shared" ref="D20:O20" si="29">D19/D21</f>
        <v>2.2680525600887695</v>
      </c>
      <c r="E20" s="10">
        <f t="shared" si="29"/>
        <v>3.0411231068859443</v>
      </c>
      <c r="F20" s="10">
        <f t="shared" si="29"/>
        <v>5.0761176344843895</v>
      </c>
      <c r="G20" s="10">
        <f t="shared" si="29"/>
        <v>5.5763397530002088</v>
      </c>
      <c r="H20" s="10">
        <f t="shared" si="29"/>
        <v>4.3826278792692772</v>
      </c>
      <c r="I20" s="10">
        <f t="shared" si="29"/>
        <v>4.4224182750603083</v>
      </c>
      <c r="J20" s="10">
        <f t="shared" si="29"/>
        <v>5.9230846306077645</v>
      </c>
      <c r="K20" s="10">
        <f t="shared" si="29"/>
        <v>6.3892006955884142</v>
      </c>
      <c r="L20" s="10">
        <f t="shared" si="29"/>
        <v>6.3721476688208289</v>
      </c>
      <c r="M20" s="10">
        <f t="shared" si="29"/>
        <v>6.7075238619166626</v>
      </c>
      <c r="N20" s="10">
        <f t="shared" si="29"/>
        <v>7.7875488905303625</v>
      </c>
      <c r="O20" s="10">
        <f t="shared" si="29"/>
        <v>8.3673518006282439</v>
      </c>
      <c r="P20" s="5">
        <f t="shared" ref="P20:S20" si="30">P19/P21</f>
        <v>12.937562974340953</v>
      </c>
      <c r="Q20" s="10">
        <f t="shared" si="30"/>
        <v>0</v>
      </c>
      <c r="R20" s="10">
        <f t="shared" si="30"/>
        <v>0</v>
      </c>
      <c r="S20" s="10">
        <f t="shared" si="30"/>
        <v>0</v>
      </c>
      <c r="V20" s="10">
        <f t="shared" ref="V20:X20" si="31">V19/V21</f>
        <v>3.9839973328888147</v>
      </c>
      <c r="W20" s="10">
        <f t="shared" si="31"/>
        <v>8.2513752292048679</v>
      </c>
      <c r="X20" s="10">
        <f t="shared" si="31"/>
        <v>12.736373748609566</v>
      </c>
      <c r="Y20" s="10">
        <f>Y19/Y21</f>
        <v>15.961633054459313</v>
      </c>
      <c r="Z20" s="10">
        <f>Z19/Z21</f>
        <v>21.117331480525763</v>
      </c>
      <c r="AA20" s="10">
        <f>AA19/AA21</f>
        <v>29.234572221896098</v>
      </c>
      <c r="AB20" s="5">
        <f t="shared" ref="AB20:AL20" si="32">AB19/AB21</f>
        <v>7.5116775290373425</v>
      </c>
      <c r="AC20" s="10">
        <f t="shared" si="32"/>
        <v>8.873175299561586</v>
      </c>
      <c r="AD20" s="10">
        <f t="shared" si="32"/>
        <v>10.980451082298501</v>
      </c>
      <c r="AE20" s="10">
        <f t="shared" si="32"/>
        <v>13.458826101554004</v>
      </c>
      <c r="AF20" s="10">
        <f t="shared" si="32"/>
        <v>16.368905890994633</v>
      </c>
      <c r="AG20" s="10">
        <f t="shared" si="32"/>
        <v>19.780995250658677</v>
      </c>
      <c r="AH20" s="10">
        <f t="shared" si="32"/>
        <v>23.776660507611076</v>
      </c>
      <c r="AI20" s="10">
        <f t="shared" si="32"/>
        <v>28.450549117456752</v>
      </c>
      <c r="AJ20" s="10">
        <f t="shared" si="32"/>
        <v>33.912510343349489</v>
      </c>
      <c r="AK20" s="10">
        <f t="shared" si="32"/>
        <v>40.290068439911671</v>
      </c>
      <c r="AL20" s="10">
        <f t="shared" si="32"/>
        <v>47.731308856704636</v>
      </c>
    </row>
    <row r="21" spans="3:127" x14ac:dyDescent="0.25">
      <c r="C21" s="3" t="s">
        <v>37</v>
      </c>
      <c r="D21" s="10">
        <v>175.92184900000001</v>
      </c>
      <c r="E21" s="10">
        <v>175.92184900000001</v>
      </c>
      <c r="F21" s="10">
        <v>175.92184900000001</v>
      </c>
      <c r="G21" s="10">
        <v>175.92184900000001</v>
      </c>
      <c r="H21" s="10">
        <v>175.92184900000001</v>
      </c>
      <c r="I21" s="10">
        <v>175.92184900000001</v>
      </c>
      <c r="J21" s="10">
        <v>175.92184900000001</v>
      </c>
      <c r="K21" s="10">
        <v>175.92184900000001</v>
      </c>
      <c r="L21" s="10">
        <v>175.92184900000001</v>
      </c>
      <c r="M21" s="10">
        <v>175.92184900000001</v>
      </c>
      <c r="N21" s="10">
        <v>175.92184900000001</v>
      </c>
      <c r="O21" s="10">
        <v>175.92184900000001</v>
      </c>
      <c r="P21" s="5">
        <v>175.92184900000001</v>
      </c>
      <c r="Q21" s="45">
        <v>879.60924499999999</v>
      </c>
      <c r="R21" s="45">
        <v>879.60924499999999</v>
      </c>
      <c r="S21" s="45">
        <v>879.60924499999999</v>
      </c>
      <c r="V21" s="3">
        <v>179.97</v>
      </c>
      <c r="W21" s="3">
        <v>179.97</v>
      </c>
      <c r="X21" s="3">
        <v>179.8</v>
      </c>
      <c r="Y21" s="10">
        <v>175.92184900000001</v>
      </c>
      <c r="Z21" s="10">
        <v>175.92184900000001</v>
      </c>
      <c r="AA21" s="10">
        <v>175.92184900000001</v>
      </c>
      <c r="AB21" s="47">
        <v>879.60924499999999</v>
      </c>
      <c r="AC21" s="45">
        <v>879.60924499999999</v>
      </c>
      <c r="AD21" s="45">
        <v>879.60924499999999</v>
      </c>
      <c r="AE21" s="45">
        <v>879.60924499999999</v>
      </c>
      <c r="AF21" s="45">
        <v>879.60924499999999</v>
      </c>
      <c r="AG21" s="45">
        <v>879.60924499999999</v>
      </c>
      <c r="AH21" s="45">
        <v>879.60924499999999</v>
      </c>
      <c r="AI21" s="45">
        <v>879.60924499999999</v>
      </c>
      <c r="AJ21" s="45">
        <v>879.60924499999999</v>
      </c>
      <c r="AK21" s="45">
        <v>879.60924499999999</v>
      </c>
      <c r="AL21" s="45">
        <v>879.60924499999999</v>
      </c>
    </row>
    <row r="22" spans="3:127" x14ac:dyDescent="0.25">
      <c r="D22" s="7"/>
      <c r="E22" s="7"/>
      <c r="F22" s="7"/>
      <c r="G22" s="7"/>
      <c r="H22" s="7"/>
      <c r="I22" s="7"/>
      <c r="K22" s="7"/>
      <c r="L22" s="7"/>
      <c r="M22" s="7"/>
      <c r="N22" s="7"/>
      <c r="O22" s="7"/>
      <c r="Y22" s="7"/>
      <c r="AN22" s="3" t="s">
        <v>96</v>
      </c>
      <c r="AO22" s="25">
        <v>0.08</v>
      </c>
    </row>
    <row r="23" spans="3:127" x14ac:dyDescent="0.25">
      <c r="C23" s="4" t="s">
        <v>38</v>
      </c>
      <c r="D23" s="11"/>
      <c r="E23" s="11"/>
      <c r="F23" s="11"/>
      <c r="G23" s="11"/>
      <c r="H23" s="11">
        <f>(H9-D9)/D9</f>
        <v>0.2900936701674709</v>
      </c>
      <c r="I23" s="11">
        <f t="shared" ref="I23:P23" si="33">(I9-E9)/E9</f>
        <v>0.27051671732522797</v>
      </c>
      <c r="J23" s="11">
        <f>(J9-F9)/F9</f>
        <v>0.28831504196255647</v>
      </c>
      <c r="K23" s="11">
        <f>(K9-G9)/G9</f>
        <v>0.26387124099957643</v>
      </c>
      <c r="L23" s="11">
        <f t="shared" si="33"/>
        <v>0.2595159515951595</v>
      </c>
      <c r="M23" s="11">
        <f t="shared" si="33"/>
        <v>0.20553359683794467</v>
      </c>
      <c r="N23" s="11">
        <f>(N9-J9)/J9</f>
        <v>0.19502906394066946</v>
      </c>
      <c r="O23" s="11">
        <f t="shared" si="33"/>
        <v>0.16529825737265416</v>
      </c>
      <c r="P23" s="12">
        <f t="shared" si="33"/>
        <v>0.27714210848109005</v>
      </c>
      <c r="W23" s="11">
        <f>(W9-V9)/V9</f>
        <v>6.3577093974502716E-2</v>
      </c>
      <c r="X23" s="11">
        <f t="shared" ref="X23:Y23" si="34">(X9-W9)/W9</f>
        <v>7.1724191785100727E-2</v>
      </c>
      <c r="Y23" s="11">
        <f t="shared" si="34"/>
        <v>0.1585850122044519</v>
      </c>
      <c r="Z23" s="11">
        <f>(Z9-Y9)/Y9</f>
        <v>0.27721526947990693</v>
      </c>
      <c r="AA23" s="11">
        <f t="shared" ref="AA23:AL23" si="35">(AA9-Z9)/Z9</f>
        <v>0.20321039933034615</v>
      </c>
      <c r="AB23" s="12">
        <f>(AB9-AA9)/AA9</f>
        <v>0.18288283679816661</v>
      </c>
      <c r="AC23" s="11">
        <f t="shared" si="35"/>
        <v>0.13455782189367399</v>
      </c>
      <c r="AD23" s="11">
        <f t="shared" si="35"/>
        <v>0.11904531872470103</v>
      </c>
      <c r="AE23" s="11">
        <f t="shared" si="35"/>
        <v>0.11944879334667995</v>
      </c>
      <c r="AF23" s="11">
        <f t="shared" si="35"/>
        <v>0.11986570508931593</v>
      </c>
      <c r="AG23" s="11">
        <f t="shared" si="35"/>
        <v>0.12029677102450184</v>
      </c>
      <c r="AH23" s="11">
        <f t="shared" si="35"/>
        <v>0.12074273566815268</v>
      </c>
      <c r="AI23" s="11">
        <f t="shared" si="35"/>
        <v>0.12120436975562593</v>
      </c>
      <c r="AJ23" s="11">
        <f t="shared" si="35"/>
        <v>0.12168246863759846</v>
      </c>
      <c r="AK23" s="11">
        <f t="shared" si="35"/>
        <v>0.1221778502561071</v>
      </c>
      <c r="AL23" s="11">
        <f t="shared" si="35"/>
        <v>0.122691352659642</v>
      </c>
      <c r="AN23" s="3" t="s">
        <v>97</v>
      </c>
      <c r="AO23" s="24">
        <v>-0.01</v>
      </c>
    </row>
    <row r="24" spans="3:127" x14ac:dyDescent="0.25">
      <c r="C24" s="3" t="s">
        <v>138</v>
      </c>
      <c r="D24" s="14">
        <f t="shared" ref="D24:O24" si="36">D11/D9</f>
        <v>0.117655407323304</v>
      </c>
      <c r="E24" s="14">
        <f t="shared" si="36"/>
        <v>0.1337386018237082</v>
      </c>
      <c r="F24" s="14">
        <f t="shared" si="36"/>
        <v>0.17546804389928986</v>
      </c>
      <c r="G24" s="14">
        <f t="shared" si="36"/>
        <v>0.14824227022448117</v>
      </c>
      <c r="H24" s="14">
        <f t="shared" si="36"/>
        <v>0.14928492849284927</v>
      </c>
      <c r="I24" s="14">
        <f t="shared" si="36"/>
        <v>0.14374869981277305</v>
      </c>
      <c r="J24" s="14">
        <f t="shared" si="36"/>
        <v>0.16295850871918219</v>
      </c>
      <c r="K24" s="14">
        <f t="shared" si="36"/>
        <v>0.1400804289544236</v>
      </c>
      <c r="L24" s="14">
        <f t="shared" si="36"/>
        <v>0.15887850467289719</v>
      </c>
      <c r="M24" s="14">
        <f t="shared" si="36"/>
        <v>0.15668679896462467</v>
      </c>
      <c r="N24" s="14">
        <f t="shared" si="36"/>
        <v>0.18835961086883596</v>
      </c>
      <c r="O24" s="14">
        <f t="shared" si="36"/>
        <v>0.15436048601624847</v>
      </c>
      <c r="P24" s="13">
        <f>P11/P9</f>
        <v>0.22514019969908358</v>
      </c>
      <c r="V24" s="14">
        <f t="shared" ref="V24" si="37">V11/V9</f>
        <v>9.4638926954860675E-2</v>
      </c>
      <c r="W24" s="14">
        <f t="shared" ref="W24:X24" si="38">W11/W9</f>
        <v>0.12693268780259254</v>
      </c>
      <c r="X24" s="14">
        <f t="shared" si="38"/>
        <v>0.14889431308973006</v>
      </c>
      <c r="Y24" s="14">
        <f>Y11/Y9</f>
        <v>0.14464499088107666</v>
      </c>
      <c r="Z24" s="14">
        <f>Z11/Z9</f>
        <v>0.14862868678910829</v>
      </c>
      <c r="AA24" s="14">
        <f t="shared" ref="AA24:AK24" si="39">AA11/AA9</f>
        <v>0.16426583728924538</v>
      </c>
      <c r="AB24" s="13">
        <f t="shared" si="39"/>
        <v>0.17336786032138127</v>
      </c>
      <c r="AC24" s="14">
        <f t="shared" si="39"/>
        <v>0.17668866248019358</v>
      </c>
      <c r="AD24" s="14">
        <f t="shared" si="39"/>
        <v>0.19070080887887048</v>
      </c>
      <c r="AE24" s="14">
        <f t="shared" si="39"/>
        <v>0.2047612043317919</v>
      </c>
      <c r="AF24" s="14">
        <f t="shared" si="39"/>
        <v>0.21886823459312787</v>
      </c>
      <c r="AG24" s="14">
        <f t="shared" si="39"/>
        <v>0.23302024591056603</v>
      </c>
      <c r="AH24" s="14">
        <f t="shared" si="39"/>
        <v>0.24721552712505204</v>
      </c>
      <c r="AI24" s="14">
        <f t="shared" si="39"/>
        <v>0.26145228960985528</v>
      </c>
      <c r="AJ24" s="14">
        <f t="shared" si="39"/>
        <v>0.27572864500957417</v>
      </c>
      <c r="AK24" s="14">
        <f t="shared" si="39"/>
        <v>0.29004258076592465</v>
      </c>
      <c r="AL24" s="14">
        <f>AL11/AL9</f>
        <v>0.30439193344865934</v>
      </c>
      <c r="AN24" s="23" t="s">
        <v>98</v>
      </c>
      <c r="AO24" s="26">
        <f>NPV(AO22,AB19:DW19)</f>
        <v>322996.85468846967</v>
      </c>
    </row>
    <row r="25" spans="3:127" x14ac:dyDescent="0.25">
      <c r="C25" s="3" t="s">
        <v>39</v>
      </c>
      <c r="D25" s="14">
        <f t="shared" ref="D25:M25" si="40">D13/D9</f>
        <v>7.4084586999716151E-2</v>
      </c>
      <c r="E25" s="14">
        <f t="shared" si="40"/>
        <v>9.0128188185542482E-2</v>
      </c>
      <c r="F25" s="14">
        <f>F13/F9</f>
        <v>0.13350548741123305</v>
      </c>
      <c r="G25" s="14">
        <f>G13/G9</f>
        <v>0.11308767471410419</v>
      </c>
      <c r="H25" s="14">
        <f t="shared" si="40"/>
        <v>0.11221122112211221</v>
      </c>
      <c r="I25" s="14">
        <f t="shared" si="40"/>
        <v>0.10807156230497192</v>
      </c>
      <c r="J25" s="14">
        <f t="shared" si="40"/>
        <v>0.12717979555021047</v>
      </c>
      <c r="K25" s="14">
        <f t="shared" si="40"/>
        <v>0.10656836461126006</v>
      </c>
      <c r="L25" s="14">
        <f t="shared" si="40"/>
        <v>0.12760939820071621</v>
      </c>
      <c r="M25" s="14">
        <f t="shared" si="40"/>
        <v>0.12493528904227783</v>
      </c>
      <c r="N25" s="14">
        <f>N13/N9</f>
        <v>0.15665883931566588</v>
      </c>
      <c r="O25" s="14">
        <f t="shared" ref="O25:P25" si="41">O13/O9</f>
        <v>0.12437989790782947</v>
      </c>
      <c r="P25" s="13">
        <f t="shared" si="41"/>
        <v>0.19778416085350842</v>
      </c>
      <c r="V25" s="14">
        <f t="shared" ref="V25" si="42">V13/V9</f>
        <v>4.912586686599394E-2</v>
      </c>
      <c r="W25" s="14">
        <f t="shared" ref="W25:X25" si="43">W13/W9</f>
        <v>7.449632984538497E-2</v>
      </c>
      <c r="X25" s="14">
        <f t="shared" si="43"/>
        <v>0.10430252468213778</v>
      </c>
      <c r="Y25" s="14">
        <f t="shared" ref="Y25:AL25" si="44">Y13/Y9</f>
        <v>0.1039557260549651</v>
      </c>
      <c r="Z25" s="14">
        <f t="shared" si="44"/>
        <v>0.11325028312570781</v>
      </c>
      <c r="AA25" s="14">
        <f t="shared" si="44"/>
        <v>0.13314372237682109</v>
      </c>
      <c r="AB25" s="13">
        <f>AB13/AB9</f>
        <v>0.14653125721654706</v>
      </c>
      <c r="AC25" s="14">
        <f t="shared" si="44"/>
        <v>0.15256178711191798</v>
      </c>
      <c r="AD25" s="14">
        <f t="shared" si="44"/>
        <v>0.16870937344380985</v>
      </c>
      <c r="AE25" s="14">
        <f t="shared" si="44"/>
        <v>0.18472342835036284</v>
      </c>
      <c r="AF25" s="14">
        <f t="shared" si="44"/>
        <v>0.20061735736010505</v>
      </c>
      <c r="AG25" s="14">
        <f t="shared" si="44"/>
        <v>0.21640331434460322</v>
      </c>
      <c r="AH25" s="14">
        <f t="shared" si="44"/>
        <v>0.23209227924856463</v>
      </c>
      <c r="AI25" s="14">
        <f t="shared" si="44"/>
        <v>0.24769412629001442</v>
      </c>
      <c r="AJ25" s="14">
        <f t="shared" si="44"/>
        <v>0.26321768314771798</v>
      </c>
      <c r="AK25" s="14">
        <f t="shared" si="44"/>
        <v>0.27867078163784442</v>
      </c>
      <c r="AL25" s="14">
        <f t="shared" si="44"/>
        <v>0.29406030037500702</v>
      </c>
      <c r="AN25" s="3" t="s">
        <v>99</v>
      </c>
      <c r="AO25" s="46">
        <v>879.61</v>
      </c>
    </row>
    <row r="26" spans="3:127" x14ac:dyDescent="0.25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Y26" s="7"/>
      <c r="AN26" s="28" t="s">
        <v>100</v>
      </c>
      <c r="AO26" s="37">
        <f>AO24/AO25</f>
        <v>367.20461873838366</v>
      </c>
    </row>
    <row r="27" spans="3:127" x14ac:dyDescent="0.25">
      <c r="C27" s="3" t="s">
        <v>92</v>
      </c>
      <c r="H27" s="16">
        <f t="shared" ref="H27:P30" si="45">(H4-D4)/D4</f>
        <v>6.4947029018885299E-2</v>
      </c>
      <c r="I27" s="16">
        <f t="shared" si="45"/>
        <v>6.9617533304684148E-2</v>
      </c>
      <c r="J27" s="16">
        <f>(J4-F4)/F4</f>
        <v>6.3965884861407252E-2</v>
      </c>
      <c r="K27" s="16">
        <f>(K4-G4)/G4</f>
        <v>0.212890625</v>
      </c>
      <c r="L27" s="16">
        <f t="shared" si="45"/>
        <v>0.16825259515570934</v>
      </c>
      <c r="M27" s="16">
        <f>(M4-I4)/I4</f>
        <v>0.20128565689031741</v>
      </c>
      <c r="N27" s="16">
        <f>(N4-J4)/J4</f>
        <v>0.3</v>
      </c>
      <c r="O27" s="16">
        <f>(O4-K4)/K4</f>
        <v>0.23385220969762033</v>
      </c>
      <c r="P27" s="15">
        <f>(P4-L4)/L4</f>
        <v>0.24824139207700852</v>
      </c>
      <c r="W27" s="16">
        <f t="shared" ref="W27:Y28" si="46">(W4-V4)/V4</f>
        <v>1.7520887891258261E-2</v>
      </c>
      <c r="X27" s="16">
        <f t="shared" si="46"/>
        <v>1.1520313744714749E-2</v>
      </c>
      <c r="Y27" s="16">
        <f t="shared" si="46"/>
        <v>0.1082571030471921</v>
      </c>
      <c r="Z27" s="16">
        <f>(Z4-Y4)/Y4</f>
        <v>0.1031485733027222</v>
      </c>
      <c r="AA27" s="16">
        <f t="shared" ref="AA27:AL27" si="47">(AA4-Z4)/Z4</f>
        <v>0.22714434368960904</v>
      </c>
      <c r="AB27" s="15">
        <f>(AB4-AA4)/AA4</f>
        <v>0.25</v>
      </c>
      <c r="AC27" s="16">
        <f>(AC4-AB4)/AB4</f>
        <v>0.16</v>
      </c>
      <c r="AD27" s="16">
        <f t="shared" si="47"/>
        <v>0.12999999999999998</v>
      </c>
      <c r="AE27" s="16">
        <f t="shared" si="47"/>
        <v>0.12999999999999987</v>
      </c>
      <c r="AF27" s="16">
        <f t="shared" si="47"/>
        <v>0.12999999999999984</v>
      </c>
      <c r="AG27" s="16">
        <f t="shared" si="47"/>
        <v>0.12999999999999995</v>
      </c>
      <c r="AH27" s="16">
        <f t="shared" si="47"/>
        <v>0.12999999999999998</v>
      </c>
      <c r="AI27" s="16">
        <f t="shared" si="47"/>
        <v>0.12999999999999995</v>
      </c>
      <c r="AJ27" s="16">
        <f t="shared" si="47"/>
        <v>0.12999999999999998</v>
      </c>
      <c r="AK27" s="16">
        <f t="shared" si="47"/>
        <v>0.12999999999999984</v>
      </c>
      <c r="AL27" s="16">
        <f t="shared" si="47"/>
        <v>0.12999999999999995</v>
      </c>
      <c r="AN27" s="4" t="s">
        <v>101</v>
      </c>
      <c r="AO27" s="27">
        <f>(AO26-B4)/B4</f>
        <v>-4.7306715316881159E-3</v>
      </c>
    </row>
    <row r="28" spans="3:127" x14ac:dyDescent="0.25">
      <c r="C28" s="3" t="s">
        <v>40</v>
      </c>
      <c r="H28" s="16">
        <f t="shared" si="45"/>
        <v>0.42516181229773464</v>
      </c>
      <c r="I28" s="16">
        <f t="shared" si="45"/>
        <v>0.28826151560178304</v>
      </c>
      <c r="J28" s="16">
        <f>(J5-F5)/F5</f>
        <v>0.40613847251962881</v>
      </c>
      <c r="K28" s="16">
        <f>(K5-G5)/G5</f>
        <v>0.28839239856189008</v>
      </c>
      <c r="L28" s="16">
        <f t="shared" si="45"/>
        <v>0.39568549531649161</v>
      </c>
      <c r="M28" s="16">
        <f t="shared" si="45"/>
        <v>0.27595155709342561</v>
      </c>
      <c r="N28" s="16">
        <f t="shared" ref="N28:N30" si="48">(N5-J5)/J5</f>
        <v>7.9949238578680207E-2</v>
      </c>
      <c r="O28" s="16">
        <f t="shared" si="45"/>
        <v>0.10165437512457644</v>
      </c>
      <c r="P28" s="15">
        <f t="shared" si="45"/>
        <v>9.3146227374415289E-2</v>
      </c>
      <c r="W28" s="16">
        <f t="shared" si="46"/>
        <v>0.17363699102829538</v>
      </c>
      <c r="X28" s="16">
        <f t="shared" si="46"/>
        <v>0.18522874279665999</v>
      </c>
      <c r="Y28" s="16">
        <f t="shared" si="46"/>
        <v>0.17682079777733678</v>
      </c>
      <c r="Z28" s="16">
        <f t="shared" ref="Z28:AL30" si="49">(Z5-Y5)/Y5</f>
        <v>0.34468802698145024</v>
      </c>
      <c r="AA28" s="16">
        <f t="shared" si="49"/>
        <v>0.19914722849260094</v>
      </c>
      <c r="AB28" s="15">
        <f t="shared" si="49"/>
        <v>0.10000000000000007</v>
      </c>
      <c r="AC28" s="16">
        <f t="shared" si="49"/>
        <v>0.10000000000000014</v>
      </c>
      <c r="AD28" s="16">
        <f t="shared" si="49"/>
        <v>0.10000000000000002</v>
      </c>
      <c r="AE28" s="16">
        <f t="shared" si="49"/>
        <v>0.1000000000000001</v>
      </c>
      <c r="AF28" s="16">
        <f t="shared" si="49"/>
        <v>0.1000000000000001</v>
      </c>
      <c r="AG28" s="16">
        <f t="shared" si="49"/>
        <v>0.10000000000000017</v>
      </c>
      <c r="AH28" s="16">
        <f t="shared" si="49"/>
        <v>0.10000000000000014</v>
      </c>
      <c r="AI28" s="16">
        <f t="shared" si="49"/>
        <v>0.1000000000000001</v>
      </c>
      <c r="AJ28" s="16">
        <f t="shared" si="49"/>
        <v>0.10000000000000005</v>
      </c>
      <c r="AK28" s="16">
        <f t="shared" si="49"/>
        <v>0.10000000000000007</v>
      </c>
      <c r="AL28" s="16">
        <f t="shared" si="49"/>
        <v>0.10000000000000003</v>
      </c>
    </row>
    <row r="29" spans="3:127" x14ac:dyDescent="0.25">
      <c r="C29" s="3" t="s">
        <v>93</v>
      </c>
      <c r="D29" s="7"/>
      <c r="E29" s="7"/>
      <c r="F29" s="7"/>
      <c r="G29" s="7"/>
      <c r="H29" s="16"/>
      <c r="I29" s="16"/>
      <c r="J29" s="16"/>
      <c r="K29" s="16">
        <f>(K6-G6)/G6</f>
        <v>0.38452237001209189</v>
      </c>
      <c r="L29" s="16">
        <f t="shared" si="45"/>
        <v>0.15477497255762898</v>
      </c>
      <c r="M29" s="16">
        <f t="shared" si="45"/>
        <v>8.3511777301927201E-2</v>
      </c>
      <c r="N29" s="16">
        <f t="shared" si="48"/>
        <v>0.21428571428571427</v>
      </c>
      <c r="O29" s="16">
        <f>(O6-K6)/K6</f>
        <v>8.3842794759825326E-2</v>
      </c>
      <c r="P29" s="15">
        <f>(P6-L6)/L6</f>
        <v>0.28992395437262358</v>
      </c>
      <c r="W29" s="16">
        <f t="shared" ref="W29:Y29" si="50">(W6-V6)/V6</f>
        <v>-1.0025062656641603E-2</v>
      </c>
      <c r="X29" s="16">
        <f t="shared" si="50"/>
        <v>9.3670886075949367E-2</v>
      </c>
      <c r="Y29" s="16">
        <f t="shared" si="50"/>
        <v>-4.2824074074074077E-2</v>
      </c>
      <c r="Z29" s="16">
        <f>(Z6-Y6)/Y6</f>
        <v>3.7327690447400244</v>
      </c>
      <c r="AA29" s="16">
        <f t="shared" si="49"/>
        <v>0.13106796116504854</v>
      </c>
      <c r="AB29" s="15">
        <f t="shared" si="49"/>
        <v>0.14999999999999983</v>
      </c>
      <c r="AC29" s="16">
        <f t="shared" si="49"/>
        <v>0.1000000000000001</v>
      </c>
      <c r="AD29" s="16">
        <f t="shared" si="49"/>
        <v>0.10000000000000007</v>
      </c>
      <c r="AE29" s="16">
        <f t="shared" si="49"/>
        <v>0.10000000000000006</v>
      </c>
      <c r="AF29" s="16">
        <f t="shared" si="49"/>
        <v>0.10000000000000005</v>
      </c>
      <c r="AG29" s="16">
        <f t="shared" si="49"/>
        <v>0.10000000000000009</v>
      </c>
      <c r="AH29" s="16">
        <f t="shared" si="49"/>
        <v>0.1</v>
      </c>
      <c r="AI29" s="16">
        <f t="shared" si="49"/>
        <v>0.10000000000000007</v>
      </c>
      <c r="AJ29" s="16">
        <f t="shared" si="49"/>
        <v>0.10000000000000002</v>
      </c>
      <c r="AK29" s="16">
        <f t="shared" si="49"/>
        <v>0.1000000000000001</v>
      </c>
      <c r="AL29" s="16">
        <f t="shared" si="49"/>
        <v>0.10000000000000012</v>
      </c>
    </row>
    <row r="30" spans="3:127" x14ac:dyDescent="0.25">
      <c r="C30" s="3" t="s">
        <v>41</v>
      </c>
      <c r="D30" s="7"/>
      <c r="E30" s="7"/>
      <c r="F30" s="7"/>
      <c r="G30" s="7"/>
      <c r="H30" s="16">
        <f t="shared" si="45"/>
        <v>0.32126696832579188</v>
      </c>
      <c r="I30" s="16">
        <f t="shared" si="45"/>
        <v>0.55000000000000004</v>
      </c>
      <c r="J30" s="16">
        <f>(J7-F7)/F7</f>
        <v>0.37404580152671757</v>
      </c>
      <c r="K30" s="16">
        <f>(K7-G7)/G7</f>
        <v>0.54035087719298247</v>
      </c>
      <c r="L30" s="16">
        <f t="shared" si="45"/>
        <v>0.3458904109589041</v>
      </c>
      <c r="M30" s="16">
        <f t="shared" si="45"/>
        <v>0.1906158357771261</v>
      </c>
      <c r="N30" s="16">
        <f t="shared" si="48"/>
        <v>0.17222222222222222</v>
      </c>
      <c r="O30" s="16">
        <f t="shared" si="45"/>
        <v>0.17084282460136674</v>
      </c>
      <c r="P30" s="15"/>
      <c r="W30" s="16"/>
      <c r="X30" s="16"/>
      <c r="Y30" s="16"/>
      <c r="Z30" s="16">
        <f t="shared" si="49"/>
        <v>0.44939271255060731</v>
      </c>
      <c r="AA30" s="16">
        <f t="shared" si="49"/>
        <v>0.21159217877094971</v>
      </c>
      <c r="AB30" s="15">
        <f t="shared" si="49"/>
        <v>0.2</v>
      </c>
      <c r="AC30" s="16">
        <f t="shared" si="49"/>
        <v>0.20000000000000004</v>
      </c>
      <c r="AD30" s="16">
        <f t="shared" si="49"/>
        <v>0.19999999999999993</v>
      </c>
      <c r="AE30" s="16">
        <f t="shared" si="49"/>
        <v>0.2</v>
      </c>
      <c r="AF30" s="16">
        <f t="shared" si="49"/>
        <v>0.20000000000000004</v>
      </c>
      <c r="AG30" s="16">
        <f t="shared" si="49"/>
        <v>0.2</v>
      </c>
      <c r="AH30" s="16">
        <f t="shared" si="49"/>
        <v>0.20000000000000004</v>
      </c>
      <c r="AI30" s="16">
        <f t="shared" si="49"/>
        <v>0.19999999999999993</v>
      </c>
      <c r="AJ30" s="16">
        <f t="shared" si="49"/>
        <v>0.1999999999999999</v>
      </c>
      <c r="AK30" s="16">
        <f t="shared" si="49"/>
        <v>0.19999999999999987</v>
      </c>
      <c r="AL30" s="16">
        <f t="shared" si="49"/>
        <v>0.19999999999999996</v>
      </c>
    </row>
    <row r="31" spans="3:127" x14ac:dyDescent="0.25">
      <c r="O31" s="7"/>
    </row>
    <row r="32" spans="3:127" x14ac:dyDescent="0.25">
      <c r="C32" s="3" t="s">
        <v>25</v>
      </c>
      <c r="D32" s="7">
        <v>49903</v>
      </c>
      <c r="E32" s="7">
        <v>53788</v>
      </c>
      <c r="F32" s="7">
        <v>54127</v>
      </c>
      <c r="G32" s="7">
        <v>63256</v>
      </c>
      <c r="H32" s="7">
        <v>66927</v>
      </c>
      <c r="I32" s="7">
        <v>68000</v>
      </c>
      <c r="J32" s="7">
        <v>69000</v>
      </c>
      <c r="K32" s="7">
        <v>88600</v>
      </c>
      <c r="L32" s="7">
        <v>90204</v>
      </c>
      <c r="M32" s="7">
        <v>95561</v>
      </c>
      <c r="N32" s="7">
        <v>96865</v>
      </c>
      <c r="O32" s="7">
        <v>127893</v>
      </c>
      <c r="P32" s="6">
        <v>133975</v>
      </c>
    </row>
    <row r="33" spans="3:16" x14ac:dyDescent="0.25">
      <c r="C33" s="3" t="s">
        <v>26</v>
      </c>
      <c r="D33" s="7">
        <v>7503</v>
      </c>
      <c r="E33" s="7">
        <v>10945</v>
      </c>
      <c r="F33" s="7">
        <v>7535</v>
      </c>
      <c r="G33" s="7">
        <v>19166</v>
      </c>
      <c r="H33" s="7">
        <v>12089</v>
      </c>
      <c r="I33" s="7">
        <v>10512</v>
      </c>
      <c r="J33" s="7">
        <v>11339</v>
      </c>
      <c r="K33" s="7">
        <v>31461</v>
      </c>
      <c r="L33" s="7">
        <v>12746</v>
      </c>
      <c r="M33" s="7">
        <v>17278</v>
      </c>
      <c r="N33" s="7">
        <v>12951</v>
      </c>
      <c r="O33" s="7">
        <v>44834</v>
      </c>
      <c r="P33" s="6">
        <v>20739</v>
      </c>
    </row>
    <row r="34" spans="3:16" x14ac:dyDescent="0.25">
      <c r="O34" s="7"/>
    </row>
    <row r="35" spans="3:16" x14ac:dyDescent="0.25">
      <c r="C35" s="4" t="s">
        <v>43</v>
      </c>
      <c r="O35" s="7"/>
    </row>
    <row r="36" spans="3:16" x14ac:dyDescent="0.25">
      <c r="C36" s="3" t="s">
        <v>44</v>
      </c>
      <c r="D36" s="7">
        <v>3913</v>
      </c>
      <c r="E36" s="7">
        <v>4012</v>
      </c>
      <c r="F36" s="7">
        <v>4178</v>
      </c>
      <c r="G36" s="7">
        <v>4107</v>
      </c>
      <c r="H36" s="7">
        <v>4417</v>
      </c>
      <c r="I36" s="7">
        <v>4793</v>
      </c>
      <c r="J36" s="7">
        <v>5218</v>
      </c>
      <c r="K36" s="7">
        <v>5588</v>
      </c>
      <c r="L36" s="7">
        <v>5955</v>
      </c>
      <c r="M36" s="7">
        <v>6261</v>
      </c>
      <c r="N36" s="7">
        <v>6482</v>
      </c>
      <c r="O36" s="7">
        <v>6804</v>
      </c>
      <c r="P36" s="6">
        <v>7020</v>
      </c>
    </row>
    <row r="37" spans="3:16" x14ac:dyDescent="0.25">
      <c r="C37" s="3" t="s">
        <v>45</v>
      </c>
      <c r="D37" s="7">
        <v>1689</v>
      </c>
      <c r="E37" s="7">
        <v>1837</v>
      </c>
      <c r="F37" s="7">
        <v>1766</v>
      </c>
      <c r="G37" s="7">
        <v>1743</v>
      </c>
      <c r="H37" s="7">
        <v>1815</v>
      </c>
      <c r="I37" s="7">
        <v>1899</v>
      </c>
      <c r="J37" s="7">
        <v>1776</v>
      </c>
      <c r="K37" s="7">
        <v>1668</v>
      </c>
      <c r="L37" s="7">
        <v>1879</v>
      </c>
      <c r="M37" s="7">
        <v>1889</v>
      </c>
      <c r="N37" s="7">
        <v>1998</v>
      </c>
      <c r="O37" s="7">
        <v>1959</v>
      </c>
      <c r="P37" s="6">
        <v>2429</v>
      </c>
    </row>
    <row r="38" spans="3:16" x14ac:dyDescent="0.25">
      <c r="C38" s="3" t="s">
        <v>46</v>
      </c>
      <c r="D38" s="7">
        <v>5027</v>
      </c>
      <c r="E38" s="7">
        <v>5112</v>
      </c>
      <c r="F38" s="7">
        <v>5594</v>
      </c>
      <c r="G38" s="7">
        <v>5781</v>
      </c>
      <c r="H38" s="7">
        <v>5785</v>
      </c>
      <c r="I38" s="7">
        <v>5999</v>
      </c>
      <c r="J38" s="7">
        <v>5992</v>
      </c>
      <c r="K38" s="7">
        <v>5952</v>
      </c>
      <c r="L38" s="7">
        <v>5936</v>
      </c>
      <c r="M38" s="7">
        <v>5923</v>
      </c>
      <c r="N38" s="7">
        <v>5945</v>
      </c>
      <c r="O38" s="7">
        <v>5957</v>
      </c>
      <c r="P38" s="6">
        <v>6367</v>
      </c>
    </row>
    <row r="39" spans="3:16" x14ac:dyDescent="0.25">
      <c r="C39" s="3" t="s">
        <v>47</v>
      </c>
      <c r="D39" s="7">
        <v>3606</v>
      </c>
      <c r="E39" s="7">
        <v>3568</v>
      </c>
      <c r="F39" s="7">
        <v>3568</v>
      </c>
      <c r="G39" s="7">
        <v>3868</v>
      </c>
      <c r="H39" s="7">
        <v>4006</v>
      </c>
      <c r="I39" s="7">
        <v>4054</v>
      </c>
      <c r="J39" s="7">
        <v>4125</v>
      </c>
      <c r="K39" s="7">
        <v>4259</v>
      </c>
      <c r="L39" s="7">
        <v>4386</v>
      </c>
      <c r="M39" s="7">
        <v>4340</v>
      </c>
      <c r="N39" s="7">
        <v>4386</v>
      </c>
      <c r="O39" s="7">
        <v>4634</v>
      </c>
      <c r="P39" s="6">
        <v>4616</v>
      </c>
    </row>
    <row r="40" spans="3:16" x14ac:dyDescent="0.25">
      <c r="C40" s="3" t="s">
        <v>48</v>
      </c>
      <c r="D40" s="7">
        <v>435</v>
      </c>
      <c r="E40" s="7">
        <v>471</v>
      </c>
      <c r="F40" s="7">
        <v>912</v>
      </c>
      <c r="G40" s="7">
        <v>819</v>
      </c>
      <c r="H40" s="7">
        <v>820</v>
      </c>
      <c r="I40" s="7">
        <v>769</v>
      </c>
      <c r="J40" s="7">
        <v>878</v>
      </c>
      <c r="K40" s="7">
        <v>871</v>
      </c>
      <c r="L40" s="7">
        <v>901</v>
      </c>
      <c r="M40" s="7">
        <v>905</v>
      </c>
      <c r="N40" s="7">
        <v>779</v>
      </c>
      <c r="O40" s="7">
        <v>887</v>
      </c>
      <c r="P40" s="6">
        <v>896</v>
      </c>
    </row>
    <row r="41" spans="3:16" x14ac:dyDescent="0.25">
      <c r="C41" s="3" t="s">
        <v>49</v>
      </c>
      <c r="D41" s="7">
        <v>4463</v>
      </c>
      <c r="E41" s="7">
        <v>4663</v>
      </c>
      <c r="F41" s="7">
        <v>4922</v>
      </c>
      <c r="G41" s="7">
        <v>5493</v>
      </c>
      <c r="H41" s="7">
        <v>5803</v>
      </c>
      <c r="I41" s="7">
        <v>5958</v>
      </c>
      <c r="J41" s="7">
        <v>6225</v>
      </c>
      <c r="K41" s="7">
        <v>6848</v>
      </c>
      <c r="L41" s="7">
        <v>6971</v>
      </c>
      <c r="M41" s="7">
        <v>7003</v>
      </c>
      <c r="N41" s="7">
        <v>7119</v>
      </c>
      <c r="O41" s="7">
        <v>7274</v>
      </c>
      <c r="P41" s="6">
        <v>7252</v>
      </c>
    </row>
    <row r="42" spans="3:16" x14ac:dyDescent="0.25">
      <c r="C42" s="3" t="s">
        <v>50</v>
      </c>
      <c r="D42" s="7">
        <v>4857</v>
      </c>
      <c r="E42" s="7">
        <v>5697</v>
      </c>
      <c r="F42" s="7">
        <v>6180</v>
      </c>
      <c r="G42" s="7">
        <v>6957</v>
      </c>
      <c r="H42" s="7">
        <v>6921</v>
      </c>
      <c r="I42" s="7">
        <v>7297</v>
      </c>
      <c r="J42" s="7">
        <v>7947</v>
      </c>
      <c r="K42" s="7">
        <v>8722</v>
      </c>
      <c r="L42" s="7">
        <v>8420</v>
      </c>
      <c r="M42" s="7">
        <v>8546</v>
      </c>
      <c r="N42" s="7">
        <v>8298</v>
      </c>
      <c r="O42" s="7">
        <v>10662</v>
      </c>
      <c r="P42" s="6">
        <v>8657</v>
      </c>
    </row>
    <row r="43" spans="3:16" x14ac:dyDescent="0.25">
      <c r="C43" s="3" t="s">
        <v>51</v>
      </c>
      <c r="D43" s="7">
        <v>6590</v>
      </c>
      <c r="E43" s="7">
        <v>7514</v>
      </c>
      <c r="F43" s="7">
        <v>8488</v>
      </c>
      <c r="G43" s="7">
        <v>8031</v>
      </c>
      <c r="H43" s="7">
        <v>9247</v>
      </c>
      <c r="I43" s="7">
        <v>10594</v>
      </c>
      <c r="J43" s="7">
        <v>10290</v>
      </c>
      <c r="K43" s="7">
        <v>10500</v>
      </c>
      <c r="L43" s="7">
        <v>12244</v>
      </c>
      <c r="M43" s="7">
        <v>12297</v>
      </c>
      <c r="N43" s="7">
        <v>13267</v>
      </c>
      <c r="O43" s="7">
        <v>13435</v>
      </c>
      <c r="P43" s="6">
        <v>14519</v>
      </c>
    </row>
    <row r="44" spans="3:16" x14ac:dyDescent="0.25">
      <c r="C44" s="3" t="s">
        <v>52</v>
      </c>
      <c r="D44" s="7">
        <v>872</v>
      </c>
      <c r="E44" s="7">
        <v>628</v>
      </c>
      <c r="F44" s="7">
        <v>1263</v>
      </c>
      <c r="G44" s="7">
        <v>1596</v>
      </c>
      <c r="H44" s="7">
        <v>1247</v>
      </c>
      <c r="I44" s="7">
        <v>1686</v>
      </c>
      <c r="J44" s="7">
        <v>1282</v>
      </c>
      <c r="K44" s="7">
        <v>1887</v>
      </c>
      <c r="L44" s="7">
        <v>1336</v>
      </c>
      <c r="M44" s="7">
        <v>1391</v>
      </c>
      <c r="N44" s="7">
        <v>1321</v>
      </c>
      <c r="O44" s="7">
        <v>2356</v>
      </c>
      <c r="P44" s="6">
        <v>2050</v>
      </c>
    </row>
    <row r="45" spans="3:16" x14ac:dyDescent="0.25">
      <c r="C45" s="3" t="s">
        <v>53</v>
      </c>
      <c r="D45" s="7">
        <v>628</v>
      </c>
      <c r="E45" s="7">
        <v>747</v>
      </c>
      <c r="F45" s="7">
        <v>750</v>
      </c>
      <c r="G45" s="7">
        <v>896</v>
      </c>
      <c r="H45" s="7">
        <v>669</v>
      </c>
      <c r="I45" s="7">
        <v>838</v>
      </c>
      <c r="J45" s="7">
        <v>659</v>
      </c>
      <c r="K45" s="7">
        <v>951</v>
      </c>
      <c r="L45" s="7">
        <v>1052</v>
      </c>
      <c r="M45" s="7">
        <v>1048</v>
      </c>
      <c r="N45" s="7">
        <v>1155</v>
      </c>
      <c r="O45" s="7">
        <v>1154</v>
      </c>
      <c r="P45" s="6">
        <v>1262</v>
      </c>
    </row>
    <row r="46" spans="3:16" x14ac:dyDescent="0.25">
      <c r="C46" s="3" t="s">
        <v>54</v>
      </c>
      <c r="D46" s="7">
        <v>7357</v>
      </c>
      <c r="E46" s="7">
        <v>3536</v>
      </c>
      <c r="F46" s="7">
        <v>2225</v>
      </c>
      <c r="G46" s="7">
        <v>3932</v>
      </c>
      <c r="H46" s="7">
        <v>3639</v>
      </c>
      <c r="I46" s="7">
        <v>2757</v>
      </c>
      <c r="J46" s="7">
        <v>2112</v>
      </c>
      <c r="K46" s="7">
        <v>5975</v>
      </c>
      <c r="L46" s="7">
        <v>6581</v>
      </c>
      <c r="M46" s="7">
        <v>5938</v>
      </c>
      <c r="N46" s="7">
        <v>7126</v>
      </c>
      <c r="O46" s="7">
        <v>14293</v>
      </c>
      <c r="P46" s="6">
        <v>16460</v>
      </c>
    </row>
    <row r="47" spans="3:16" x14ac:dyDescent="0.25">
      <c r="C47" s="4" t="s">
        <v>55</v>
      </c>
      <c r="D47" s="8">
        <f t="shared" ref="D47:M47" si="51">SUM(D36:D46)</f>
        <v>39437</v>
      </c>
      <c r="E47" s="8">
        <f t="shared" si="51"/>
        <v>37785</v>
      </c>
      <c r="F47" s="8">
        <f t="shared" si="51"/>
        <v>39846</v>
      </c>
      <c r="G47" s="8">
        <f t="shared" si="51"/>
        <v>43223</v>
      </c>
      <c r="H47" s="8">
        <f t="shared" si="51"/>
        <v>44369</v>
      </c>
      <c r="I47" s="8">
        <f t="shared" si="51"/>
        <v>46644</v>
      </c>
      <c r="J47" s="8">
        <f t="shared" si="51"/>
        <v>46504</v>
      </c>
      <c r="K47" s="8">
        <f t="shared" si="51"/>
        <v>53221</v>
      </c>
      <c r="L47" s="8">
        <f t="shared" si="51"/>
        <v>55661</v>
      </c>
      <c r="M47" s="8">
        <f t="shared" si="51"/>
        <v>55541</v>
      </c>
      <c r="N47" s="8">
        <f>SUM(N36:N46)</f>
        <v>57876</v>
      </c>
      <c r="O47" s="8">
        <f>SUM(O36:O46)</f>
        <v>69415</v>
      </c>
      <c r="P47" s="9">
        <f>SUM(P36:P46)</f>
        <v>71528</v>
      </c>
    </row>
    <row r="48" spans="3:16" x14ac:dyDescent="0.25">
      <c r="C48" s="3" t="s">
        <v>56</v>
      </c>
      <c r="D48" s="7">
        <v>5932</v>
      </c>
      <c r="E48" s="7">
        <v>5932</v>
      </c>
      <c r="F48" s="7">
        <v>5930</v>
      </c>
      <c r="G48" s="7">
        <v>5930</v>
      </c>
      <c r="H48" s="7">
        <v>5930</v>
      </c>
      <c r="I48" s="7">
        <v>5928</v>
      </c>
      <c r="J48" s="7">
        <v>5928</v>
      </c>
      <c r="K48" s="7">
        <v>5928</v>
      </c>
      <c r="L48" s="7">
        <v>5928</v>
      </c>
      <c r="M48" s="7">
        <v>5928</v>
      </c>
      <c r="N48" s="7">
        <v>5928</v>
      </c>
      <c r="O48" s="7">
        <v>5928</v>
      </c>
      <c r="P48" s="6">
        <v>5928</v>
      </c>
    </row>
    <row r="49" spans="3:16" x14ac:dyDescent="0.25">
      <c r="C49" s="3" t="s">
        <v>57</v>
      </c>
      <c r="D49" s="7">
        <v>7360</v>
      </c>
      <c r="E49" s="7">
        <v>5186</v>
      </c>
      <c r="F49" s="7">
        <v>5760</v>
      </c>
      <c r="G49" s="7">
        <v>6911</v>
      </c>
      <c r="H49" s="7">
        <v>7623</v>
      </c>
      <c r="I49" s="7">
        <v>6707</v>
      </c>
      <c r="J49" s="7">
        <v>7745</v>
      </c>
      <c r="K49" s="7">
        <v>8855</v>
      </c>
      <c r="L49" s="7">
        <v>9964</v>
      </c>
      <c r="M49" s="7">
        <v>8676</v>
      </c>
      <c r="N49" s="7">
        <v>9952</v>
      </c>
      <c r="O49" s="7">
        <v>11377</v>
      </c>
      <c r="P49" s="6">
        <v>13653</v>
      </c>
    </row>
    <row r="50" spans="3:16" x14ac:dyDescent="0.25">
      <c r="C50" s="3" t="s">
        <v>69</v>
      </c>
      <c r="D50" s="7">
        <v>350</v>
      </c>
      <c r="E50" s="7">
        <v>544</v>
      </c>
      <c r="F50" s="7">
        <v>518</v>
      </c>
      <c r="G50" s="7">
        <v>693</v>
      </c>
      <c r="H50" s="7">
        <v>856</v>
      </c>
      <c r="I50" s="7">
        <v>1278</v>
      </c>
      <c r="J50" s="7">
        <v>1223</v>
      </c>
      <c r="K50" s="7">
        <v>1185</v>
      </c>
      <c r="L50" s="7">
        <v>1396</v>
      </c>
      <c r="M50" s="7">
        <v>1188</v>
      </c>
      <c r="N50" s="7">
        <v>1337</v>
      </c>
      <c r="O50" s="7">
        <v>1372</v>
      </c>
      <c r="P50" s="6">
        <v>1087</v>
      </c>
    </row>
    <row r="51" spans="3:16" x14ac:dyDescent="0.25">
      <c r="C51" s="3" t="s">
        <v>70</v>
      </c>
      <c r="D51" s="7">
        <v>168</v>
      </c>
      <c r="E51" s="7">
        <v>174</v>
      </c>
      <c r="F51" s="7">
        <v>196</v>
      </c>
      <c r="G51" s="7">
        <v>209</v>
      </c>
      <c r="H51" s="7">
        <v>241</v>
      </c>
      <c r="I51" s="7">
        <v>527</v>
      </c>
      <c r="J51" s="7">
        <v>525</v>
      </c>
      <c r="K51" s="7">
        <v>497</v>
      </c>
      <c r="L51" s="7">
        <v>504</v>
      </c>
      <c r="M51" s="7">
        <v>504</v>
      </c>
      <c r="N51" s="7">
        <v>572</v>
      </c>
      <c r="O51" s="7">
        <v>593</v>
      </c>
      <c r="P51" s="6">
        <v>587</v>
      </c>
    </row>
    <row r="52" spans="3:16" x14ac:dyDescent="0.25">
      <c r="C52" s="17" t="s">
        <v>58</v>
      </c>
      <c r="D52" s="18">
        <f t="shared" ref="D52:M52" si="52">SUM(D48:D51)</f>
        <v>13810</v>
      </c>
      <c r="E52" s="18">
        <f t="shared" si="52"/>
        <v>11836</v>
      </c>
      <c r="F52" s="18">
        <f t="shared" si="52"/>
        <v>12404</v>
      </c>
      <c r="G52" s="18">
        <f t="shared" si="52"/>
        <v>13743</v>
      </c>
      <c r="H52" s="18">
        <f t="shared" si="52"/>
        <v>14650</v>
      </c>
      <c r="I52" s="18">
        <f t="shared" si="52"/>
        <v>14440</v>
      </c>
      <c r="J52" s="18">
        <f t="shared" si="52"/>
        <v>15421</v>
      </c>
      <c r="K52" s="18">
        <f t="shared" si="52"/>
        <v>16465</v>
      </c>
      <c r="L52" s="18">
        <f t="shared" si="52"/>
        <v>17792</v>
      </c>
      <c r="M52" s="18">
        <f t="shared" si="52"/>
        <v>16296</v>
      </c>
      <c r="N52" s="18">
        <f>SUM(N48:N51)</f>
        <v>17789</v>
      </c>
      <c r="O52" s="18">
        <f>SUM(O48:O51)</f>
        <v>19270</v>
      </c>
      <c r="P52" s="19">
        <f>SUM(P48:P51)</f>
        <v>21255</v>
      </c>
    </row>
    <row r="53" spans="3:16" x14ac:dyDescent="0.25">
      <c r="C53" s="3" t="s">
        <v>59</v>
      </c>
      <c r="D53" s="7">
        <v>2450</v>
      </c>
      <c r="E53" s="7">
        <v>2450</v>
      </c>
      <c r="F53" s="7">
        <v>2450</v>
      </c>
      <c r="G53" s="7">
        <v>2003</v>
      </c>
      <c r="H53" s="7">
        <v>2000</v>
      </c>
      <c r="I53" s="7">
        <v>3010</v>
      </c>
      <c r="J53" s="7">
        <v>2500</v>
      </c>
      <c r="K53" s="7">
        <v>2500</v>
      </c>
      <c r="L53" s="7">
        <v>2500</v>
      </c>
      <c r="M53" s="7">
        <v>2500</v>
      </c>
      <c r="N53" s="7">
        <v>2500</v>
      </c>
      <c r="O53" s="7">
        <v>2500</v>
      </c>
      <c r="P53" s="6">
        <v>2000</v>
      </c>
    </row>
    <row r="54" spans="3:16" x14ac:dyDescent="0.25">
      <c r="C54" s="3" t="s">
        <v>60</v>
      </c>
      <c r="D54" s="7">
        <v>1458</v>
      </c>
      <c r="E54" s="7">
        <v>1609</v>
      </c>
      <c r="F54" s="7">
        <v>1558</v>
      </c>
      <c r="G54" s="7">
        <v>1526</v>
      </c>
      <c r="H54" s="7">
        <v>1588</v>
      </c>
      <c r="I54" s="7">
        <v>1665</v>
      </c>
      <c r="J54" s="7">
        <v>1559</v>
      </c>
      <c r="K54" s="7">
        <v>1457</v>
      </c>
      <c r="L54" s="7">
        <v>1678</v>
      </c>
      <c r="M54" s="7">
        <v>1690</v>
      </c>
      <c r="N54" s="7">
        <v>1794</v>
      </c>
      <c r="O54" s="7">
        <v>1762</v>
      </c>
      <c r="P54" s="6">
        <v>2194</v>
      </c>
    </row>
    <row r="55" spans="3:16" x14ac:dyDescent="0.25">
      <c r="C55" s="3" t="s">
        <v>61</v>
      </c>
      <c r="D55" s="7">
        <v>2648</v>
      </c>
      <c r="E55" s="7">
        <v>2752</v>
      </c>
      <c r="F55" s="7">
        <v>2408</v>
      </c>
      <c r="G55" s="7">
        <v>1855</v>
      </c>
      <c r="H55" s="7">
        <v>1745</v>
      </c>
      <c r="I55" s="7">
        <v>1677</v>
      </c>
      <c r="J55" s="7">
        <v>1760</v>
      </c>
      <c r="K55" s="7">
        <v>2111</v>
      </c>
      <c r="L55" s="7">
        <v>2091</v>
      </c>
      <c r="M55" s="7">
        <v>2076</v>
      </c>
      <c r="N55" s="7">
        <v>2073</v>
      </c>
      <c r="O55" s="7">
        <v>2187</v>
      </c>
      <c r="P55" s="6">
        <v>2264</v>
      </c>
    </row>
    <row r="56" spans="3:16" x14ac:dyDescent="0.25">
      <c r="C56" s="3" t="s">
        <v>62</v>
      </c>
      <c r="D56" s="7">
        <v>11752</v>
      </c>
      <c r="E56" s="7">
        <v>10885</v>
      </c>
      <c r="F56" s="7">
        <v>11080</v>
      </c>
      <c r="G56" s="7">
        <v>14159</v>
      </c>
      <c r="H56" s="7">
        <v>12712</v>
      </c>
      <c r="I56" s="7">
        <v>12881</v>
      </c>
      <c r="J56" s="7">
        <v>13182</v>
      </c>
      <c r="K56" s="7">
        <v>19825</v>
      </c>
      <c r="L56" s="7">
        <v>19598</v>
      </c>
      <c r="M56" s="7">
        <v>20999</v>
      </c>
      <c r="N56" s="7">
        <v>21509</v>
      </c>
      <c r="O56" s="7">
        <v>29158</v>
      </c>
      <c r="P56" s="6">
        <v>29919</v>
      </c>
    </row>
    <row r="57" spans="3:16" x14ac:dyDescent="0.25">
      <c r="C57" s="3" t="s">
        <v>52</v>
      </c>
      <c r="D57" s="7">
        <v>495</v>
      </c>
      <c r="E57" s="7">
        <v>1503</v>
      </c>
      <c r="F57" s="7">
        <v>3164</v>
      </c>
      <c r="G57" s="7">
        <v>1559</v>
      </c>
      <c r="H57" s="7">
        <v>2771</v>
      </c>
      <c r="I57" s="7">
        <v>3636</v>
      </c>
      <c r="J57" s="7">
        <v>2433</v>
      </c>
      <c r="K57" s="7">
        <v>1929</v>
      </c>
      <c r="L57" s="7">
        <v>2697</v>
      </c>
      <c r="M57" s="7">
        <v>1590</v>
      </c>
      <c r="N57" s="7">
        <v>2041</v>
      </c>
      <c r="O57" s="7">
        <v>4100</v>
      </c>
      <c r="P57" s="6">
        <v>2221</v>
      </c>
    </row>
    <row r="58" spans="3:16" x14ac:dyDescent="0.25">
      <c r="C58" s="3" t="s">
        <v>63</v>
      </c>
      <c r="D58" s="7">
        <v>0</v>
      </c>
      <c r="E58" s="3">
        <v>0</v>
      </c>
      <c r="F58" s="7">
        <v>0</v>
      </c>
      <c r="G58" s="7">
        <v>450</v>
      </c>
      <c r="H58" s="7">
        <v>450</v>
      </c>
      <c r="I58" s="7">
        <v>450</v>
      </c>
      <c r="J58" s="7">
        <v>1702</v>
      </c>
      <c r="K58" s="7">
        <v>500</v>
      </c>
      <c r="L58" s="7">
        <v>500</v>
      </c>
      <c r="M58" s="7">
        <v>0</v>
      </c>
      <c r="N58" s="7">
        <v>0</v>
      </c>
      <c r="O58" s="7">
        <v>0</v>
      </c>
      <c r="P58" s="6">
        <v>500</v>
      </c>
    </row>
    <row r="59" spans="3:16" x14ac:dyDescent="0.25">
      <c r="C59" s="3" t="s">
        <v>64</v>
      </c>
      <c r="D59" s="7">
        <v>402</v>
      </c>
      <c r="E59" s="7">
        <v>409</v>
      </c>
      <c r="F59" s="7">
        <v>405</v>
      </c>
      <c r="G59" s="7">
        <v>419</v>
      </c>
      <c r="H59" s="7">
        <v>438</v>
      </c>
      <c r="I59" s="7">
        <v>454</v>
      </c>
      <c r="J59" s="7">
        <v>439</v>
      </c>
      <c r="K59" s="7">
        <v>433</v>
      </c>
      <c r="L59" s="7">
        <v>428</v>
      </c>
      <c r="M59" s="7">
        <v>422</v>
      </c>
      <c r="N59" s="7">
        <v>430</v>
      </c>
      <c r="O59" s="7">
        <v>427</v>
      </c>
      <c r="P59" s="6">
        <v>464</v>
      </c>
    </row>
    <row r="60" spans="3:16" x14ac:dyDescent="0.25">
      <c r="C60" s="3" t="s">
        <v>65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3">
        <v>0</v>
      </c>
      <c r="K60" s="3">
        <v>0</v>
      </c>
      <c r="L60" s="7">
        <v>0</v>
      </c>
      <c r="M60" s="3">
        <v>1276</v>
      </c>
      <c r="N60" s="7">
        <v>1231</v>
      </c>
      <c r="O60" s="7">
        <v>0</v>
      </c>
      <c r="P60" s="6">
        <v>0</v>
      </c>
    </row>
    <row r="61" spans="3:16" x14ac:dyDescent="0.25">
      <c r="C61" s="3" t="s">
        <v>66</v>
      </c>
      <c r="D61" s="7">
        <v>6422</v>
      </c>
      <c r="E61" s="7">
        <v>6342</v>
      </c>
      <c r="F61" s="7">
        <v>6375</v>
      </c>
      <c r="G61" s="7">
        <v>7511</v>
      </c>
      <c r="H61" s="7">
        <v>8013</v>
      </c>
      <c r="I61" s="7">
        <v>8430</v>
      </c>
      <c r="J61" s="7">
        <v>7507</v>
      </c>
      <c r="K61" s="7">
        <v>8001</v>
      </c>
      <c r="L61" s="7">
        <v>8376</v>
      </c>
      <c r="M61" s="7">
        <v>8691</v>
      </c>
      <c r="N61" s="7">
        <v>8508</v>
      </c>
      <c r="O61" s="7">
        <v>10012</v>
      </c>
      <c r="P61" s="6">
        <v>10712</v>
      </c>
    </row>
    <row r="62" spans="3:16" x14ac:dyDescent="0.25">
      <c r="C62" s="17" t="s">
        <v>67</v>
      </c>
      <c r="D62" s="18">
        <f t="shared" ref="D62:M62" si="53">SUM(D53:D61)</f>
        <v>25627</v>
      </c>
      <c r="E62" s="18">
        <f t="shared" si="53"/>
        <v>25950</v>
      </c>
      <c r="F62" s="18">
        <f t="shared" si="53"/>
        <v>27440</v>
      </c>
      <c r="G62" s="18">
        <f t="shared" si="53"/>
        <v>29482</v>
      </c>
      <c r="H62" s="18">
        <f t="shared" si="53"/>
        <v>29717</v>
      </c>
      <c r="I62" s="18">
        <f t="shared" si="53"/>
        <v>32203</v>
      </c>
      <c r="J62" s="18">
        <f>SUM(J53:J61)</f>
        <v>31082</v>
      </c>
      <c r="K62" s="18">
        <f>SUM(K53:K61)</f>
        <v>36756</v>
      </c>
      <c r="L62" s="18">
        <f t="shared" si="53"/>
        <v>37868</v>
      </c>
      <c r="M62" s="18">
        <f t="shared" si="53"/>
        <v>39244</v>
      </c>
      <c r="N62" s="18">
        <f>SUM(N53:N61)</f>
        <v>40086</v>
      </c>
      <c r="O62" s="18">
        <f>SUM(O53:O61)</f>
        <v>50146</v>
      </c>
      <c r="P62" s="19">
        <f>SUM(P53:P61)</f>
        <v>50274</v>
      </c>
    </row>
    <row r="63" spans="3:16" x14ac:dyDescent="0.25">
      <c r="C63" s="4" t="s">
        <v>68</v>
      </c>
      <c r="D63" s="8">
        <f t="shared" ref="D63:M63" si="54">D62+D52</f>
        <v>39437</v>
      </c>
      <c r="E63" s="8">
        <f t="shared" si="54"/>
        <v>37786</v>
      </c>
      <c r="F63" s="8">
        <f t="shared" si="54"/>
        <v>39844</v>
      </c>
      <c r="G63" s="8">
        <f t="shared" si="54"/>
        <v>43225</v>
      </c>
      <c r="H63" s="8">
        <f t="shared" si="54"/>
        <v>44367</v>
      </c>
      <c r="I63" s="8">
        <f t="shared" si="54"/>
        <v>46643</v>
      </c>
      <c r="J63" s="8">
        <f t="shared" si="54"/>
        <v>46503</v>
      </c>
      <c r="K63" s="8">
        <f t="shared" si="54"/>
        <v>53221</v>
      </c>
      <c r="L63" s="8">
        <f t="shared" si="54"/>
        <v>55660</v>
      </c>
      <c r="M63" s="8">
        <f t="shared" si="54"/>
        <v>55540</v>
      </c>
      <c r="N63" s="8">
        <f>N62+N52</f>
        <v>57875</v>
      </c>
      <c r="O63" s="8">
        <f>O62+O52</f>
        <v>69416</v>
      </c>
      <c r="P63" s="9">
        <f>P62+P52</f>
        <v>71529</v>
      </c>
    </row>
    <row r="64" spans="3:16" x14ac:dyDescent="0.25"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3:28" x14ac:dyDescent="0.25">
      <c r="C65" s="4" t="s">
        <v>71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6"/>
    </row>
    <row r="66" spans="3:28" x14ac:dyDescent="0.25">
      <c r="C66" s="3" t="s">
        <v>112</v>
      </c>
      <c r="D66" s="7">
        <f t="shared" ref="D66:O66" si="55">D19</f>
        <v>399</v>
      </c>
      <c r="E66" s="7">
        <f t="shared" si="55"/>
        <v>535</v>
      </c>
      <c r="F66" s="7">
        <f t="shared" si="55"/>
        <v>893</v>
      </c>
      <c r="G66" s="7">
        <f t="shared" si="55"/>
        <v>981</v>
      </c>
      <c r="H66" s="7">
        <f t="shared" si="55"/>
        <v>771</v>
      </c>
      <c r="I66" s="7">
        <f t="shared" si="55"/>
        <v>778</v>
      </c>
      <c r="J66" s="7">
        <f t="shared" si="55"/>
        <v>1042</v>
      </c>
      <c r="K66" s="7">
        <f t="shared" si="55"/>
        <v>1124</v>
      </c>
      <c r="L66" s="7">
        <f t="shared" si="55"/>
        <v>1121</v>
      </c>
      <c r="M66" s="7">
        <f t="shared" si="55"/>
        <v>1180</v>
      </c>
      <c r="N66" s="7">
        <f t="shared" si="55"/>
        <v>1370</v>
      </c>
      <c r="O66" s="7">
        <f t="shared" si="55"/>
        <v>1472</v>
      </c>
      <c r="P66" s="6">
        <f>P19</f>
        <v>2276</v>
      </c>
      <c r="U66" s="7"/>
      <c r="V66" s="7">
        <f t="shared" ref="V66:AA66" si="56">V19</f>
        <v>717</v>
      </c>
      <c r="W66" s="7">
        <f t="shared" si="56"/>
        <v>1485</v>
      </c>
      <c r="X66" s="7">
        <f t="shared" si="56"/>
        <v>2290</v>
      </c>
      <c r="Y66" s="7">
        <f t="shared" si="56"/>
        <v>2808</v>
      </c>
      <c r="Z66" s="7">
        <f t="shared" si="56"/>
        <v>3715</v>
      </c>
      <c r="AA66" s="7">
        <f t="shared" si="56"/>
        <v>5143</v>
      </c>
      <c r="AB66" s="6">
        <f>AB19</f>
        <v>6607.3410000000022</v>
      </c>
    </row>
    <row r="67" spans="3:28" x14ac:dyDescent="0.25">
      <c r="C67" s="3" t="s">
        <v>113</v>
      </c>
      <c r="D67" s="7"/>
      <c r="E67" s="7"/>
      <c r="F67" s="7"/>
      <c r="G67" s="7">
        <v>981</v>
      </c>
      <c r="H67" s="7">
        <v>771</v>
      </c>
      <c r="I67" s="7">
        <v>778</v>
      </c>
      <c r="J67" s="7">
        <v>1043</v>
      </c>
      <c r="K67" s="7">
        <v>1125</v>
      </c>
      <c r="L67" s="7">
        <v>1123</v>
      </c>
      <c r="M67" s="7">
        <v>1180</v>
      </c>
      <c r="N67" s="7">
        <v>1370</v>
      </c>
      <c r="O67" s="7">
        <v>1472</v>
      </c>
      <c r="P67" s="6">
        <v>2275</v>
      </c>
      <c r="V67" s="7"/>
      <c r="W67" s="7"/>
      <c r="X67" s="7">
        <v>2290</v>
      </c>
      <c r="Y67" s="7">
        <v>2808</v>
      </c>
      <c r="Z67" s="7">
        <v>3715</v>
      </c>
      <c r="AA67" s="7">
        <v>5144</v>
      </c>
      <c r="AB67" s="6"/>
    </row>
    <row r="68" spans="3:28" x14ac:dyDescent="0.25">
      <c r="C68" s="3" t="s">
        <v>114</v>
      </c>
      <c r="D68" s="7"/>
      <c r="E68" s="7"/>
      <c r="F68" s="7"/>
      <c r="G68" s="7">
        <v>121</v>
      </c>
      <c r="H68" s="7">
        <v>118</v>
      </c>
      <c r="I68" s="7">
        <v>117</v>
      </c>
      <c r="J68" s="7">
        <v>119</v>
      </c>
      <c r="K68" s="7">
        <v>130</v>
      </c>
      <c r="L68" s="7">
        <v>130</v>
      </c>
      <c r="M68" s="7">
        <v>135</v>
      </c>
      <c r="N68" s="7">
        <v>147</v>
      </c>
      <c r="O68" s="7">
        <v>166</v>
      </c>
      <c r="P68" s="6">
        <v>158</v>
      </c>
      <c r="V68" s="7"/>
      <c r="W68" s="7"/>
      <c r="X68" s="7">
        <v>485</v>
      </c>
      <c r="Y68" s="7">
        <v>487</v>
      </c>
      <c r="Z68" s="7">
        <v>483</v>
      </c>
      <c r="AA68" s="7">
        <v>577</v>
      </c>
      <c r="AB68" s="6"/>
    </row>
    <row r="69" spans="3:28" x14ac:dyDescent="0.25">
      <c r="C69" s="3" t="s">
        <v>115</v>
      </c>
      <c r="D69" s="7"/>
      <c r="E69" s="7"/>
      <c r="F69" s="7"/>
      <c r="G69" s="7">
        <v>112</v>
      </c>
      <c r="H69" s="7">
        <v>114</v>
      </c>
      <c r="I69" s="7">
        <v>121</v>
      </c>
      <c r="J69" s="7">
        <v>130</v>
      </c>
      <c r="K69" s="7">
        <v>128</v>
      </c>
      <c r="L69" s="7">
        <v>119</v>
      </c>
      <c r="M69" s="7">
        <v>118</v>
      </c>
      <c r="N69" s="7">
        <v>123</v>
      </c>
      <c r="O69" s="7">
        <v>125</v>
      </c>
      <c r="P69" s="6">
        <v>118</v>
      </c>
      <c r="V69" s="7"/>
      <c r="W69" s="7"/>
      <c r="X69" s="7">
        <v>396</v>
      </c>
      <c r="Y69" s="7">
        <v>449</v>
      </c>
      <c r="Z69" s="7">
        <v>493</v>
      </c>
      <c r="AA69" s="7">
        <v>485</v>
      </c>
      <c r="AB69" s="6"/>
    </row>
    <row r="70" spans="3:28" x14ac:dyDescent="0.25">
      <c r="C70" s="3" t="s">
        <v>116</v>
      </c>
      <c r="D70" s="7"/>
      <c r="E70" s="7"/>
      <c r="F70" s="7"/>
      <c r="G70" s="7">
        <v>99</v>
      </c>
      <c r="H70" s="7">
        <v>105</v>
      </c>
      <c r="I70" s="7">
        <v>106</v>
      </c>
      <c r="J70" s="7">
        <v>108</v>
      </c>
      <c r="K70" s="7">
        <v>142</v>
      </c>
      <c r="L70" s="7">
        <v>109</v>
      </c>
      <c r="M70" s="7">
        <v>115</v>
      </c>
      <c r="N70" s="7">
        <v>109</v>
      </c>
      <c r="O70" s="7">
        <v>127</v>
      </c>
      <c r="P70" s="6">
        <v>124</v>
      </c>
      <c r="V70" s="7"/>
      <c r="W70" s="7"/>
      <c r="X70" s="7">
        <v>342</v>
      </c>
      <c r="Y70" s="7">
        <v>356</v>
      </c>
      <c r="Z70" s="7">
        <v>461</v>
      </c>
      <c r="AA70" s="7">
        <v>459</v>
      </c>
      <c r="AB70" s="6"/>
    </row>
    <row r="71" spans="3:28" x14ac:dyDescent="0.25">
      <c r="C71" s="3" t="s">
        <v>117</v>
      </c>
      <c r="D71" s="7"/>
      <c r="E71" s="7"/>
      <c r="F71" s="7"/>
      <c r="G71" s="7">
        <v>-174</v>
      </c>
      <c r="H71" s="7">
        <v>-12</v>
      </c>
      <c r="I71" s="7">
        <v>-21</v>
      </c>
      <c r="J71" s="7">
        <v>-148</v>
      </c>
      <c r="K71" s="7">
        <v>-177</v>
      </c>
      <c r="L71" s="7">
        <v>-37</v>
      </c>
      <c r="M71" s="7">
        <v>-97</v>
      </c>
      <c r="N71" s="7">
        <v>-32</v>
      </c>
      <c r="O71" s="7">
        <v>-276</v>
      </c>
      <c r="P71" s="6">
        <v>-14</v>
      </c>
      <c r="V71" s="7"/>
      <c r="W71" s="7"/>
      <c r="X71" s="7">
        <v>-244</v>
      </c>
      <c r="Y71" s="7">
        <v>-387</v>
      </c>
      <c r="Z71" s="7">
        <v>-358</v>
      </c>
      <c r="AA71" s="7">
        <v>-441</v>
      </c>
      <c r="AB71" s="6"/>
    </row>
    <row r="72" spans="3:28" x14ac:dyDescent="0.25">
      <c r="C72" s="3" t="s">
        <v>118</v>
      </c>
      <c r="D72" s="7"/>
      <c r="E72" s="7"/>
      <c r="F72" s="7"/>
      <c r="G72" s="7">
        <v>47</v>
      </c>
      <c r="H72" s="7">
        <v>43</v>
      </c>
      <c r="I72" s="7">
        <v>74</v>
      </c>
      <c r="J72" s="7">
        <v>106</v>
      </c>
      <c r="K72" s="7">
        <v>60</v>
      </c>
      <c r="L72" s="7">
        <v>67</v>
      </c>
      <c r="M72" s="7">
        <v>57</v>
      </c>
      <c r="N72" s="7">
        <v>128</v>
      </c>
      <c r="O72" s="7">
        <v>112</v>
      </c>
      <c r="P72" s="6">
        <v>-11</v>
      </c>
      <c r="V72" s="7"/>
      <c r="W72" s="7"/>
      <c r="X72" s="7">
        <v>185</v>
      </c>
      <c r="Y72" s="7">
        <v>200</v>
      </c>
      <c r="Z72" s="7">
        <v>283</v>
      </c>
      <c r="AA72" s="7">
        <v>364</v>
      </c>
      <c r="AB72" s="6"/>
    </row>
    <row r="73" spans="3:28" x14ac:dyDescent="0.25">
      <c r="C73" s="3" t="s">
        <v>119</v>
      </c>
      <c r="D73" s="7"/>
      <c r="E73" s="7"/>
      <c r="F73" s="7"/>
      <c r="G73" s="7">
        <v>214</v>
      </c>
      <c r="H73" s="7">
        <v>218</v>
      </c>
      <c r="I73" s="7">
        <v>208</v>
      </c>
      <c r="J73" s="7">
        <v>269</v>
      </c>
      <c r="K73" s="7">
        <v>265</v>
      </c>
      <c r="L73" s="7">
        <v>310</v>
      </c>
      <c r="M73" s="7">
        <v>308</v>
      </c>
      <c r="N73" s="7">
        <v>402</v>
      </c>
      <c r="O73" s="7">
        <v>421</v>
      </c>
      <c r="P73" s="6">
        <v>641</v>
      </c>
      <c r="V73" s="7"/>
      <c r="W73" s="7"/>
      <c r="X73" s="7">
        <v>632</v>
      </c>
      <c r="Y73" s="7">
        <v>687</v>
      </c>
      <c r="Z73" s="7">
        <v>959</v>
      </c>
      <c r="AA73" s="7">
        <v>1441</v>
      </c>
      <c r="AB73" s="6"/>
    </row>
    <row r="74" spans="3:28" x14ac:dyDescent="0.25">
      <c r="C74" s="3" t="s">
        <v>120</v>
      </c>
      <c r="D74" s="7"/>
      <c r="E74" s="7"/>
      <c r="F74" s="7"/>
      <c r="G74" s="3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6">
        <v>-1048</v>
      </c>
      <c r="V74" s="7"/>
      <c r="W74" s="7"/>
      <c r="X74" s="7">
        <v>884</v>
      </c>
      <c r="Y74" s="7">
        <v>-3495</v>
      </c>
      <c r="Z74" s="7">
        <f>-135-74</f>
        <v>-209</v>
      </c>
      <c r="AA74" s="7">
        <v>5716</v>
      </c>
      <c r="AB74" s="6"/>
    </row>
    <row r="75" spans="3:28" x14ac:dyDescent="0.25">
      <c r="C75" s="3" t="s">
        <v>121</v>
      </c>
      <c r="D75" s="7"/>
      <c r="E75" s="7"/>
      <c r="F75" s="7"/>
      <c r="G75" s="7">
        <v>1046</v>
      </c>
      <c r="H75" s="7">
        <v>-1234</v>
      </c>
      <c r="I75" s="7">
        <v>-1046</v>
      </c>
      <c r="J75" s="7">
        <v>-2104</v>
      </c>
      <c r="K75" s="7">
        <v>4254</v>
      </c>
      <c r="L75" s="7">
        <v>-643</v>
      </c>
      <c r="M75" s="7">
        <v>98</v>
      </c>
      <c r="N75" s="7">
        <v>-573</v>
      </c>
      <c r="O75" s="7">
        <v>6883</v>
      </c>
      <c r="P75" s="6">
        <v>-198</v>
      </c>
      <c r="V75" s="8"/>
      <c r="W75" s="8"/>
      <c r="X75" s="8"/>
      <c r="Y75" s="8"/>
      <c r="Z75" s="8"/>
      <c r="AA75" s="8"/>
      <c r="AB75" s="9"/>
    </row>
    <row r="76" spans="3:28" x14ac:dyDescent="0.25">
      <c r="C76" s="4" t="s">
        <v>72</v>
      </c>
      <c r="D76" s="8">
        <f t="shared" ref="D76:O76" si="57">SUM(D67:D75)</f>
        <v>0</v>
      </c>
      <c r="E76" s="8">
        <f t="shared" si="57"/>
        <v>0</v>
      </c>
      <c r="F76" s="8">
        <f t="shared" si="57"/>
        <v>0</v>
      </c>
      <c r="G76" s="8">
        <f>SUM(G67:G75)</f>
        <v>2446</v>
      </c>
      <c r="H76" s="8">
        <f t="shared" si="57"/>
        <v>123</v>
      </c>
      <c r="I76" s="8">
        <f t="shared" si="57"/>
        <v>337</v>
      </c>
      <c r="J76" s="8">
        <f t="shared" si="57"/>
        <v>-477</v>
      </c>
      <c r="K76" s="8">
        <f t="shared" si="57"/>
        <v>5927</v>
      </c>
      <c r="L76" s="8">
        <f t="shared" si="57"/>
        <v>1178</v>
      </c>
      <c r="M76" s="8">
        <f t="shared" si="57"/>
        <v>1914</v>
      </c>
      <c r="N76" s="8">
        <f t="shared" si="57"/>
        <v>1674</v>
      </c>
      <c r="O76" s="8">
        <f t="shared" si="57"/>
        <v>9030</v>
      </c>
      <c r="P76" s="9">
        <f>SUM(P67:P75)</f>
        <v>2045</v>
      </c>
      <c r="V76" s="8">
        <f t="shared" ref="V76:Z76" si="58">SUM(V67:V75)</f>
        <v>0</v>
      </c>
      <c r="W76" s="8">
        <f t="shared" si="58"/>
        <v>0</v>
      </c>
      <c r="X76" s="8">
        <f t="shared" si="58"/>
        <v>4970</v>
      </c>
      <c r="Y76" s="8">
        <f t="shared" si="58"/>
        <v>1105</v>
      </c>
      <c r="Z76" s="8">
        <f t="shared" si="58"/>
        <v>5827</v>
      </c>
      <c r="AA76" s="8">
        <f>SUM(AA67:AA75)</f>
        <v>13745</v>
      </c>
      <c r="AB76" s="9">
        <f>SUM(AB67:AB75)</f>
        <v>0</v>
      </c>
    </row>
    <row r="77" spans="3:28" x14ac:dyDescent="0.25"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6"/>
      <c r="V77" s="7"/>
      <c r="W77" s="7"/>
      <c r="X77" s="7"/>
      <c r="Y77" s="7"/>
      <c r="Z77" s="7"/>
      <c r="AB77" s="6"/>
    </row>
    <row r="78" spans="3:28" x14ac:dyDescent="0.25">
      <c r="C78" s="3" t="s">
        <v>122</v>
      </c>
      <c r="D78" s="7"/>
      <c r="E78" s="7"/>
      <c r="F78" s="7"/>
      <c r="G78" s="7">
        <v>0</v>
      </c>
      <c r="H78" s="7">
        <v>0</v>
      </c>
      <c r="I78" s="7">
        <v>170</v>
      </c>
      <c r="J78" s="7">
        <v>0</v>
      </c>
      <c r="K78" s="7">
        <v>0</v>
      </c>
      <c r="L78" s="7">
        <v>0</v>
      </c>
      <c r="M78" s="7">
        <v>159</v>
      </c>
      <c r="N78" s="7">
        <v>25</v>
      </c>
      <c r="O78" s="7">
        <v>0</v>
      </c>
      <c r="P78" s="6">
        <v>0</v>
      </c>
      <c r="V78" s="7"/>
      <c r="W78" s="7"/>
      <c r="X78" s="3">
        <v>147</v>
      </c>
      <c r="Y78" s="7">
        <v>201</v>
      </c>
      <c r="Z78" s="7">
        <v>170</v>
      </c>
      <c r="AA78" s="7">
        <v>184</v>
      </c>
      <c r="AB78" s="6"/>
    </row>
    <row r="79" spans="3:28" x14ac:dyDescent="0.25">
      <c r="C79" s="3" t="s">
        <v>123</v>
      </c>
      <c r="D79" s="7"/>
      <c r="E79" s="7"/>
      <c r="F79" s="7"/>
      <c r="G79" s="7">
        <v>-212</v>
      </c>
      <c r="H79" s="7">
        <v>-321</v>
      </c>
      <c r="I79" s="7">
        <v>-495</v>
      </c>
      <c r="J79" s="7">
        <v>-604</v>
      </c>
      <c r="K79" s="7">
        <v>-512</v>
      </c>
      <c r="L79" s="7">
        <v>-417</v>
      </c>
      <c r="M79" s="7">
        <v>-493</v>
      </c>
      <c r="N79" s="7">
        <v>-300</v>
      </c>
      <c r="O79" s="7">
        <f>-457</f>
        <v>-457</v>
      </c>
      <c r="P79" s="6">
        <v>-428</v>
      </c>
      <c r="V79" s="7"/>
      <c r="W79" s="7"/>
      <c r="X79" s="7">
        <f>21-576-215-39</f>
        <v>-809</v>
      </c>
      <c r="Y79" s="7">
        <f>56-678-400-7-44</f>
        <v>-1073</v>
      </c>
      <c r="Z79" s="7">
        <f>49-1980-403</f>
        <v>-2334</v>
      </c>
      <c r="AA79" s="7">
        <f>120-1787</f>
        <v>-1667</v>
      </c>
      <c r="AB79" s="6"/>
    </row>
    <row r="80" spans="3:28" x14ac:dyDescent="0.25">
      <c r="C80" s="3" t="s">
        <v>124</v>
      </c>
      <c r="D80" s="7"/>
      <c r="E80" s="7"/>
      <c r="F80" s="7"/>
      <c r="G80" s="7">
        <v>-4</v>
      </c>
      <c r="H80" s="7">
        <v>0</v>
      </c>
      <c r="I80" s="7">
        <v>-153</v>
      </c>
      <c r="J80" s="7">
        <v>0</v>
      </c>
      <c r="K80" s="7">
        <v>-10</v>
      </c>
      <c r="L80" s="7">
        <v>-9</v>
      </c>
      <c r="M80" s="7">
        <v>0</v>
      </c>
      <c r="N80" s="7">
        <v>-75</v>
      </c>
      <c r="O80" s="7">
        <v>0</v>
      </c>
      <c r="P80" s="6">
        <v>-455</v>
      </c>
      <c r="V80" s="7"/>
      <c r="W80" s="7"/>
      <c r="X80" s="7">
        <v>-85</v>
      </c>
      <c r="Y80" s="3">
        <v>-601</v>
      </c>
      <c r="Z80" s="7">
        <v>120</v>
      </c>
      <c r="AA80" s="7">
        <v>-459</v>
      </c>
      <c r="AB80" s="6"/>
    </row>
    <row r="81" spans="3:28" x14ac:dyDescent="0.25">
      <c r="C81" s="3" t="s">
        <v>142</v>
      </c>
      <c r="D81" s="7"/>
      <c r="E81" s="7"/>
      <c r="F81" s="7"/>
      <c r="G81" s="7">
        <v>68</v>
      </c>
      <c r="H81" s="7">
        <v>37</v>
      </c>
      <c r="I81" s="7">
        <v>18</v>
      </c>
      <c r="J81" s="7">
        <v>26</v>
      </c>
      <c r="K81" s="7">
        <v>40</v>
      </c>
      <c r="L81" s="7">
        <v>64</v>
      </c>
      <c r="M81" s="7">
        <v>74</v>
      </c>
      <c r="N81" s="7">
        <v>96</v>
      </c>
      <c r="O81" s="7">
        <v>88</v>
      </c>
      <c r="P81" s="6">
        <v>189</v>
      </c>
      <c r="V81" s="7"/>
      <c r="W81" s="7"/>
      <c r="X81" s="7">
        <v>45</v>
      </c>
      <c r="Y81" s="7">
        <v>124</v>
      </c>
      <c r="Z81" s="7">
        <v>-163</v>
      </c>
      <c r="AA81" s="7">
        <v>322</v>
      </c>
      <c r="AB81" s="6"/>
    </row>
    <row r="82" spans="3:28" x14ac:dyDescent="0.25">
      <c r="C82" s="3" t="s">
        <v>125</v>
      </c>
      <c r="D82" s="7"/>
      <c r="E82" s="7"/>
      <c r="F82" s="7"/>
      <c r="G82" s="7"/>
      <c r="H82" s="7">
        <v>0</v>
      </c>
      <c r="I82" s="7">
        <v>936</v>
      </c>
      <c r="J82" s="7">
        <v>0</v>
      </c>
      <c r="K82" s="7">
        <v>0</v>
      </c>
      <c r="L82" s="7">
        <v>0</v>
      </c>
      <c r="M82" s="7">
        <v>0</v>
      </c>
      <c r="N82" s="7">
        <v>53</v>
      </c>
      <c r="O82" s="7">
        <v>0</v>
      </c>
      <c r="P82" s="6">
        <v>1322</v>
      </c>
      <c r="V82" s="7"/>
      <c r="W82" s="7"/>
      <c r="X82" s="7">
        <v>47</v>
      </c>
      <c r="Y82" s="7">
        <v>7</v>
      </c>
      <c r="Z82" s="7">
        <v>1115</v>
      </c>
      <c r="AA82" s="7">
        <v>-84</v>
      </c>
      <c r="AB82" s="6"/>
    </row>
    <row r="83" spans="3:28" x14ac:dyDescent="0.25">
      <c r="C83" s="3" t="s">
        <v>126</v>
      </c>
      <c r="D83" s="7"/>
      <c r="E83" s="7"/>
      <c r="F83" s="7"/>
      <c r="G83" s="7"/>
      <c r="H83" s="7">
        <v>-101</v>
      </c>
      <c r="I83" s="7">
        <v>-96</v>
      </c>
      <c r="J83" s="7">
        <v>-101</v>
      </c>
      <c r="K83" s="7">
        <v>-105</v>
      </c>
      <c r="L83" s="7">
        <v>-89</v>
      </c>
      <c r="M83" s="7">
        <v>-106</v>
      </c>
      <c r="N83" s="7">
        <v>-127</v>
      </c>
      <c r="O83" s="7">
        <v>-137</v>
      </c>
      <c r="P83" s="6">
        <v>-132</v>
      </c>
      <c r="V83" s="7"/>
      <c r="W83" s="7"/>
      <c r="X83" s="7">
        <v>-116</v>
      </c>
      <c r="Y83" s="7">
        <v>0</v>
      </c>
      <c r="Z83" s="7">
        <v>0</v>
      </c>
      <c r="AA83" s="7">
        <v>53</v>
      </c>
      <c r="AB83" s="6"/>
    </row>
    <row r="84" spans="3:28" x14ac:dyDescent="0.25">
      <c r="C84" s="3" t="s">
        <v>127</v>
      </c>
      <c r="D84" s="7"/>
      <c r="E84" s="7"/>
      <c r="F84" s="7"/>
      <c r="G84" s="7"/>
      <c r="H84" s="7">
        <v>-29</v>
      </c>
      <c r="I84" s="7">
        <v>-43</v>
      </c>
      <c r="J84" s="7">
        <v>0</v>
      </c>
      <c r="K84" s="7">
        <v>12</v>
      </c>
      <c r="L84" s="7">
        <v>0</v>
      </c>
      <c r="M84" s="7">
        <v>-109</v>
      </c>
      <c r="N84" s="7">
        <v>0</v>
      </c>
      <c r="O84" s="7">
        <v>0</v>
      </c>
      <c r="P84" s="6">
        <v>0</v>
      </c>
      <c r="V84" s="7"/>
      <c r="W84" s="7"/>
      <c r="X84" s="7">
        <v>0</v>
      </c>
      <c r="Y84" s="7">
        <v>0</v>
      </c>
      <c r="Z84" s="7">
        <v>-59</v>
      </c>
      <c r="AA84" s="7">
        <v>-109</v>
      </c>
      <c r="AB84" s="6"/>
    </row>
    <row r="85" spans="3:28" x14ac:dyDescent="0.25">
      <c r="C85" s="4" t="s">
        <v>73</v>
      </c>
      <c r="D85" s="8">
        <f t="shared" ref="D85:O85" si="59">SUM(D78:D84)</f>
        <v>0</v>
      </c>
      <c r="E85" s="8">
        <f t="shared" si="59"/>
        <v>0</v>
      </c>
      <c r="F85" s="8">
        <f t="shared" si="59"/>
        <v>0</v>
      </c>
      <c r="G85" s="8">
        <f t="shared" si="59"/>
        <v>-148</v>
      </c>
      <c r="H85" s="8">
        <f t="shared" si="59"/>
        <v>-414</v>
      </c>
      <c r="I85" s="8">
        <f t="shared" si="59"/>
        <v>337</v>
      </c>
      <c r="J85" s="8">
        <f t="shared" si="59"/>
        <v>-679</v>
      </c>
      <c r="K85" s="8">
        <f t="shared" si="59"/>
        <v>-575</v>
      </c>
      <c r="L85" s="8">
        <f t="shared" si="59"/>
        <v>-451</v>
      </c>
      <c r="M85" s="8">
        <f t="shared" si="59"/>
        <v>-475</v>
      </c>
      <c r="N85" s="8">
        <f t="shared" si="59"/>
        <v>-328</v>
      </c>
      <c r="O85" s="8">
        <f t="shared" si="59"/>
        <v>-506</v>
      </c>
      <c r="P85" s="9">
        <f>SUM(P78:P84)</f>
        <v>496</v>
      </c>
      <c r="V85" s="8">
        <f t="shared" ref="V85:W85" si="60">SUM(V77:V84)</f>
        <v>0</v>
      </c>
      <c r="W85" s="8">
        <f t="shared" si="60"/>
        <v>0</v>
      </c>
      <c r="X85" s="8">
        <f>SUM(X77:X84)</f>
        <v>-771</v>
      </c>
      <c r="Y85" s="8">
        <f t="shared" ref="Y85:AB85" si="61">SUM(Y77:Y84)</f>
        <v>-1342</v>
      </c>
      <c r="Z85" s="8">
        <f t="shared" si="61"/>
        <v>-1151</v>
      </c>
      <c r="AA85" s="8">
        <f>SUM(AA78:AA84)</f>
        <v>-1760</v>
      </c>
      <c r="AB85" s="9">
        <f t="shared" si="61"/>
        <v>0</v>
      </c>
    </row>
    <row r="86" spans="3:28" x14ac:dyDescent="0.25"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6"/>
      <c r="V86" s="7"/>
      <c r="W86" s="7"/>
      <c r="X86" s="7"/>
      <c r="Y86" s="7"/>
      <c r="Z86" s="7"/>
      <c r="AA86" s="7"/>
      <c r="AB86" s="6"/>
    </row>
    <row r="87" spans="3:28" x14ac:dyDescent="0.25">
      <c r="C87" s="3" t="s">
        <v>128</v>
      </c>
      <c r="D87" s="7"/>
      <c r="E87" s="7"/>
      <c r="F87" s="7"/>
      <c r="G87" s="7"/>
      <c r="H87" s="7">
        <v>-3</v>
      </c>
      <c r="I87" s="7">
        <v>1000</v>
      </c>
      <c r="J87" s="7">
        <v>742</v>
      </c>
      <c r="K87" s="7">
        <v>-1202</v>
      </c>
      <c r="L87" s="7">
        <v>0</v>
      </c>
      <c r="M87" s="7">
        <v>-500</v>
      </c>
      <c r="N87" s="7">
        <v>0</v>
      </c>
      <c r="O87" s="7">
        <v>0</v>
      </c>
      <c r="P87" s="6">
        <v>0</v>
      </c>
      <c r="V87" s="7"/>
      <c r="W87" s="7"/>
      <c r="X87" s="7">
        <f>500-1521</f>
        <v>-1021</v>
      </c>
      <c r="Y87" s="7">
        <v>0</v>
      </c>
      <c r="Z87" s="7">
        <f>1000-463</f>
        <v>537</v>
      </c>
      <c r="AA87" s="7">
        <v>-500</v>
      </c>
      <c r="AB87" s="6"/>
    </row>
    <row r="88" spans="3:28" x14ac:dyDescent="0.25">
      <c r="C88" s="3" t="s">
        <v>129</v>
      </c>
      <c r="D88" s="7"/>
      <c r="E88" s="7"/>
      <c r="F88" s="7"/>
      <c r="G88" s="7"/>
      <c r="H88" s="7">
        <v>-108</v>
      </c>
      <c r="I88" s="7">
        <v>-116</v>
      </c>
      <c r="J88" s="7">
        <v>-119</v>
      </c>
      <c r="K88" s="7">
        <v>-126</v>
      </c>
      <c r="L88" s="7">
        <v>-115</v>
      </c>
      <c r="M88" s="7">
        <v>-119</v>
      </c>
      <c r="N88" s="7">
        <v>-122</v>
      </c>
      <c r="O88" s="7">
        <v>-123</v>
      </c>
      <c r="P88" s="6">
        <v>-115</v>
      </c>
      <c r="V88" s="7"/>
      <c r="W88" s="7"/>
      <c r="X88" s="7">
        <v>-357</v>
      </c>
      <c r="Y88" s="7">
        <v>-408</v>
      </c>
      <c r="Z88" s="7">
        <v>-477</v>
      </c>
      <c r="AA88" s="7">
        <v>-480</v>
      </c>
      <c r="AB88" s="6"/>
    </row>
    <row r="89" spans="3:28" x14ac:dyDescent="0.25">
      <c r="C89" s="3" t="s">
        <v>130</v>
      </c>
      <c r="D89" s="7"/>
      <c r="E89" s="7"/>
      <c r="F89" s="7"/>
      <c r="G89" s="7"/>
      <c r="H89" s="7">
        <v>-42</v>
      </c>
      <c r="I89" s="7">
        <v>-39</v>
      </c>
      <c r="J89" s="7">
        <v>-71</v>
      </c>
      <c r="K89" s="7">
        <v>-71</v>
      </c>
      <c r="L89" s="7">
        <v>-101</v>
      </c>
      <c r="M89" s="7">
        <v>-51</v>
      </c>
      <c r="N89" s="7">
        <v>-52</v>
      </c>
      <c r="O89" s="7">
        <v>-16</v>
      </c>
      <c r="P89" s="6">
        <v>-46</v>
      </c>
      <c r="V89" s="7"/>
      <c r="W89" s="7"/>
      <c r="X89" s="7">
        <v>-76</v>
      </c>
      <c r="Y89" s="7">
        <v>-168</v>
      </c>
      <c r="Z89" s="7">
        <v>-222</v>
      </c>
      <c r="AA89" s="7">
        <v>-171</v>
      </c>
      <c r="AB89" s="6"/>
    </row>
    <row r="90" spans="3:28" x14ac:dyDescent="0.25">
      <c r="C90" s="3" t="s">
        <v>131</v>
      </c>
      <c r="D90" s="7"/>
      <c r="E90" s="7"/>
      <c r="F90" s="7"/>
      <c r="G90" s="7"/>
      <c r="H90" s="7">
        <v>-32</v>
      </c>
      <c r="I90" s="7">
        <v>-34</v>
      </c>
      <c r="J90" s="7">
        <v>-36</v>
      </c>
      <c r="K90" s="7">
        <v>-33</v>
      </c>
      <c r="L90" s="7">
        <v>-36</v>
      </c>
      <c r="M90" s="7">
        <v>-35</v>
      </c>
      <c r="N90" s="7">
        <v>-39</v>
      </c>
      <c r="O90" s="7">
        <v>-39</v>
      </c>
      <c r="P90" s="6">
        <v>-46</v>
      </c>
      <c r="V90" s="7"/>
      <c r="W90" s="7"/>
      <c r="X90" s="7">
        <v>-132</v>
      </c>
      <c r="Y90" s="7">
        <v>-128</v>
      </c>
      <c r="Z90" s="7">
        <v>-136</v>
      </c>
      <c r="AA90" s="7">
        <v>-148</v>
      </c>
      <c r="AB90" s="6"/>
    </row>
    <row r="91" spans="3:28" x14ac:dyDescent="0.25">
      <c r="C91" s="3" t="s">
        <v>132</v>
      </c>
      <c r="D91" s="7"/>
      <c r="E91" s="7"/>
      <c r="F91" s="7"/>
      <c r="G91" s="7"/>
      <c r="H91" s="7">
        <v>-17</v>
      </c>
      <c r="I91" s="7">
        <v>-80</v>
      </c>
      <c r="J91" s="7">
        <v>0</v>
      </c>
      <c r="K91" s="7">
        <v>0</v>
      </c>
      <c r="L91" s="7">
        <v>-10</v>
      </c>
      <c r="M91" s="7">
        <v>-90</v>
      </c>
      <c r="N91" s="7">
        <v>0</v>
      </c>
      <c r="O91" s="7">
        <v>0</v>
      </c>
      <c r="P91" s="6">
        <v>0</v>
      </c>
      <c r="V91" s="7"/>
      <c r="W91" s="7"/>
      <c r="X91" s="7">
        <f>-91-317</f>
        <v>-408</v>
      </c>
      <c r="Y91" s="7">
        <f>-100-483</f>
        <v>-583</v>
      </c>
      <c r="Z91" s="7">
        <v>-80</v>
      </c>
      <c r="AA91" s="7">
        <v>-100</v>
      </c>
      <c r="AB91" s="6"/>
    </row>
    <row r="92" spans="3:28" x14ac:dyDescent="0.25">
      <c r="C92" s="3" t="s">
        <v>133</v>
      </c>
      <c r="D92" s="7"/>
      <c r="E92" s="7"/>
      <c r="F92" s="7"/>
      <c r="G92" s="7"/>
      <c r="H92" s="7">
        <v>0</v>
      </c>
      <c r="I92" s="7">
        <f>-250-2128</f>
        <v>-2378</v>
      </c>
      <c r="J92" s="7">
        <v>0</v>
      </c>
      <c r="K92" s="7">
        <v>0</v>
      </c>
      <c r="L92" s="7">
        <v>0</v>
      </c>
      <c r="M92" s="7">
        <v>-1187</v>
      </c>
      <c r="N92" s="7">
        <v>-45</v>
      </c>
      <c r="O92" s="7">
        <v>-1232</v>
      </c>
      <c r="P92" s="6">
        <v>0</v>
      </c>
      <c r="V92" s="7"/>
      <c r="W92" s="7"/>
      <c r="X92" s="7">
        <v>-1440</v>
      </c>
      <c r="Y92" s="7">
        <v>-2736</v>
      </c>
      <c r="Z92" s="7">
        <v>-267</v>
      </c>
      <c r="AA92" s="7">
        <v>-2463</v>
      </c>
      <c r="AB92" s="6"/>
    </row>
    <row r="93" spans="3:28" x14ac:dyDescent="0.25">
      <c r="C93" s="3" t="s">
        <v>134</v>
      </c>
      <c r="D93" s="7"/>
      <c r="E93" s="7"/>
      <c r="F93" s="7"/>
      <c r="G93" s="7"/>
      <c r="H93" s="7">
        <v>0</v>
      </c>
      <c r="I93" s="7">
        <v>13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6">
        <v>0</v>
      </c>
      <c r="V93" s="7"/>
      <c r="W93" s="7"/>
      <c r="X93" s="7">
        <v>0</v>
      </c>
      <c r="Y93" s="7">
        <v>0</v>
      </c>
      <c r="Z93" s="7">
        <f>-2128+13</f>
        <v>-2115</v>
      </c>
      <c r="AA93" s="7">
        <v>0</v>
      </c>
      <c r="AB93" s="6"/>
    </row>
    <row r="94" spans="3:28" x14ac:dyDescent="0.25">
      <c r="C94" s="4" t="s">
        <v>74</v>
      </c>
      <c r="D94" s="8">
        <f t="shared" ref="D94:O94" si="62">SUM(D87:D93)</f>
        <v>0</v>
      </c>
      <c r="E94" s="8">
        <f t="shared" si="62"/>
        <v>0</v>
      </c>
      <c r="F94" s="8">
        <f t="shared" si="62"/>
        <v>0</v>
      </c>
      <c r="G94" s="8">
        <f t="shared" si="62"/>
        <v>0</v>
      </c>
      <c r="H94" s="8">
        <f t="shared" si="62"/>
        <v>-202</v>
      </c>
      <c r="I94" s="8">
        <f t="shared" si="62"/>
        <v>-1634</v>
      </c>
      <c r="J94" s="8">
        <f t="shared" si="62"/>
        <v>516</v>
      </c>
      <c r="K94" s="8">
        <f t="shared" si="62"/>
        <v>-1432</v>
      </c>
      <c r="L94" s="8">
        <f t="shared" si="62"/>
        <v>-262</v>
      </c>
      <c r="M94" s="8">
        <f t="shared" si="62"/>
        <v>-1982</v>
      </c>
      <c r="N94" s="8">
        <f t="shared" si="62"/>
        <v>-258</v>
      </c>
      <c r="O94" s="8">
        <f t="shared" si="62"/>
        <v>-1410</v>
      </c>
      <c r="P94" s="9">
        <f>SUM(P87:P93)</f>
        <v>-207</v>
      </c>
      <c r="V94" s="8">
        <f t="shared" ref="V94:W94" si="63">SUM(V87:V93)</f>
        <v>0</v>
      </c>
      <c r="W94" s="8">
        <f t="shared" si="63"/>
        <v>0</v>
      </c>
      <c r="X94" s="8">
        <f>SUM(X87:X93)</f>
        <v>-3434</v>
      </c>
      <c r="Y94" s="8">
        <f t="shared" ref="Y94:AB94" si="64">SUM(Y87:Y93)</f>
        <v>-4023</v>
      </c>
      <c r="Z94" s="8">
        <f t="shared" si="64"/>
        <v>-2760</v>
      </c>
      <c r="AA94" s="8">
        <f t="shared" si="64"/>
        <v>-3862</v>
      </c>
      <c r="AB94" s="9">
        <f t="shared" si="64"/>
        <v>0</v>
      </c>
    </row>
    <row r="95" spans="3:28" x14ac:dyDescent="0.25"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6"/>
      <c r="V95" s="7"/>
      <c r="W95" s="7"/>
      <c r="X95" s="7"/>
      <c r="Y95" s="7"/>
      <c r="Z95" s="7"/>
      <c r="AA95" s="7"/>
      <c r="AB95" s="6"/>
    </row>
    <row r="96" spans="3:28" x14ac:dyDescent="0.25">
      <c r="C96" s="3" t="s">
        <v>135</v>
      </c>
      <c r="D96" s="7"/>
      <c r="E96" s="7"/>
      <c r="F96" s="7"/>
      <c r="G96" s="7"/>
      <c r="H96" s="7">
        <v>201</v>
      </c>
      <c r="I96" s="7">
        <v>79</v>
      </c>
      <c r="J96" s="7">
        <v>-95</v>
      </c>
      <c r="K96" s="7">
        <v>-56</v>
      </c>
      <c r="L96" s="7">
        <v>142</v>
      </c>
      <c r="M96" s="7">
        <v>-98</v>
      </c>
      <c r="N96" s="7">
        <v>102</v>
      </c>
      <c r="O96" s="7">
        <v>52</v>
      </c>
      <c r="P96" s="6">
        <v>-166</v>
      </c>
      <c r="V96" s="7"/>
      <c r="W96" s="7"/>
      <c r="X96" s="7">
        <v>-84</v>
      </c>
      <c r="Y96" s="7">
        <v>54</v>
      </c>
      <c r="Z96" s="7">
        <v>128</v>
      </c>
      <c r="AA96" s="7">
        <v>198</v>
      </c>
      <c r="AB96" s="6"/>
    </row>
    <row r="97" spans="3:28" x14ac:dyDescent="0.25"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6"/>
      <c r="V97" s="7"/>
      <c r="W97" s="7"/>
      <c r="X97" s="7"/>
      <c r="Y97" s="7"/>
      <c r="Z97" s="7"/>
      <c r="AA97" s="7"/>
      <c r="AB97" s="6"/>
    </row>
    <row r="98" spans="3:28" x14ac:dyDescent="0.25">
      <c r="C98" s="3" t="s">
        <v>136</v>
      </c>
      <c r="D98" s="7">
        <f t="shared" ref="D98:O98" si="65">D76+D85+D94+D96</f>
        <v>0</v>
      </c>
      <c r="E98" s="7">
        <f t="shared" si="65"/>
        <v>0</v>
      </c>
      <c r="F98" s="7">
        <f t="shared" si="65"/>
        <v>0</v>
      </c>
      <c r="G98" s="7">
        <f t="shared" si="65"/>
        <v>2298</v>
      </c>
      <c r="H98" s="7">
        <f t="shared" si="65"/>
        <v>-292</v>
      </c>
      <c r="I98" s="7">
        <f t="shared" si="65"/>
        <v>-881</v>
      </c>
      <c r="J98" s="7">
        <f t="shared" si="65"/>
        <v>-735</v>
      </c>
      <c r="K98" s="7">
        <f t="shared" si="65"/>
        <v>3864</v>
      </c>
      <c r="L98" s="7">
        <f t="shared" si="65"/>
        <v>607</v>
      </c>
      <c r="M98" s="7">
        <f t="shared" si="65"/>
        <v>-641</v>
      </c>
      <c r="N98" s="7">
        <f t="shared" si="65"/>
        <v>1190</v>
      </c>
      <c r="O98" s="7">
        <f t="shared" si="65"/>
        <v>7166</v>
      </c>
      <c r="P98" s="6">
        <f>P76+P85+P94+P96</f>
        <v>2168</v>
      </c>
      <c r="V98" s="7">
        <f t="shared" ref="V98:Z98" si="66">V76+V85+V94+V96</f>
        <v>0</v>
      </c>
      <c r="W98" s="7">
        <f t="shared" si="66"/>
        <v>0</v>
      </c>
      <c r="X98" s="7">
        <f t="shared" si="66"/>
        <v>681</v>
      </c>
      <c r="Y98" s="7">
        <f t="shared" si="66"/>
        <v>-4206</v>
      </c>
      <c r="Z98" s="7">
        <f t="shared" si="66"/>
        <v>2044</v>
      </c>
      <c r="AA98" s="7">
        <f>AA76+AA85+AA94+AA96</f>
        <v>8321</v>
      </c>
      <c r="AB98" s="6">
        <f>AB76+AB85+AB94+AB96</f>
        <v>0</v>
      </c>
    </row>
    <row r="99" spans="3:28" x14ac:dyDescent="0.25"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6"/>
      <c r="V99" s="7"/>
      <c r="W99" s="7"/>
      <c r="X99" s="7"/>
      <c r="Y99" s="7"/>
      <c r="Z99" s="7"/>
      <c r="AA99" s="7"/>
      <c r="AB99" s="6"/>
    </row>
    <row r="100" spans="3:28" x14ac:dyDescent="0.25">
      <c r="C100" s="3" t="s">
        <v>137</v>
      </c>
      <c r="D100" s="7">
        <f t="shared" ref="D100:O100" si="67">D76+D79+D80</f>
        <v>0</v>
      </c>
      <c r="E100" s="7">
        <f t="shared" si="67"/>
        <v>0</v>
      </c>
      <c r="F100" s="7">
        <f t="shared" si="67"/>
        <v>0</v>
      </c>
      <c r="G100" s="7">
        <f t="shared" si="67"/>
        <v>2230</v>
      </c>
      <c r="H100" s="7">
        <f t="shared" si="67"/>
        <v>-198</v>
      </c>
      <c r="I100" s="7">
        <f t="shared" si="67"/>
        <v>-311</v>
      </c>
      <c r="J100" s="7">
        <f t="shared" si="67"/>
        <v>-1081</v>
      </c>
      <c r="K100" s="7">
        <f t="shared" si="67"/>
        <v>5405</v>
      </c>
      <c r="L100" s="7">
        <f t="shared" si="67"/>
        <v>752</v>
      </c>
      <c r="M100" s="7">
        <f t="shared" si="67"/>
        <v>1421</v>
      </c>
      <c r="N100" s="7">
        <f t="shared" si="67"/>
        <v>1299</v>
      </c>
      <c r="O100" s="7">
        <f t="shared" si="67"/>
        <v>8573</v>
      </c>
      <c r="P100" s="6">
        <f>P76+P79+P80</f>
        <v>1162</v>
      </c>
      <c r="V100" s="7">
        <f t="shared" ref="V100:Z100" si="68">V76+V79+V80</f>
        <v>0</v>
      </c>
      <c r="W100" s="7">
        <f t="shared" si="68"/>
        <v>0</v>
      </c>
      <c r="X100" s="7">
        <f t="shared" si="68"/>
        <v>4076</v>
      </c>
      <c r="Y100" s="7">
        <f>Y76+Y79+Y81</f>
        <v>156</v>
      </c>
      <c r="Z100" s="7">
        <f t="shared" si="68"/>
        <v>3613</v>
      </c>
      <c r="AA100" s="7">
        <f>AA76+AA79+AA80</f>
        <v>11619</v>
      </c>
      <c r="AB100" s="6">
        <f>AB76+AB79+AB80</f>
        <v>0</v>
      </c>
    </row>
  </sheetData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BDED-A4CC-B64C-BB81-6D3331358016}">
  <dimension ref="B3:W37"/>
  <sheetViews>
    <sheetView showGridLines="0" zoomScale="90" zoomScaleNormal="9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V22" sqref="V22"/>
    </sheetView>
  </sheetViews>
  <sheetFormatPr baseColWidth="10" defaultRowHeight="19" x14ac:dyDescent="0.25"/>
  <cols>
    <col min="1" max="1" width="10.83203125" style="3"/>
    <col min="2" max="2" width="18.33203125" style="3" bestFit="1" customWidth="1"/>
    <col min="3" max="3" width="13" style="3" customWidth="1"/>
    <col min="4" max="17" width="10.83203125" style="3"/>
    <col min="18" max="18" width="10.83203125" style="2"/>
    <col min="19" max="16384" width="10.83203125" style="3"/>
  </cols>
  <sheetData>
    <row r="3" spans="2:22" x14ac:dyDescent="0.25">
      <c r="B3" s="23" t="s">
        <v>107</v>
      </c>
      <c r="C3" s="31" t="s">
        <v>7</v>
      </c>
      <c r="D3" s="31" t="s">
        <v>8</v>
      </c>
      <c r="E3" s="31" t="s">
        <v>9</v>
      </c>
      <c r="F3" s="31" t="s">
        <v>10</v>
      </c>
      <c r="G3" s="32">
        <v>2022</v>
      </c>
      <c r="H3" s="31" t="s">
        <v>11</v>
      </c>
      <c r="I3" s="31" t="s">
        <v>12</v>
      </c>
      <c r="J3" s="31" t="s">
        <v>13</v>
      </c>
      <c r="K3" s="31" t="s">
        <v>14</v>
      </c>
      <c r="L3" s="32">
        <v>2023</v>
      </c>
      <c r="M3" s="31" t="s">
        <v>15</v>
      </c>
      <c r="N3" s="31" t="s">
        <v>16</v>
      </c>
      <c r="O3" s="31" t="s">
        <v>17</v>
      </c>
      <c r="P3" s="31" t="s">
        <v>18</v>
      </c>
      <c r="Q3" s="28">
        <v>2024</v>
      </c>
      <c r="R3" s="40" t="s">
        <v>102</v>
      </c>
      <c r="S3" s="31" t="s">
        <v>103</v>
      </c>
      <c r="T3" s="31" t="s">
        <v>104</v>
      </c>
      <c r="U3" s="31" t="s">
        <v>105</v>
      </c>
      <c r="V3" s="28">
        <v>2025</v>
      </c>
    </row>
    <row r="4" spans="2:22" x14ac:dyDescent="0.25">
      <c r="B4" s="4" t="s">
        <v>19</v>
      </c>
    </row>
    <row r="5" spans="2:22" x14ac:dyDescent="0.25">
      <c r="B5" s="3" t="s">
        <v>27</v>
      </c>
      <c r="C5" s="7">
        <v>3737</v>
      </c>
      <c r="D5" s="7">
        <v>4005</v>
      </c>
      <c r="E5" s="7">
        <v>4136</v>
      </c>
      <c r="F5" s="7">
        <v>4608</v>
      </c>
      <c r="G5" s="8">
        <f>SUM(C5:F5)</f>
        <v>16486</v>
      </c>
      <c r="H5" s="7">
        <v>4624</v>
      </c>
      <c r="I5" s="7">
        <v>4978</v>
      </c>
      <c r="J5" s="7">
        <v>4990</v>
      </c>
      <c r="K5" s="7">
        <v>5589</v>
      </c>
      <c r="L5" s="8">
        <f>SUM(H5:K5)</f>
        <v>20181</v>
      </c>
      <c r="M5" s="7">
        <v>5402</v>
      </c>
      <c r="N5" s="7">
        <v>5980</v>
      </c>
      <c r="O5" s="7">
        <v>6487</v>
      </c>
      <c r="P5" s="7">
        <v>6896</v>
      </c>
      <c r="Q5" s="8">
        <f>SUM(M5:P5)</f>
        <v>24765</v>
      </c>
      <c r="R5" s="6">
        <v>6743</v>
      </c>
      <c r="V5" s="8">
        <f>SUM(R5:U5)</f>
        <v>6743</v>
      </c>
    </row>
    <row r="6" spans="2:22" x14ac:dyDescent="0.25">
      <c r="B6" s="3" t="s">
        <v>28</v>
      </c>
      <c r="C6" s="7">
        <v>312</v>
      </c>
      <c r="D6" s="7">
        <v>360</v>
      </c>
      <c r="E6" s="7">
        <v>622</v>
      </c>
      <c r="F6" s="7">
        <v>531</v>
      </c>
      <c r="G6" s="8">
        <f>SUM(C6:F6)</f>
        <v>1825</v>
      </c>
      <c r="H6" s="7">
        <v>640</v>
      </c>
      <c r="I6" s="7">
        <v>529</v>
      </c>
      <c r="J6" s="7">
        <v>762</v>
      </c>
      <c r="K6" s="7">
        <v>671</v>
      </c>
      <c r="L6" s="8">
        <f>SUM(H6:K6)</f>
        <v>2602</v>
      </c>
      <c r="M6" s="7">
        <v>888</v>
      </c>
      <c r="N6" s="7">
        <v>861</v>
      </c>
      <c r="O6" s="7">
        <v>1240</v>
      </c>
      <c r="P6" s="7">
        <v>897</v>
      </c>
      <c r="Q6" s="8">
        <f>SUM(M6:P6)</f>
        <v>3886</v>
      </c>
      <c r="R6" s="6">
        <v>1069</v>
      </c>
      <c r="V6" s="8">
        <f>SUM(R6:U6)</f>
        <v>1069</v>
      </c>
    </row>
    <row r="7" spans="2:22" x14ac:dyDescent="0.25">
      <c r="B7" s="33" t="s">
        <v>108</v>
      </c>
      <c r="C7" s="34">
        <v>8.4000000000000005E-2</v>
      </c>
      <c r="D7" s="34">
        <v>0.09</v>
      </c>
      <c r="E7" s="34">
        <v>0.151</v>
      </c>
      <c r="F7" s="34">
        <v>0.11600000000000001</v>
      </c>
      <c r="G7" s="35">
        <f>G6/G5</f>
        <v>0.11069998786849448</v>
      </c>
      <c r="H7" s="34">
        <v>0.13800000000000001</v>
      </c>
      <c r="I7" s="34">
        <v>0.106</v>
      </c>
      <c r="J7" s="34">
        <v>0.153</v>
      </c>
      <c r="K7" s="34">
        <v>0.12</v>
      </c>
      <c r="L7" s="35">
        <f>L6/L5</f>
        <v>0.12893315494772312</v>
      </c>
      <c r="M7" s="34">
        <v>0.16400000000000001</v>
      </c>
      <c r="N7" s="34">
        <v>0.14399999999999999</v>
      </c>
      <c r="O7" s="34">
        <v>0.191</v>
      </c>
      <c r="P7" s="34">
        <v>0.13</v>
      </c>
      <c r="Q7" s="35">
        <f>Q6/Q5</f>
        <v>0.15691500100948919</v>
      </c>
      <c r="R7" s="15">
        <v>0.159</v>
      </c>
      <c r="S7" s="16"/>
      <c r="T7" s="16"/>
      <c r="U7" s="16"/>
      <c r="V7" s="35">
        <f>V6/V5</f>
        <v>0.15853477680557615</v>
      </c>
    </row>
    <row r="8" spans="2:22" x14ac:dyDescent="0.25">
      <c r="B8" s="3" t="s">
        <v>30</v>
      </c>
      <c r="C8" s="7">
        <v>185</v>
      </c>
      <c r="D8" s="7">
        <v>211</v>
      </c>
      <c r="E8" s="7">
        <v>486</v>
      </c>
      <c r="F8" s="7">
        <v>374</v>
      </c>
      <c r="G8" s="8">
        <f>SUM(C8:F8)</f>
        <v>1256</v>
      </c>
      <c r="H8" s="7">
        <v>508</v>
      </c>
      <c r="I8" s="7">
        <v>392</v>
      </c>
      <c r="J8" s="7">
        <v>615</v>
      </c>
      <c r="K8" s="7">
        <v>538</v>
      </c>
      <c r="L8" s="8">
        <f>SUM(H8:K8)</f>
        <v>2053</v>
      </c>
      <c r="M8" s="7">
        <v>753</v>
      </c>
      <c r="N8" s="7">
        <v>729</v>
      </c>
      <c r="O8" s="7">
        <v>1112</v>
      </c>
      <c r="P8" s="7">
        <v>760</v>
      </c>
      <c r="Q8" s="8">
        <f>SUM(M8:P8)</f>
        <v>3354</v>
      </c>
      <c r="R8" s="2">
        <v>919</v>
      </c>
      <c r="V8" s="8">
        <f>SUM(R8:U8)</f>
        <v>919</v>
      </c>
    </row>
    <row r="9" spans="2:22" x14ac:dyDescent="0.25">
      <c r="B9" s="33" t="s">
        <v>109</v>
      </c>
      <c r="C9" s="34">
        <v>0.05</v>
      </c>
      <c r="D9" s="34">
        <v>5.2999999999999999E-2</v>
      </c>
      <c r="E9" s="34">
        <v>0.11799999999999999</v>
      </c>
      <c r="F9" s="34">
        <v>8.2000000000000003E-2</v>
      </c>
      <c r="G9" s="35">
        <f>G8/G5</f>
        <v>7.6185854664563873E-2</v>
      </c>
      <c r="H9" s="34">
        <v>0.11</v>
      </c>
      <c r="I9" s="34">
        <v>7.9000000000000001E-2</v>
      </c>
      <c r="J9" s="34">
        <v>0.123</v>
      </c>
      <c r="K9" s="34">
        <v>9.6000000000000002E-2</v>
      </c>
      <c r="L9" s="35">
        <f>L8/L5</f>
        <v>0.10172934938803825</v>
      </c>
      <c r="M9" s="34">
        <v>0.13900000000000001</v>
      </c>
      <c r="N9" s="34">
        <v>0.122</v>
      </c>
      <c r="O9" s="34">
        <v>0.17100000000000001</v>
      </c>
      <c r="P9" s="34">
        <v>0.11</v>
      </c>
      <c r="Q9" s="35">
        <f>Q8/Q5</f>
        <v>0.13543307086614173</v>
      </c>
      <c r="R9" s="15">
        <v>0.13600000000000001</v>
      </c>
      <c r="S9" s="14"/>
      <c r="T9" s="14"/>
      <c r="U9" s="14"/>
      <c r="V9" s="35">
        <f>V8/V5</f>
        <v>0.13628948539225863</v>
      </c>
    </row>
    <row r="10" spans="2:22" x14ac:dyDescent="0.25">
      <c r="B10" s="3" t="s">
        <v>26</v>
      </c>
      <c r="C10" s="7">
        <v>5149</v>
      </c>
      <c r="D10" s="7">
        <v>5583</v>
      </c>
      <c r="E10" s="7">
        <v>4931</v>
      </c>
      <c r="F10" s="7">
        <v>5672</v>
      </c>
      <c r="G10" s="8">
        <f>SUM(C10:F10)</f>
        <v>21335</v>
      </c>
      <c r="H10" s="7">
        <v>6999</v>
      </c>
      <c r="I10" s="7">
        <v>5077</v>
      </c>
      <c r="J10" s="7">
        <v>5534</v>
      </c>
      <c r="K10" s="7">
        <v>4798</v>
      </c>
      <c r="L10" s="8">
        <f>SUM(H10:K10)</f>
        <v>22408</v>
      </c>
      <c r="M10" s="7">
        <v>6157</v>
      </c>
      <c r="N10" s="7">
        <v>6131</v>
      </c>
      <c r="O10" s="7">
        <v>6953</v>
      </c>
      <c r="P10" s="7">
        <v>9145</v>
      </c>
      <c r="Q10" s="8">
        <f>SUM(M10:P10)</f>
        <v>28386</v>
      </c>
      <c r="R10" s="6">
        <v>8787</v>
      </c>
    </row>
    <row r="11" spans="2:22" x14ac:dyDescent="0.25">
      <c r="B11" s="23" t="s">
        <v>25</v>
      </c>
      <c r="C11" s="36">
        <v>12633</v>
      </c>
      <c r="D11" s="36">
        <v>14594</v>
      </c>
      <c r="E11" s="36">
        <v>15565</v>
      </c>
      <c r="F11" s="36">
        <v>16423</v>
      </c>
      <c r="G11" s="37">
        <f>F11</f>
        <v>16423</v>
      </c>
      <c r="H11" s="36">
        <v>19135</v>
      </c>
      <c r="I11" s="36">
        <v>19553</v>
      </c>
      <c r="J11" s="36">
        <v>19942</v>
      </c>
      <c r="K11" s="36">
        <v>19097</v>
      </c>
      <c r="L11" s="37">
        <f>K11</f>
        <v>19097</v>
      </c>
      <c r="M11" s="36">
        <v>20053</v>
      </c>
      <c r="N11" s="36">
        <v>19733</v>
      </c>
      <c r="O11" s="36">
        <v>20536</v>
      </c>
      <c r="P11" s="36">
        <v>22800</v>
      </c>
      <c r="Q11" s="37">
        <f>P11</f>
        <v>22800</v>
      </c>
      <c r="R11" s="41">
        <v>24680</v>
      </c>
      <c r="S11" s="43"/>
      <c r="T11" s="23"/>
      <c r="U11" s="23"/>
      <c r="V11" s="23"/>
    </row>
    <row r="12" spans="2:22" x14ac:dyDescent="0.25">
      <c r="B12" s="4" t="s">
        <v>20</v>
      </c>
    </row>
    <row r="13" spans="2:22" x14ac:dyDescent="0.25">
      <c r="B13" s="3" t="s">
        <v>27</v>
      </c>
      <c r="C13" s="7">
        <v>2472</v>
      </c>
      <c r="D13" s="7">
        <v>2692</v>
      </c>
      <c r="E13" s="7">
        <v>2802</v>
      </c>
      <c r="F13" s="7">
        <v>3894</v>
      </c>
      <c r="G13" s="8">
        <f>SUM(C13:F13)</f>
        <v>11860</v>
      </c>
      <c r="H13" s="7">
        <v>3523</v>
      </c>
      <c r="I13" s="7">
        <v>3468</v>
      </c>
      <c r="J13" s="7">
        <v>3940</v>
      </c>
      <c r="K13" s="7">
        <v>5017</v>
      </c>
      <c r="L13" s="8">
        <f>SUM(H13:K13)</f>
        <v>15948</v>
      </c>
      <c r="M13" s="7">
        <v>4917</v>
      </c>
      <c r="N13" s="7">
        <v>4425</v>
      </c>
      <c r="O13" s="7">
        <v>4255</v>
      </c>
      <c r="P13" s="7">
        <v>5527</v>
      </c>
      <c r="Q13" s="8">
        <f>SUM(M13:P13)</f>
        <v>19124</v>
      </c>
      <c r="R13" s="6">
        <v>5375</v>
      </c>
      <c r="S13" s="7"/>
      <c r="T13" s="7"/>
      <c r="U13" s="7"/>
      <c r="V13" s="8">
        <f>SUM(R13:U13)</f>
        <v>5375</v>
      </c>
    </row>
    <row r="14" spans="2:22" x14ac:dyDescent="0.25">
      <c r="B14" s="3" t="s">
        <v>28</v>
      </c>
      <c r="C14" s="7">
        <v>447</v>
      </c>
      <c r="D14" s="7">
        <v>554</v>
      </c>
      <c r="E14" s="7">
        <v>588</v>
      </c>
      <c r="F14" s="7">
        <v>874</v>
      </c>
      <c r="G14" s="8">
        <f>SUM(C14:F14)</f>
        <v>2463</v>
      </c>
      <c r="H14" s="7">
        <v>689</v>
      </c>
      <c r="I14" s="7">
        <v>664</v>
      </c>
      <c r="J14" s="7">
        <v>752</v>
      </c>
      <c r="K14" s="7">
        <v>900</v>
      </c>
      <c r="L14" s="8">
        <f>SUM(H14:K14)</f>
        <v>3005</v>
      </c>
      <c r="M14" s="7">
        <v>846</v>
      </c>
      <c r="N14" s="7">
        <v>856</v>
      </c>
      <c r="O14" s="7">
        <v>856</v>
      </c>
      <c r="P14" s="7">
        <v>986</v>
      </c>
      <c r="Q14" s="8">
        <f>SUM(M14:P14)</f>
        <v>3544</v>
      </c>
      <c r="R14" s="6">
        <v>1012</v>
      </c>
      <c r="S14" s="7"/>
      <c r="T14" s="7"/>
      <c r="U14" s="7"/>
      <c r="V14" s="8">
        <f>SUM(R14:U14)</f>
        <v>1012</v>
      </c>
    </row>
    <row r="15" spans="2:22" x14ac:dyDescent="0.25">
      <c r="B15" s="33" t="s">
        <v>108</v>
      </c>
      <c r="C15" s="34">
        <v>0.18099999999999999</v>
      </c>
      <c r="D15" s="34">
        <v>0.20599999999999999</v>
      </c>
      <c r="E15" s="34">
        <v>0.21</v>
      </c>
      <c r="F15" s="34">
        <v>0.22500000000000001</v>
      </c>
      <c r="G15" s="35">
        <f>G14/G13</f>
        <v>0.20767284991568297</v>
      </c>
      <c r="H15" s="34">
        <v>0.19600000000000001</v>
      </c>
      <c r="I15" s="34">
        <v>0.191</v>
      </c>
      <c r="J15" s="34">
        <v>0.191</v>
      </c>
      <c r="K15" s="34">
        <v>0.17899999999999999</v>
      </c>
      <c r="L15" s="35">
        <f>L14/L13</f>
        <v>0.18842488086280412</v>
      </c>
      <c r="M15" s="34">
        <v>0.17199999999999999</v>
      </c>
      <c r="N15" s="34">
        <v>0.19400000000000001</v>
      </c>
      <c r="O15" s="34">
        <v>0.20100000000000001</v>
      </c>
      <c r="P15" s="34">
        <v>0.17799999999999999</v>
      </c>
      <c r="Q15" s="35">
        <f>Q14/Q13</f>
        <v>0.18531687931395105</v>
      </c>
      <c r="R15" s="15">
        <v>0.188</v>
      </c>
      <c r="S15" s="14"/>
      <c r="T15" s="14"/>
      <c r="U15" s="14"/>
      <c r="V15" s="35">
        <f>V14/V13</f>
        <v>0.18827906976744185</v>
      </c>
    </row>
    <row r="16" spans="2:22" x14ac:dyDescent="0.25">
      <c r="B16" s="3" t="s">
        <v>30</v>
      </c>
      <c r="C16" s="7">
        <v>316</v>
      </c>
      <c r="D16" s="7">
        <v>424</v>
      </c>
      <c r="E16" s="7">
        <v>452</v>
      </c>
      <c r="F16" s="7">
        <v>727</v>
      </c>
      <c r="G16" s="8">
        <f>SUM(C16:F16)</f>
        <v>1919</v>
      </c>
      <c r="H16" s="7">
        <v>541</v>
      </c>
      <c r="I16" s="7">
        <v>514</v>
      </c>
      <c r="J16" s="7">
        <v>594</v>
      </c>
      <c r="K16" s="7">
        <v>748</v>
      </c>
      <c r="L16" s="8">
        <f>SUM(H16:K16)</f>
        <v>2397</v>
      </c>
      <c r="M16" s="7">
        <v>700</v>
      </c>
      <c r="N16" s="7">
        <v>703</v>
      </c>
      <c r="O16" s="7">
        <v>689</v>
      </c>
      <c r="P16" s="7">
        <v>811</v>
      </c>
      <c r="Q16" s="8">
        <f>SUM(M16:P16)</f>
        <v>2903</v>
      </c>
      <c r="R16" s="2">
        <v>848</v>
      </c>
      <c r="V16" s="8">
        <f>SUM(R16:U16)</f>
        <v>848</v>
      </c>
    </row>
    <row r="17" spans="2:23" x14ac:dyDescent="0.25">
      <c r="B17" s="33" t="s">
        <v>109</v>
      </c>
      <c r="C17" s="34">
        <v>0.128</v>
      </c>
      <c r="D17" s="34">
        <v>0.158</v>
      </c>
      <c r="E17" s="34">
        <v>0.16200000000000001</v>
      </c>
      <c r="F17" s="34">
        <v>0.188</v>
      </c>
      <c r="G17" s="35">
        <f>G16/G13</f>
        <v>0.16180438448566611</v>
      </c>
      <c r="H17" s="34">
        <v>0.154</v>
      </c>
      <c r="I17" s="34">
        <v>0.14799999999999999</v>
      </c>
      <c r="J17" s="34">
        <v>0.151</v>
      </c>
      <c r="K17" s="34">
        <v>0.14899999999999999</v>
      </c>
      <c r="L17" s="35">
        <f>L16/L13</f>
        <v>0.15030097817908203</v>
      </c>
      <c r="M17" s="34">
        <v>0.14199999999999999</v>
      </c>
      <c r="N17" s="34">
        <v>0.159</v>
      </c>
      <c r="O17" s="34">
        <v>0.16200000000000001</v>
      </c>
      <c r="P17" s="34">
        <v>0.14699999999999999</v>
      </c>
      <c r="Q17" s="35">
        <f>Q16/Q13</f>
        <v>0.15179878686467266</v>
      </c>
      <c r="R17" s="15">
        <v>0.158</v>
      </c>
      <c r="S17" s="14"/>
      <c r="T17" s="14"/>
      <c r="U17" s="14"/>
      <c r="V17" s="35">
        <f>V16/V13</f>
        <v>0.15776744186046512</v>
      </c>
    </row>
    <row r="18" spans="2:23" x14ac:dyDescent="0.25">
      <c r="B18" s="3" t="s">
        <v>26</v>
      </c>
      <c r="C18" s="7">
        <v>1331</v>
      </c>
      <c r="D18" s="7">
        <v>4080</v>
      </c>
      <c r="E18" s="7">
        <v>1619</v>
      </c>
      <c r="F18" s="7">
        <v>12530</v>
      </c>
      <c r="G18" s="8">
        <f>SUM(C18:F18)</f>
        <v>19560</v>
      </c>
      <c r="H18" s="7">
        <v>3849</v>
      </c>
      <c r="I18" s="7">
        <v>4438</v>
      </c>
      <c r="J18" s="7">
        <v>4646</v>
      </c>
      <c r="K18" s="7">
        <v>24839</v>
      </c>
      <c r="L18" s="8">
        <f>SUM(H18:K18)</f>
        <v>37772</v>
      </c>
      <c r="M18" s="7">
        <v>5190</v>
      </c>
      <c r="N18" s="7">
        <v>10257</v>
      </c>
      <c r="O18" s="7">
        <v>4749</v>
      </c>
      <c r="P18" s="7">
        <v>34185</v>
      </c>
      <c r="Q18" s="8">
        <f>SUM(M18:P18)</f>
        <v>54381</v>
      </c>
      <c r="R18" s="6">
        <v>10374</v>
      </c>
      <c r="S18" s="7"/>
      <c r="T18" s="7"/>
      <c r="U18" s="7"/>
      <c r="V18" s="7"/>
    </row>
    <row r="19" spans="2:23" x14ac:dyDescent="0.25">
      <c r="B19" s="23" t="s">
        <v>25</v>
      </c>
      <c r="C19" s="36">
        <v>34504</v>
      </c>
      <c r="D19" s="36">
        <v>35950</v>
      </c>
      <c r="E19" s="36">
        <v>35027</v>
      </c>
      <c r="F19" s="36">
        <v>43540</v>
      </c>
      <c r="G19" s="37">
        <f>F19</f>
        <v>43540</v>
      </c>
      <c r="H19" s="36">
        <v>43964</v>
      </c>
      <c r="I19" s="36">
        <v>44938</v>
      </c>
      <c r="J19" s="36">
        <v>45667</v>
      </c>
      <c r="K19" s="36">
        <v>65377</v>
      </c>
      <c r="L19" s="37">
        <f>K19</f>
        <v>65377</v>
      </c>
      <c r="M19" s="36">
        <v>65667</v>
      </c>
      <c r="N19" s="36">
        <v>71506</v>
      </c>
      <c r="O19" s="36">
        <v>71963</v>
      </c>
      <c r="P19" s="36">
        <v>100626</v>
      </c>
      <c r="Q19" s="37">
        <f>P19</f>
        <v>100626</v>
      </c>
      <c r="R19" s="41">
        <v>105440</v>
      </c>
      <c r="S19" s="42"/>
      <c r="T19" s="36"/>
      <c r="U19" s="36"/>
      <c r="V19" s="36"/>
    </row>
    <row r="20" spans="2:23" x14ac:dyDescent="0.25">
      <c r="B20" s="4" t="s">
        <v>21</v>
      </c>
    </row>
    <row r="21" spans="2:23" x14ac:dyDescent="0.25">
      <c r="B21" s="3" t="s">
        <v>27</v>
      </c>
      <c r="C21" s="7">
        <v>739</v>
      </c>
      <c r="D21" s="7">
        <v>747</v>
      </c>
      <c r="E21" s="7">
        <v>685</v>
      </c>
      <c r="F21" s="7">
        <v>827</v>
      </c>
      <c r="G21" s="8">
        <f>SUM(C21:F21)</f>
        <v>2998</v>
      </c>
      <c r="H21" s="7">
        <v>911</v>
      </c>
      <c r="I21" s="7">
        <v>934</v>
      </c>
      <c r="J21" s="7">
        <v>924</v>
      </c>
      <c r="K21" s="7">
        <v>1145</v>
      </c>
      <c r="L21" s="8">
        <f>SUM(H21:K21)</f>
        <v>3914</v>
      </c>
      <c r="M21" s="7">
        <v>1052</v>
      </c>
      <c r="N21" s="7">
        <v>1012</v>
      </c>
      <c r="O21" s="7">
        <v>1122</v>
      </c>
      <c r="P21" s="7">
        <v>1241</v>
      </c>
      <c r="Q21" s="8">
        <f>SUM(M21:P21)</f>
        <v>4427</v>
      </c>
      <c r="R21" s="6">
        <v>1357</v>
      </c>
      <c r="S21" s="7"/>
      <c r="T21" s="7"/>
      <c r="U21" s="7"/>
      <c r="V21" s="8">
        <f>SUM(R21:U21)</f>
        <v>1357</v>
      </c>
      <c r="W21" s="7"/>
    </row>
    <row r="22" spans="2:23" x14ac:dyDescent="0.25">
      <c r="B22" s="3" t="s">
        <v>28</v>
      </c>
      <c r="C22" s="7">
        <v>113</v>
      </c>
      <c r="D22" s="7">
        <v>147</v>
      </c>
      <c r="E22" s="7">
        <v>173</v>
      </c>
      <c r="F22" s="7">
        <v>131</v>
      </c>
      <c r="G22" s="8">
        <f>SUM(C22:F22)</f>
        <v>564</v>
      </c>
      <c r="H22" s="7">
        <v>144</v>
      </c>
      <c r="I22" s="7">
        <v>168</v>
      </c>
      <c r="J22" s="7">
        <v>160</v>
      </c>
      <c r="K22" s="7">
        <v>174</v>
      </c>
      <c r="L22" s="8">
        <f>SUM(H22:K22)</f>
        <v>646</v>
      </c>
      <c r="M22" s="7">
        <v>139</v>
      </c>
      <c r="N22" s="7">
        <v>169</v>
      </c>
      <c r="O22" s="7">
        <v>194</v>
      </c>
      <c r="P22" s="7">
        <v>257</v>
      </c>
      <c r="Q22" s="8">
        <f>SUM(M22:P22)</f>
        <v>759</v>
      </c>
      <c r="R22" s="2">
        <v>280</v>
      </c>
      <c r="V22" s="8">
        <f>SUM(R22:U22)</f>
        <v>280</v>
      </c>
    </row>
    <row r="23" spans="2:23" x14ac:dyDescent="0.25">
      <c r="B23" s="33" t="s">
        <v>108</v>
      </c>
      <c r="C23" s="34">
        <v>0.154</v>
      </c>
      <c r="D23" s="34">
        <v>0.20100000000000001</v>
      </c>
      <c r="E23" s="34">
        <v>0.253</v>
      </c>
      <c r="F23" s="34">
        <v>0.159</v>
      </c>
      <c r="G23" s="35">
        <f>G22/G21</f>
        <v>0.18812541694462975</v>
      </c>
      <c r="H23" s="34">
        <v>0.158</v>
      </c>
      <c r="I23" s="34">
        <v>0.18</v>
      </c>
      <c r="J23" s="34">
        <v>0.17299999999999999</v>
      </c>
      <c r="K23" s="34">
        <v>0.152</v>
      </c>
      <c r="L23" s="35">
        <f>L22/L21</f>
        <v>0.1650485436893204</v>
      </c>
      <c r="M23" s="34">
        <v>0.13200000000000001</v>
      </c>
      <c r="N23" s="34">
        <v>0.16700000000000001</v>
      </c>
      <c r="O23" s="34">
        <v>0.17299999999999999</v>
      </c>
      <c r="P23" s="34">
        <v>0.20699999999999999</v>
      </c>
      <c r="Q23" s="35">
        <f>Q22/Q21</f>
        <v>0.17144793313756496</v>
      </c>
      <c r="R23" s="15">
        <v>0.20599999999999999</v>
      </c>
      <c r="S23" s="14"/>
      <c r="T23" s="14"/>
      <c r="U23" s="14"/>
      <c r="V23" s="35">
        <f>V22/V21</f>
        <v>0.20633750921149593</v>
      </c>
    </row>
    <row r="24" spans="2:23" x14ac:dyDescent="0.25">
      <c r="B24" s="3" t="s">
        <v>30</v>
      </c>
      <c r="C24" s="7">
        <v>88</v>
      </c>
      <c r="D24" s="7">
        <v>123</v>
      </c>
      <c r="E24" s="7">
        <v>151</v>
      </c>
      <c r="F24" s="7">
        <v>102</v>
      </c>
      <c r="G24" s="8">
        <f>SUM(C24:F24)</f>
        <v>464</v>
      </c>
      <c r="H24" s="7">
        <v>117</v>
      </c>
      <c r="I24" s="7">
        <v>141</v>
      </c>
      <c r="J24" s="7">
        <v>149</v>
      </c>
      <c r="K24" s="7">
        <v>150</v>
      </c>
      <c r="L24" s="8">
        <f>SUM(H24:K24)</f>
        <v>557</v>
      </c>
      <c r="M24" s="7">
        <v>114</v>
      </c>
      <c r="N24" s="7">
        <v>143</v>
      </c>
      <c r="O24" s="7">
        <v>167</v>
      </c>
      <c r="P24" s="7">
        <v>228</v>
      </c>
      <c r="Q24" s="8">
        <f>SUM(M24:P24)</f>
        <v>652</v>
      </c>
      <c r="R24" s="2">
        <v>240</v>
      </c>
      <c r="V24" s="8">
        <f>SUM(R24:U24)</f>
        <v>240</v>
      </c>
    </row>
    <row r="25" spans="2:23" x14ac:dyDescent="0.25">
      <c r="B25" s="33" t="s">
        <v>109</v>
      </c>
      <c r="C25" s="34">
        <v>0.12</v>
      </c>
      <c r="D25" s="34">
        <v>0.16800000000000001</v>
      </c>
      <c r="E25" s="34">
        <v>0.22</v>
      </c>
      <c r="F25" s="34">
        <v>0.123</v>
      </c>
      <c r="G25" s="35">
        <f>G24/G21</f>
        <v>0.15476984656437626</v>
      </c>
      <c r="H25" s="34">
        <v>0.128</v>
      </c>
      <c r="I25" s="34">
        <v>0.151</v>
      </c>
      <c r="J25" s="34">
        <v>0.161</v>
      </c>
      <c r="K25" s="34">
        <v>0.13100000000000001</v>
      </c>
      <c r="L25" s="35">
        <f>L24/L21</f>
        <v>0.14230965763924375</v>
      </c>
      <c r="M25" s="34">
        <v>0.109</v>
      </c>
      <c r="N25" s="34">
        <v>0.14199999999999999</v>
      </c>
      <c r="O25" s="34">
        <v>0.14899999999999999</v>
      </c>
      <c r="P25" s="34">
        <v>0.184</v>
      </c>
      <c r="Q25" s="35">
        <f>Q24/Q21</f>
        <v>0.14727806641066185</v>
      </c>
      <c r="R25" s="15">
        <v>0.17699999999999999</v>
      </c>
      <c r="S25" s="14"/>
      <c r="T25" s="14"/>
      <c r="U25" s="14"/>
      <c r="V25" s="35">
        <f>V24/V21</f>
        <v>0.17686072218128224</v>
      </c>
    </row>
    <row r="26" spans="2:23" x14ac:dyDescent="0.25">
      <c r="B26" s="3" t="s">
        <v>26</v>
      </c>
      <c r="C26" s="7">
        <v>926</v>
      </c>
      <c r="D26" s="7">
        <v>1215</v>
      </c>
      <c r="E26" s="7">
        <v>885</v>
      </c>
      <c r="F26" s="7">
        <v>550</v>
      </c>
      <c r="G26" s="8">
        <f>SUM(C26:F26)</f>
        <v>3576</v>
      </c>
      <c r="H26" s="7">
        <v>1041</v>
      </c>
      <c r="I26" s="7">
        <v>835</v>
      </c>
      <c r="J26" s="7">
        <v>1103</v>
      </c>
      <c r="K26" s="7">
        <v>1326</v>
      </c>
      <c r="L26" s="8">
        <f>SUM(H26:K26)</f>
        <v>4305</v>
      </c>
      <c r="M26" s="7">
        <v>1157</v>
      </c>
      <c r="N26" s="7">
        <v>839</v>
      </c>
      <c r="O26" s="7">
        <v>1229</v>
      </c>
      <c r="P26" s="7">
        <v>1300</v>
      </c>
      <c r="Q26" s="8">
        <f>SUM(M26:P26)</f>
        <v>4525</v>
      </c>
      <c r="R26" s="6">
        <v>1464</v>
      </c>
      <c r="S26" s="7"/>
      <c r="T26" s="7"/>
      <c r="U26" s="7"/>
      <c r="V26" s="7"/>
      <c r="W26" s="7"/>
    </row>
    <row r="27" spans="2:23" x14ac:dyDescent="0.25">
      <c r="B27" s="23" t="s">
        <v>25</v>
      </c>
      <c r="C27" s="36">
        <v>2068</v>
      </c>
      <c r="D27" s="36">
        <v>2592</v>
      </c>
      <c r="E27" s="36">
        <v>2811</v>
      </c>
      <c r="F27" s="36">
        <v>2452</v>
      </c>
      <c r="G27" s="37">
        <f>F27</f>
        <v>2452</v>
      </c>
      <c r="H27" s="36">
        <v>2708</v>
      </c>
      <c r="I27" s="36">
        <v>2641</v>
      </c>
      <c r="J27" s="36">
        <v>2732</v>
      </c>
      <c r="K27" s="36">
        <v>2948</v>
      </c>
      <c r="L27" s="37">
        <f>K27</f>
        <v>2948</v>
      </c>
      <c r="M27" s="36">
        <v>3110</v>
      </c>
      <c r="N27" s="36">
        <v>2925</v>
      </c>
      <c r="O27" s="36">
        <v>3002</v>
      </c>
      <c r="P27" s="36">
        <v>3069</v>
      </c>
      <c r="Q27" s="37">
        <f>P27</f>
        <v>3069</v>
      </c>
      <c r="R27" s="41">
        <v>3194</v>
      </c>
      <c r="S27" s="42"/>
      <c r="T27" s="36"/>
      <c r="U27" s="36"/>
      <c r="V27" s="36"/>
      <c r="W27" s="7"/>
    </row>
    <row r="28" spans="2:23" x14ac:dyDescent="0.25">
      <c r="B28" s="4" t="s">
        <v>22</v>
      </c>
    </row>
    <row r="29" spans="2:23" x14ac:dyDescent="0.25">
      <c r="B29" s="3" t="s">
        <v>27</v>
      </c>
      <c r="C29" s="7">
        <v>221</v>
      </c>
      <c r="D29" s="7">
        <v>220</v>
      </c>
      <c r="E29" s="7">
        <v>262</v>
      </c>
      <c r="F29" s="7">
        <v>285</v>
      </c>
      <c r="G29" s="8">
        <f>SUM(C29:F29)</f>
        <v>988</v>
      </c>
      <c r="H29" s="7">
        <v>293</v>
      </c>
      <c r="I29" s="7">
        <v>341</v>
      </c>
      <c r="J29" s="7">
        <v>360</v>
      </c>
      <c r="K29" s="7">
        <v>439</v>
      </c>
      <c r="L29" s="8">
        <f>SUM(H29:K29)</f>
        <v>1433</v>
      </c>
      <c r="M29" s="7">
        <v>393</v>
      </c>
      <c r="N29" s="7">
        <v>406</v>
      </c>
      <c r="O29" s="7">
        <v>422</v>
      </c>
      <c r="P29" s="7">
        <v>514</v>
      </c>
      <c r="Q29" s="8">
        <f>SUM(M29:P29)</f>
        <v>1735</v>
      </c>
    </row>
    <row r="30" spans="2:23" x14ac:dyDescent="0.25">
      <c r="B30" s="3" t="s">
        <v>28</v>
      </c>
      <c r="C30" s="7">
        <v>-48</v>
      </c>
      <c r="D30" s="7">
        <v>-50</v>
      </c>
      <c r="E30" s="7">
        <v>-52</v>
      </c>
      <c r="F30" s="7">
        <v>-52</v>
      </c>
      <c r="G30" s="8">
        <f>SUM(C30:F30)</f>
        <v>-202</v>
      </c>
      <c r="H30" s="7">
        <v>-83</v>
      </c>
      <c r="I30" s="7">
        <v>-68</v>
      </c>
      <c r="J30" s="7">
        <v>-36</v>
      </c>
      <c r="K30" s="7">
        <v>-64</v>
      </c>
      <c r="L30" s="8">
        <f>SUM(H30:K30)</f>
        <v>-251</v>
      </c>
      <c r="M30" s="7">
        <v>-30</v>
      </c>
      <c r="N30" s="7">
        <v>-62</v>
      </c>
      <c r="O30" s="7">
        <v>21</v>
      </c>
      <c r="P30" s="7">
        <v>1</v>
      </c>
      <c r="Q30" s="8">
        <f>SUM(M30:P30)</f>
        <v>-70</v>
      </c>
    </row>
    <row r="31" spans="2:23" x14ac:dyDescent="0.25">
      <c r="B31" s="33" t="s">
        <v>108</v>
      </c>
      <c r="C31" s="34">
        <v>-0.217</v>
      </c>
      <c r="D31" s="34">
        <v>-0.23</v>
      </c>
      <c r="E31" s="34">
        <v>-0.19600000000000001</v>
      </c>
      <c r="F31" s="34">
        <v>-0.19600000000000001</v>
      </c>
      <c r="G31" s="35">
        <f>G30/G29</f>
        <v>-0.20445344129554655</v>
      </c>
      <c r="H31" s="34">
        <v>-0.28399999999999997</v>
      </c>
      <c r="I31" s="34">
        <v>-0.19900000000000001</v>
      </c>
      <c r="J31" s="34">
        <v>-0.10100000000000001</v>
      </c>
      <c r="K31" s="34">
        <v>-0.14699999999999999</v>
      </c>
      <c r="L31" s="35">
        <f>L30/L29</f>
        <v>-0.17515701325889743</v>
      </c>
      <c r="M31" s="34">
        <v>-7.6999999999999999E-2</v>
      </c>
      <c r="N31" s="34">
        <v>-0.153</v>
      </c>
      <c r="O31" s="34">
        <v>4.9000000000000002E-2</v>
      </c>
      <c r="P31" s="34">
        <v>1E-3</v>
      </c>
      <c r="Q31" s="35">
        <f>Q30/Q29</f>
        <v>-4.0345821325648415E-2</v>
      </c>
    </row>
    <row r="32" spans="2:23" x14ac:dyDescent="0.25">
      <c r="B32" s="3" t="s">
        <v>30</v>
      </c>
      <c r="C32" s="7">
        <v>-73</v>
      </c>
      <c r="D32" s="7">
        <v>-79</v>
      </c>
      <c r="E32" s="7">
        <v>-83</v>
      </c>
      <c r="F32" s="7">
        <v>-83</v>
      </c>
      <c r="G32" s="8">
        <f>SUM(C32:F32)</f>
        <v>-318</v>
      </c>
      <c r="H32" s="7">
        <v>-127</v>
      </c>
      <c r="I32" s="7">
        <v>-114</v>
      </c>
      <c r="J32" s="7">
        <v>-84</v>
      </c>
      <c r="K32" s="7">
        <v>-153</v>
      </c>
      <c r="L32" s="8">
        <f>SUM(H32:K32)</f>
        <v>-478</v>
      </c>
      <c r="M32" s="7">
        <v>-93</v>
      </c>
      <c r="N32" s="7">
        <v>-125</v>
      </c>
      <c r="O32" s="7">
        <v>-43</v>
      </c>
      <c r="P32" s="7">
        <v>-71</v>
      </c>
      <c r="Q32" s="8">
        <f>SUM(M32:P32)</f>
        <v>-332</v>
      </c>
    </row>
    <row r="33" spans="2:17" x14ac:dyDescent="0.25">
      <c r="B33" s="33" t="s">
        <v>109</v>
      </c>
      <c r="C33" s="34">
        <v>-0.32800000000000001</v>
      </c>
      <c r="D33" s="34">
        <v>-0.36099999999999999</v>
      </c>
      <c r="E33" s="34">
        <v>-0.314</v>
      </c>
      <c r="F33" s="34">
        <v>-0.314</v>
      </c>
      <c r="G33" s="35">
        <f>G32/G29</f>
        <v>-0.32186234817813764</v>
      </c>
      <c r="H33" s="34">
        <v>0.433</v>
      </c>
      <c r="I33" s="34">
        <v>-0.33500000000000002</v>
      </c>
      <c r="J33" s="34">
        <v>-0.23499999999999999</v>
      </c>
      <c r="K33" s="34">
        <v>-0.34799999999999998</v>
      </c>
      <c r="L33" s="35">
        <f>L32/L29</f>
        <v>-0.33356594556873692</v>
      </c>
      <c r="M33" s="34">
        <v>-0.23599999999999999</v>
      </c>
      <c r="N33" s="34">
        <v>-0.308</v>
      </c>
      <c r="O33" s="34">
        <v>-0.10100000000000001</v>
      </c>
      <c r="P33" s="34">
        <v>-0.13800000000000001</v>
      </c>
      <c r="Q33" s="35">
        <f>Q32/Q29</f>
        <v>-0.19135446685878962</v>
      </c>
    </row>
    <row r="34" spans="2:17" x14ac:dyDescent="0.25">
      <c r="B34" s="3" t="s">
        <v>26</v>
      </c>
      <c r="C34" s="7">
        <v>209</v>
      </c>
      <c r="D34" s="7">
        <v>257</v>
      </c>
      <c r="E34" s="7">
        <v>286</v>
      </c>
      <c r="F34" s="7">
        <v>286</v>
      </c>
      <c r="G34" s="8">
        <f>SUM(C34:F34)</f>
        <v>1038</v>
      </c>
      <c r="H34" s="7">
        <v>553</v>
      </c>
      <c r="I34" s="7">
        <v>411</v>
      </c>
      <c r="J34" s="7">
        <v>321</v>
      </c>
      <c r="K34" s="7">
        <v>1001</v>
      </c>
      <c r="L34" s="8">
        <f>SUM(H34:K34)</f>
        <v>2286</v>
      </c>
      <c r="M34" s="7">
        <v>531</v>
      </c>
      <c r="N34" s="7">
        <v>363</v>
      </c>
      <c r="O34" s="7">
        <v>284</v>
      </c>
      <c r="P34" s="7">
        <v>349</v>
      </c>
      <c r="Q34" s="8">
        <f>SUM(M34:P34)</f>
        <v>1527</v>
      </c>
    </row>
    <row r="35" spans="2:17" x14ac:dyDescent="0.25">
      <c r="B35" s="23" t="s">
        <v>25</v>
      </c>
      <c r="C35" s="36">
        <v>928</v>
      </c>
      <c r="D35" s="36">
        <v>986</v>
      </c>
      <c r="E35" s="36">
        <v>1050</v>
      </c>
      <c r="F35" s="36">
        <v>1050</v>
      </c>
      <c r="G35" s="37">
        <f>F35</f>
        <v>1050</v>
      </c>
      <c r="H35" s="36">
        <v>1489</v>
      </c>
      <c r="I35" s="36">
        <v>1570</v>
      </c>
      <c r="J35" s="36">
        <v>1509</v>
      </c>
      <c r="K35" s="36">
        <v>2034</v>
      </c>
      <c r="L35" s="37">
        <f>K35</f>
        <v>2034</v>
      </c>
      <c r="M35" s="36">
        <v>2224</v>
      </c>
      <c r="N35" s="36">
        <v>2171</v>
      </c>
      <c r="O35" s="36">
        <v>2046</v>
      </c>
      <c r="P35" s="36">
        <v>1953</v>
      </c>
      <c r="Q35" s="37">
        <f>P35</f>
        <v>1953</v>
      </c>
    </row>
    <row r="37" spans="2:17" x14ac:dyDescent="0.25">
      <c r="B3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D8EC-5E9E-AF4D-B55E-0F84D367B0C6}">
  <dimension ref="E5:H7"/>
  <sheetViews>
    <sheetView showGridLines="0" workbookViewId="0">
      <selection activeCell="H13" sqref="H13"/>
    </sheetView>
  </sheetViews>
  <sheetFormatPr baseColWidth="10" defaultRowHeight="16" x14ac:dyDescent="0.2"/>
  <cols>
    <col min="5" max="5" width="28.5" bestFit="1" customWidth="1"/>
    <col min="6" max="8" width="18.6640625" bestFit="1" customWidth="1"/>
    <col min="9" max="9" width="12" bestFit="1" customWidth="1"/>
  </cols>
  <sheetData>
    <row r="5" spans="5:8" ht="62" x14ac:dyDescent="0.7">
      <c r="E5" s="29"/>
      <c r="F5" s="29">
        <v>2025</v>
      </c>
      <c r="G5" s="29">
        <v>2026</v>
      </c>
      <c r="H5" s="29">
        <v>2027</v>
      </c>
    </row>
    <row r="6" spans="5:8" ht="62" x14ac:dyDescent="0.7">
      <c r="E6" s="29" t="s">
        <v>90</v>
      </c>
      <c r="F6" s="30">
        <f>Modell!$B$9/Modell!AB13</f>
        <v>36.66316421921389</v>
      </c>
      <c r="G6" s="30">
        <f>Modell!$B$9/Modell!AC13</f>
        <v>31.037577587640154</v>
      </c>
      <c r="H6" s="30">
        <f>Modell!$B$9/Modell!AD13</f>
        <v>25.081106845678505</v>
      </c>
    </row>
    <row r="7" spans="5:8" ht="62" x14ac:dyDescent="0.7">
      <c r="E7" s="29" t="s">
        <v>91</v>
      </c>
      <c r="F7" s="30">
        <f>Modell!$B$4/Modell!AB20</f>
        <v>49.116858194960706</v>
      </c>
      <c r="G7" s="30">
        <f>Modell!$B$4/Modell!AC20</f>
        <v>41.580379914079849</v>
      </c>
      <c r="H7" s="30">
        <f>Modell!$B$4/Modell!AD20</f>
        <v>33.600623256250501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2025-01-02T09:00:06Z</dcterms:created>
  <dcterms:modified xsi:type="dcterms:W3CDTF">2025-06-24T16:17:37Z</dcterms:modified>
</cp:coreProperties>
</file>