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B94337D1-6577-6B4B-8EBA-07279022C333}" xr6:coauthVersionLast="47" xr6:coauthVersionMax="47" xr10:uidLastSave="{00000000-0000-0000-0000-000000000000}"/>
  <bookViews>
    <workbookView xWindow="25560" yWindow="500" windowWidth="25640" windowHeight="26740" activeTab="4" xr2:uid="{26B5AB01-CD10-FD4B-9D82-6A1F65877131}"/>
  </bookViews>
  <sheets>
    <sheet name="Info" sheetId="2" r:id="rId1"/>
    <sheet name="Modell" sheetId="1" r:id="rId2"/>
    <sheet name="Land" sheetId="6" r:id="rId3"/>
    <sheet name="Segment" sheetId="5" r:id="rId4"/>
    <sheet name="Nøkkeltal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AB25" i="1"/>
  <c r="AC25" i="1"/>
  <c r="AD25" i="1"/>
  <c r="AE25" i="1"/>
  <c r="AF25" i="1"/>
  <c r="AG25" i="1"/>
  <c r="AH25" i="1"/>
  <c r="AI25" i="1"/>
  <c r="AJ25" i="1"/>
  <c r="AK25" i="1"/>
  <c r="W25" i="1"/>
  <c r="X25" i="1"/>
  <c r="Y25" i="1"/>
  <c r="Z25" i="1"/>
  <c r="AA25" i="1"/>
  <c r="H25" i="1"/>
  <c r="I25" i="1"/>
  <c r="J25" i="1"/>
  <c r="K25" i="1"/>
  <c r="L25" i="1"/>
  <c r="M25" i="1"/>
  <c r="N25" i="1"/>
  <c r="O25" i="1"/>
  <c r="P25" i="1"/>
  <c r="P15" i="1"/>
  <c r="Q17" i="5" l="1"/>
  <c r="Q36" i="5"/>
  <c r="Q37" i="5" s="1"/>
  <c r="Q34" i="5"/>
  <c r="Q35" i="5" s="1"/>
  <c r="Q33" i="5"/>
  <c r="Q32" i="5"/>
  <c r="Q30" i="5"/>
  <c r="Q31" i="5" s="1"/>
  <c r="Q28" i="5"/>
  <c r="Q29" i="5" s="1"/>
  <c r="Q25" i="5"/>
  <c r="Q26" i="5" s="1"/>
  <c r="Q23" i="5"/>
  <c r="Q24" i="5" s="1"/>
  <c r="Q22" i="5"/>
  <c r="Q21" i="5"/>
  <c r="Q19" i="5"/>
  <c r="Q20" i="5" s="1"/>
  <c r="Q18" i="5"/>
  <c r="Q14" i="5"/>
  <c r="Q15" i="5" s="1"/>
  <c r="Q12" i="5"/>
  <c r="Q13" i="5" s="1"/>
  <c r="Q11" i="5"/>
  <c r="Q10" i="5"/>
  <c r="Q8" i="5"/>
  <c r="Q9" i="5" s="1"/>
  <c r="Q6" i="5"/>
  <c r="Q7" i="5" s="1"/>
  <c r="L18" i="5"/>
  <c r="L17" i="5"/>
  <c r="L28" i="5"/>
  <c r="L29" i="5"/>
  <c r="L36" i="5"/>
  <c r="L37" i="5" s="1"/>
  <c r="L34" i="5"/>
  <c r="L35" i="5" s="1"/>
  <c r="L33" i="5"/>
  <c r="L32" i="5"/>
  <c r="L30" i="5"/>
  <c r="L31" i="5" s="1"/>
  <c r="L25" i="5"/>
  <c r="L26" i="5" s="1"/>
  <c r="L23" i="5"/>
  <c r="L24" i="5" s="1"/>
  <c r="L22" i="5"/>
  <c r="L21" i="5"/>
  <c r="L19" i="5"/>
  <c r="L20" i="5" s="1"/>
  <c r="L7" i="5"/>
  <c r="L14" i="5"/>
  <c r="L15" i="5" s="1"/>
  <c r="L12" i="5"/>
  <c r="L13" i="5" s="1"/>
  <c r="L11" i="5"/>
  <c r="L10" i="5"/>
  <c r="L8" i="5"/>
  <c r="L9" i="5" s="1"/>
  <c r="L6" i="5"/>
  <c r="G37" i="5"/>
  <c r="G28" i="5"/>
  <c r="G36" i="5"/>
  <c r="G34" i="5"/>
  <c r="G35" i="5" s="1"/>
  <c r="G33" i="5"/>
  <c r="G32" i="5"/>
  <c r="G30" i="5"/>
  <c r="G31" i="5" s="1"/>
  <c r="G25" i="5"/>
  <c r="G26" i="5" s="1"/>
  <c r="G23" i="5"/>
  <c r="G24" i="5" s="1"/>
  <c r="G22" i="5"/>
  <c r="G21" i="5"/>
  <c r="G19" i="5"/>
  <c r="G20" i="5" s="1"/>
  <c r="G17" i="5"/>
  <c r="G13" i="5"/>
  <c r="G9" i="5"/>
  <c r="G15" i="5"/>
  <c r="G14" i="5"/>
  <c r="G12" i="5"/>
  <c r="G11" i="5"/>
  <c r="G10" i="5"/>
  <c r="G8" i="5"/>
  <c r="G6" i="5"/>
  <c r="V12" i="6"/>
  <c r="V13" i="6" s="1"/>
  <c r="V9" i="6"/>
  <c r="V10" i="6" s="1"/>
  <c r="V6" i="6"/>
  <c r="V14" i="6" s="1"/>
  <c r="Q12" i="6"/>
  <c r="Q13" i="6" s="1"/>
  <c r="Q9" i="6"/>
  <c r="Q10" i="6" s="1"/>
  <c r="Q6" i="6"/>
  <c r="Q14" i="6" s="1"/>
  <c r="L13" i="6"/>
  <c r="L10" i="6"/>
  <c r="L7" i="6"/>
  <c r="L14" i="6"/>
  <c r="L6" i="6"/>
  <c r="L12" i="6"/>
  <c r="L9" i="6"/>
  <c r="G14" i="6"/>
  <c r="G12" i="6"/>
  <c r="G9" i="6"/>
  <c r="G6" i="6"/>
  <c r="I13" i="6"/>
  <c r="I10" i="6"/>
  <c r="I7" i="6"/>
  <c r="K13" i="6"/>
  <c r="K10" i="6"/>
  <c r="K7" i="6"/>
  <c r="P13" i="6"/>
  <c r="P10" i="6"/>
  <c r="P7" i="6"/>
  <c r="U13" i="6"/>
  <c r="U10" i="6"/>
  <c r="U7" i="6"/>
  <c r="J7" i="6"/>
  <c r="J13" i="6"/>
  <c r="J10" i="6"/>
  <c r="O13" i="6"/>
  <c r="O10" i="6"/>
  <c r="O7" i="6"/>
  <c r="T13" i="6"/>
  <c r="T10" i="6"/>
  <c r="T7" i="6"/>
  <c r="N7" i="6"/>
  <c r="N13" i="6"/>
  <c r="N10" i="6"/>
  <c r="S13" i="6"/>
  <c r="S10" i="6"/>
  <c r="S7" i="6"/>
  <c r="H13" i="6"/>
  <c r="M13" i="6"/>
  <c r="M10" i="6"/>
  <c r="H10" i="6"/>
  <c r="H7" i="6"/>
  <c r="M7" i="6"/>
  <c r="R13" i="6"/>
  <c r="R10" i="6"/>
  <c r="R7" i="6"/>
  <c r="C14" i="6"/>
  <c r="D14" i="6"/>
  <c r="E14" i="6"/>
  <c r="F14" i="6"/>
  <c r="H14" i="6"/>
  <c r="I14" i="6"/>
  <c r="J14" i="6"/>
  <c r="K14" i="6"/>
  <c r="M14" i="6"/>
  <c r="N14" i="6"/>
  <c r="O14" i="6"/>
  <c r="P14" i="6"/>
  <c r="S14" i="6"/>
  <c r="T14" i="6"/>
  <c r="U14" i="6"/>
  <c r="R14" i="6"/>
  <c r="B9" i="1"/>
  <c r="P84" i="1"/>
  <c r="P76" i="1"/>
  <c r="P72" i="1"/>
  <c r="P60" i="1"/>
  <c r="P61" i="1" s="1"/>
  <c r="P48" i="1"/>
  <c r="P41" i="1"/>
  <c r="P44" i="1"/>
  <c r="P21" i="1"/>
  <c r="P14" i="1"/>
  <c r="P8" i="1"/>
  <c r="Y82" i="1"/>
  <c r="Y84" i="1" s="1"/>
  <c r="Y71" i="1"/>
  <c r="Y72" i="1" s="1"/>
  <c r="Y88" i="1" s="1"/>
  <c r="V88" i="1"/>
  <c r="W88" i="1"/>
  <c r="V76" i="1"/>
  <c r="V86" i="1" s="1"/>
  <c r="W76" i="1"/>
  <c r="W86" i="1" s="1"/>
  <c r="X76" i="1"/>
  <c r="Y76" i="1"/>
  <c r="X88" i="1"/>
  <c r="Z82" i="1"/>
  <c r="Z84" i="1"/>
  <c r="Z76" i="1"/>
  <c r="Z72" i="1"/>
  <c r="Z88" i="1" s="1"/>
  <c r="D88" i="1"/>
  <c r="E88" i="1"/>
  <c r="F88" i="1"/>
  <c r="G88" i="1"/>
  <c r="N84" i="1"/>
  <c r="M84" i="1"/>
  <c r="L84" i="1"/>
  <c r="K84" i="1"/>
  <c r="J84" i="1"/>
  <c r="I84" i="1"/>
  <c r="H84" i="1"/>
  <c r="O84" i="1"/>
  <c r="D76" i="1"/>
  <c r="D86" i="1" s="1"/>
  <c r="E76" i="1"/>
  <c r="E86" i="1" s="1"/>
  <c r="F76" i="1"/>
  <c r="F86" i="1" s="1"/>
  <c r="G76" i="1"/>
  <c r="G86" i="1" s="1"/>
  <c r="H76" i="1"/>
  <c r="I76" i="1"/>
  <c r="J76" i="1"/>
  <c r="K76" i="1"/>
  <c r="L76" i="1"/>
  <c r="M76" i="1"/>
  <c r="N76" i="1"/>
  <c r="O76" i="1"/>
  <c r="H72" i="1"/>
  <c r="H88" i="1" s="1"/>
  <c r="I72" i="1"/>
  <c r="I88" i="1" s="1"/>
  <c r="J72" i="1"/>
  <c r="K72" i="1"/>
  <c r="K88" i="1" s="1"/>
  <c r="L72" i="1"/>
  <c r="L88" i="1" s="1"/>
  <c r="M72" i="1"/>
  <c r="M88" i="1" s="1"/>
  <c r="N72" i="1"/>
  <c r="N88" i="1" s="1"/>
  <c r="O72" i="1"/>
  <c r="O88" i="1" s="1"/>
  <c r="V21" i="1"/>
  <c r="W21" i="1"/>
  <c r="V26" i="1"/>
  <c r="W26" i="1"/>
  <c r="W24" i="1"/>
  <c r="W14" i="1"/>
  <c r="W15" i="1" s="1"/>
  <c r="V14" i="1"/>
  <c r="V15" i="1" s="1"/>
  <c r="D41" i="1"/>
  <c r="E41" i="1"/>
  <c r="E44" i="1" s="1"/>
  <c r="F41" i="1"/>
  <c r="F44" i="1" s="1"/>
  <c r="J41" i="1"/>
  <c r="J44" i="1" s="1"/>
  <c r="G41" i="1"/>
  <c r="G44" i="1" s="1"/>
  <c r="K41" i="1"/>
  <c r="K44" i="1" s="1"/>
  <c r="H60" i="1"/>
  <c r="H41" i="1"/>
  <c r="H44" i="1" s="1"/>
  <c r="L41" i="1"/>
  <c r="D48" i="1"/>
  <c r="E48" i="1"/>
  <c r="F48" i="1"/>
  <c r="G48" i="1"/>
  <c r="H48" i="1"/>
  <c r="I48" i="1"/>
  <c r="J48" i="1"/>
  <c r="K48" i="1"/>
  <c r="L48" i="1"/>
  <c r="M48" i="1"/>
  <c r="O48" i="1"/>
  <c r="I41" i="1"/>
  <c r="I44" i="1" s="1"/>
  <c r="M41" i="1"/>
  <c r="M44" i="1"/>
  <c r="D60" i="1"/>
  <c r="E60" i="1"/>
  <c r="F60" i="1"/>
  <c r="F61" i="1" s="1"/>
  <c r="G60" i="1"/>
  <c r="I60" i="1"/>
  <c r="J60" i="1"/>
  <c r="K60" i="1"/>
  <c r="L60" i="1"/>
  <c r="M60" i="1"/>
  <c r="D44" i="1"/>
  <c r="L44" i="1"/>
  <c r="W27" i="1" l="1"/>
  <c r="W17" i="1"/>
  <c r="D61" i="1"/>
  <c r="P17" i="1"/>
  <c r="Z86" i="1"/>
  <c r="O86" i="1"/>
  <c r="G61" i="1"/>
  <c r="P26" i="1"/>
  <c r="P86" i="1"/>
  <c r="P27" i="1"/>
  <c r="V7" i="6"/>
  <c r="Q7" i="6"/>
  <c r="P88" i="1"/>
  <c r="X86" i="1"/>
  <c r="Y86" i="1"/>
  <c r="I86" i="1"/>
  <c r="H86" i="1"/>
  <c r="L86" i="1"/>
  <c r="M86" i="1"/>
  <c r="J86" i="1"/>
  <c r="J88" i="1"/>
  <c r="N86" i="1"/>
  <c r="K86" i="1"/>
  <c r="V17" i="1"/>
  <c r="V27" i="1"/>
  <c r="L61" i="1"/>
  <c r="I61" i="1"/>
  <c r="E61" i="1"/>
  <c r="J61" i="1"/>
  <c r="K61" i="1"/>
  <c r="H61" i="1"/>
  <c r="M61" i="1"/>
  <c r="AN24" i="1"/>
  <c r="Z9" i="1"/>
  <c r="Z16" i="1"/>
  <c r="W19" i="1" l="1"/>
  <c r="W20" i="1" s="1"/>
  <c r="W64" i="1"/>
  <c r="P19" i="1"/>
  <c r="P20" i="1" s="1"/>
  <c r="P64" i="1"/>
  <c r="V19" i="1"/>
  <c r="V20" i="1" s="1"/>
  <c r="V64" i="1"/>
  <c r="O60" i="1"/>
  <c r="N60" i="1"/>
  <c r="O41" i="1"/>
  <c r="O44" i="1" s="1"/>
  <c r="O61" i="1" l="1"/>
  <c r="AB13" i="1" l="1"/>
  <c r="AC13" i="1" s="1"/>
  <c r="AD13" i="1" s="1"/>
  <c r="AE13" i="1" s="1"/>
  <c r="AF13" i="1" s="1"/>
  <c r="AG13" i="1" s="1"/>
  <c r="AH13" i="1" s="1"/>
  <c r="AI13" i="1" s="1"/>
  <c r="AJ13" i="1" s="1"/>
  <c r="AK13" i="1" s="1"/>
  <c r="O34" i="5"/>
  <c r="N34" i="5"/>
  <c r="M34" i="5"/>
  <c r="K34" i="5"/>
  <c r="J34" i="5"/>
  <c r="I34" i="5"/>
  <c r="H34" i="5"/>
  <c r="F34" i="5"/>
  <c r="E34" i="5"/>
  <c r="D34" i="5"/>
  <c r="C34" i="5"/>
  <c r="O23" i="5"/>
  <c r="N23" i="5"/>
  <c r="M23" i="5"/>
  <c r="K23" i="5"/>
  <c r="J23" i="5"/>
  <c r="I23" i="5"/>
  <c r="H23" i="5"/>
  <c r="F23" i="5"/>
  <c r="E23" i="5"/>
  <c r="D23" i="5"/>
  <c r="C23" i="5"/>
  <c r="C12" i="5"/>
  <c r="D12" i="5"/>
  <c r="E12" i="5"/>
  <c r="F12" i="5"/>
  <c r="H12" i="5"/>
  <c r="I12" i="5"/>
  <c r="J12" i="5"/>
  <c r="K12" i="5"/>
  <c r="M12" i="5"/>
  <c r="N12" i="5"/>
  <c r="O12" i="5"/>
  <c r="Z5" i="1" l="1"/>
  <c r="AB11" i="1"/>
  <c r="AC11" i="1" s="1"/>
  <c r="AD11" i="1" s="1"/>
  <c r="AE11" i="1" s="1"/>
  <c r="AF11" i="1" s="1"/>
  <c r="AG11" i="1" s="1"/>
  <c r="AH11" i="1" s="1"/>
  <c r="AI11" i="1" s="1"/>
  <c r="AJ11" i="1" s="1"/>
  <c r="AK11" i="1" s="1"/>
  <c r="AB10" i="1"/>
  <c r="AC10" i="1" s="1"/>
  <c r="AD10" i="1" s="1"/>
  <c r="AE10" i="1" s="1"/>
  <c r="AF10" i="1" s="1"/>
  <c r="AG10" i="1" s="1"/>
  <c r="AH10" i="1" s="1"/>
  <c r="AI10" i="1" s="1"/>
  <c r="AJ10" i="1" s="1"/>
  <c r="AK10" i="1" s="1"/>
  <c r="AA21" i="1"/>
  <c r="AB21" i="1"/>
  <c r="AC21" i="1"/>
  <c r="AD21" i="1"/>
  <c r="AE21" i="1"/>
  <c r="AF21" i="1"/>
  <c r="AG21" i="1"/>
  <c r="AH21" i="1"/>
  <c r="AI21" i="1"/>
  <c r="AJ21" i="1"/>
  <c r="AK21" i="1"/>
  <c r="Z18" i="1"/>
  <c r="Z11" i="1"/>
  <c r="Z12" i="1"/>
  <c r="Z13" i="1"/>
  <c r="Z10" i="1"/>
  <c r="Z7" i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Z6" i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Y10" i="1"/>
  <c r="Y9" i="1"/>
  <c r="Y6" i="1"/>
  <c r="Y5" i="1"/>
  <c r="Z21" i="1"/>
  <c r="Y18" i="1"/>
  <c r="Y16" i="1"/>
  <c r="Y11" i="1"/>
  <c r="Y12" i="1"/>
  <c r="Y13" i="1"/>
  <c r="Y7" i="1"/>
  <c r="Y21" i="1"/>
  <c r="X21" i="1"/>
  <c r="X18" i="1"/>
  <c r="X16" i="1"/>
  <c r="X11" i="1"/>
  <c r="X12" i="1"/>
  <c r="X13" i="1"/>
  <c r="X10" i="1"/>
  <c r="X9" i="1"/>
  <c r="X7" i="1"/>
  <c r="X6" i="1"/>
  <c r="X5" i="1"/>
  <c r="O21" i="1"/>
  <c r="O14" i="1"/>
  <c r="O8" i="1"/>
  <c r="D14" i="1"/>
  <c r="D8" i="1"/>
  <c r="D26" i="1" s="1"/>
  <c r="D21" i="1"/>
  <c r="E21" i="1"/>
  <c r="E14" i="1"/>
  <c r="E8" i="1"/>
  <c r="E26" i="1" s="1"/>
  <c r="F21" i="1"/>
  <c r="F14" i="1"/>
  <c r="F8" i="1"/>
  <c r="F26" i="1" s="1"/>
  <c r="Z14" i="1" l="1"/>
  <c r="X14" i="1"/>
  <c r="AA5" i="1"/>
  <c r="AB5" i="1" s="1"/>
  <c r="AC5" i="1" s="1"/>
  <c r="AD5" i="1" s="1"/>
  <c r="Y14" i="1"/>
  <c r="AA8" i="1"/>
  <c r="Z8" i="1"/>
  <c r="X8" i="1"/>
  <c r="O15" i="1"/>
  <c r="O27" i="1" s="1"/>
  <c r="Y8" i="1"/>
  <c r="Y30" i="1" s="1"/>
  <c r="D15" i="1"/>
  <c r="D27" i="1" s="1"/>
  <c r="E15" i="1"/>
  <c r="F15" i="1"/>
  <c r="G21" i="1"/>
  <c r="G14" i="1"/>
  <c r="G8" i="1"/>
  <c r="G26" i="1" s="1"/>
  <c r="K21" i="1"/>
  <c r="K14" i="1"/>
  <c r="K8" i="1"/>
  <c r="O24" i="1" s="1"/>
  <c r="H21" i="1"/>
  <c r="H14" i="1"/>
  <c r="H8" i="1"/>
  <c r="H24" i="1" s="1"/>
  <c r="L21" i="1"/>
  <c r="L14" i="1"/>
  <c r="L8" i="1"/>
  <c r="P24" i="1" s="1"/>
  <c r="I21" i="1"/>
  <c r="I14" i="1"/>
  <c r="I8" i="1"/>
  <c r="M21" i="1"/>
  <c r="J21" i="1"/>
  <c r="N21" i="1"/>
  <c r="M14" i="1"/>
  <c r="M8" i="1"/>
  <c r="N61" i="1"/>
  <c r="N41" i="1"/>
  <c r="N44" i="1" s="1"/>
  <c r="J14" i="1"/>
  <c r="J8" i="1"/>
  <c r="N14" i="1"/>
  <c r="N8" i="1"/>
  <c r="B7" i="1"/>
  <c r="X26" i="1" l="1"/>
  <c r="X24" i="1"/>
  <c r="AE5" i="1"/>
  <c r="AF5" i="1" s="1"/>
  <c r="AG5" i="1" s="1"/>
  <c r="AH5" i="1" s="1"/>
  <c r="AI5" i="1" s="1"/>
  <c r="AJ5" i="1" s="1"/>
  <c r="AK5" i="1" s="1"/>
  <c r="AC8" i="1"/>
  <c r="AA9" i="1"/>
  <c r="AA14" i="1" s="1"/>
  <c r="AA15" i="1" s="1"/>
  <c r="AA27" i="1" s="1"/>
  <c r="AA24" i="1"/>
  <c r="AA31" i="1"/>
  <c r="AA26" i="1"/>
  <c r="AA29" i="1"/>
  <c r="AA30" i="1"/>
  <c r="Y29" i="1"/>
  <c r="X29" i="1"/>
  <c r="X15" i="1"/>
  <c r="X27" i="1" s="1"/>
  <c r="Y26" i="1"/>
  <c r="Y24" i="1"/>
  <c r="Y31" i="1"/>
  <c r="Z24" i="1"/>
  <c r="Z26" i="1"/>
  <c r="X31" i="1"/>
  <c r="O17" i="1"/>
  <c r="X30" i="1"/>
  <c r="N24" i="1"/>
  <c r="N26" i="1"/>
  <c r="H26" i="1"/>
  <c r="J24" i="1"/>
  <c r="J26" i="1"/>
  <c r="F17" i="1"/>
  <c r="F27" i="1"/>
  <c r="I24" i="1"/>
  <c r="I26" i="1"/>
  <c r="E17" i="1"/>
  <c r="E27" i="1"/>
  <c r="K24" i="1"/>
  <c r="K26" i="1"/>
  <c r="M24" i="1"/>
  <c r="M26" i="1"/>
  <c r="L24" i="1"/>
  <c r="L26" i="1"/>
  <c r="AC9" i="1"/>
  <c r="AC14" i="1" s="1"/>
  <c r="AC15" i="1" s="1"/>
  <c r="AC27" i="1" s="1"/>
  <c r="Z31" i="1"/>
  <c r="Z29" i="1"/>
  <c r="Z15" i="1"/>
  <c r="Z17" i="1" s="1"/>
  <c r="Z30" i="1"/>
  <c r="AB8" i="1"/>
  <c r="AC31" i="1"/>
  <c r="AC30" i="1"/>
  <c r="AD8" i="1"/>
  <c r="AC29" i="1"/>
  <c r="Y15" i="1"/>
  <c r="Y27" i="1" s="1"/>
  <c r="J15" i="1"/>
  <c r="J27" i="1" s="1"/>
  <c r="B10" i="1"/>
  <c r="I15" i="1"/>
  <c r="D17" i="1"/>
  <c r="D64" i="1" s="1"/>
  <c r="G15" i="1"/>
  <c r="G27" i="1" s="1"/>
  <c r="K15" i="1"/>
  <c r="H15" i="1"/>
  <c r="L15" i="1"/>
  <c r="N15" i="1"/>
  <c r="N27" i="1" s="1"/>
  <c r="M15" i="1"/>
  <c r="F19" i="1" l="1"/>
  <c r="F20" i="1" s="1"/>
  <c r="F64" i="1"/>
  <c r="Z19" i="1"/>
  <c r="Z64" i="1"/>
  <c r="E19" i="1"/>
  <c r="E20" i="1" s="1"/>
  <c r="E64" i="1"/>
  <c r="O19" i="1"/>
  <c r="O20" i="1" s="1"/>
  <c r="O64" i="1"/>
  <c r="AA17" i="1"/>
  <c r="X17" i="1"/>
  <c r="AB24" i="1"/>
  <c r="AB9" i="1"/>
  <c r="AB14" i="1" s="1"/>
  <c r="AC26" i="1"/>
  <c r="I17" i="1"/>
  <c r="I27" i="1"/>
  <c r="M17" i="1"/>
  <c r="M27" i="1"/>
  <c r="H17" i="1"/>
  <c r="H27" i="1"/>
  <c r="K17" i="1"/>
  <c r="K27" i="1"/>
  <c r="L17" i="1"/>
  <c r="L27" i="1"/>
  <c r="F4" i="4"/>
  <c r="D4" i="4"/>
  <c r="AD9" i="1"/>
  <c r="AD14" i="1" s="1"/>
  <c r="AD15" i="1" s="1"/>
  <c r="AD27" i="1" s="1"/>
  <c r="AD24" i="1"/>
  <c r="AC24" i="1"/>
  <c r="Z20" i="1"/>
  <c r="Z27" i="1"/>
  <c r="AB15" i="1"/>
  <c r="AB27" i="1" s="1"/>
  <c r="AB30" i="1"/>
  <c r="AB31" i="1"/>
  <c r="AB29" i="1"/>
  <c r="AD30" i="1"/>
  <c r="AD31" i="1"/>
  <c r="AD29" i="1"/>
  <c r="AE8" i="1"/>
  <c r="AC17" i="1"/>
  <c r="AA18" i="1"/>
  <c r="AA19" i="1" s="1"/>
  <c r="Y17" i="1"/>
  <c r="D19" i="1"/>
  <c r="D20" i="1" s="1"/>
  <c r="G17" i="1"/>
  <c r="J17" i="1"/>
  <c r="N17" i="1"/>
  <c r="M19" i="1" l="1"/>
  <c r="M20" i="1" s="1"/>
  <c r="M64" i="1"/>
  <c r="L19" i="1"/>
  <c r="L20" i="1" s="1"/>
  <c r="L64" i="1"/>
  <c r="I19" i="1"/>
  <c r="I20" i="1" s="1"/>
  <c r="I64" i="1"/>
  <c r="N19" i="1"/>
  <c r="N20" i="1" s="1"/>
  <c r="N64" i="1"/>
  <c r="J19" i="1"/>
  <c r="J20" i="1" s="1"/>
  <c r="J64" i="1"/>
  <c r="G19" i="1"/>
  <c r="G20" i="1" s="1"/>
  <c r="G64" i="1"/>
  <c r="H19" i="1"/>
  <c r="H20" i="1" s="1"/>
  <c r="H64" i="1"/>
  <c r="X19" i="1"/>
  <c r="X20" i="1" s="1"/>
  <c r="X64" i="1"/>
  <c r="Y19" i="1"/>
  <c r="Y20" i="1" s="1"/>
  <c r="Y64" i="1"/>
  <c r="K19" i="1"/>
  <c r="K20" i="1" s="1"/>
  <c r="K64" i="1"/>
  <c r="E4" i="4"/>
  <c r="AD26" i="1"/>
  <c r="AE9" i="1"/>
  <c r="AE14" i="1" s="1"/>
  <c r="AE15" i="1" s="1"/>
  <c r="AE27" i="1" s="1"/>
  <c r="AE24" i="1"/>
  <c r="AB26" i="1"/>
  <c r="AA20" i="1"/>
  <c r="D5" i="4" s="1"/>
  <c r="AB17" i="1"/>
  <c r="AB18" i="1" s="1"/>
  <c r="AB19" i="1" s="1"/>
  <c r="AB20" i="1" s="1"/>
  <c r="E5" i="4" s="1"/>
  <c r="AE31" i="1"/>
  <c r="AE30" i="1"/>
  <c r="AE29" i="1"/>
  <c r="AD17" i="1"/>
  <c r="AC18" i="1"/>
  <c r="AC19" i="1" s="1"/>
  <c r="AC20" i="1" s="1"/>
  <c r="F5" i="4" s="1"/>
  <c r="AF8" i="1"/>
  <c r="AE26" i="1" l="1"/>
  <c r="AF9" i="1"/>
  <c r="AF14" i="1" s="1"/>
  <c r="AF15" i="1" s="1"/>
  <c r="AF27" i="1" s="1"/>
  <c r="AF24" i="1"/>
  <c r="AF30" i="1"/>
  <c r="AF31" i="1"/>
  <c r="AF29" i="1"/>
  <c r="AG8" i="1"/>
  <c r="AE17" i="1"/>
  <c r="AD18" i="1"/>
  <c r="AD19" i="1" s="1"/>
  <c r="AD20" i="1" s="1"/>
  <c r="AF26" i="1" l="1"/>
  <c r="AG9" i="1"/>
  <c r="AG14" i="1" s="1"/>
  <c r="AG15" i="1" s="1"/>
  <c r="AG27" i="1" s="1"/>
  <c r="AG24" i="1"/>
  <c r="AG30" i="1"/>
  <c r="AG31" i="1"/>
  <c r="AG29" i="1"/>
  <c r="AF17" i="1"/>
  <c r="AE18" i="1"/>
  <c r="AE19" i="1" s="1"/>
  <c r="AE20" i="1" s="1"/>
  <c r="AH8" i="1"/>
  <c r="AH24" i="1" s="1"/>
  <c r="AG26" i="1"/>
  <c r="AH9" i="1" l="1"/>
  <c r="AH14" i="1" s="1"/>
  <c r="AH15" i="1"/>
  <c r="AH27" i="1" s="1"/>
  <c r="AH29" i="1"/>
  <c r="AH30" i="1"/>
  <c r="AH31" i="1"/>
  <c r="AF18" i="1"/>
  <c r="AF19" i="1" s="1"/>
  <c r="AF20" i="1" s="1"/>
  <c r="AG17" i="1"/>
  <c r="AI8" i="1"/>
  <c r="AI24" i="1" s="1"/>
  <c r="AH26" i="1" l="1"/>
  <c r="AI9" i="1"/>
  <c r="AI14" i="1" s="1"/>
  <c r="AI15" i="1"/>
  <c r="AI27" i="1" s="1"/>
  <c r="AI31" i="1"/>
  <c r="AI30" i="1"/>
  <c r="AI29" i="1"/>
  <c r="AH17" i="1"/>
  <c r="AJ8" i="1"/>
  <c r="AJ24" i="1" s="1"/>
  <c r="AG18" i="1"/>
  <c r="AG19" i="1" s="1"/>
  <c r="AI26" i="1" l="1"/>
  <c r="AJ9" i="1"/>
  <c r="AJ14" i="1" s="1"/>
  <c r="AJ15" i="1"/>
  <c r="AJ27" i="1" s="1"/>
  <c r="AG20" i="1"/>
  <c r="AJ31" i="1"/>
  <c r="AJ30" i="1"/>
  <c r="AJ29" i="1"/>
  <c r="AI17" i="1"/>
  <c r="AH18" i="1"/>
  <c r="AH19" i="1" s="1"/>
  <c r="AH20" i="1" s="1"/>
  <c r="AJ26" i="1" l="1"/>
  <c r="AK8" i="1"/>
  <c r="AK24" i="1" s="1"/>
  <c r="AJ17" i="1"/>
  <c r="AI18" i="1"/>
  <c r="AI19" i="1" s="1"/>
  <c r="AI20" i="1" s="1"/>
  <c r="AK9" i="1" l="1"/>
  <c r="AK14" i="1" s="1"/>
  <c r="AK15" i="1"/>
  <c r="AK27" i="1" s="1"/>
  <c r="AK31" i="1"/>
  <c r="AK30" i="1"/>
  <c r="AK26" i="1"/>
  <c r="AK29" i="1"/>
  <c r="AJ18" i="1"/>
  <c r="AJ19" i="1" s="1"/>
  <c r="AJ20" i="1" s="1"/>
  <c r="AK17" i="1" l="1"/>
  <c r="AK18" i="1" s="1"/>
  <c r="AK19" i="1" s="1"/>
  <c r="AK20" i="1" l="1"/>
  <c r="AL19" i="1"/>
  <c r="AM19" i="1" l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CP19" i="1" s="1"/>
  <c r="CQ19" i="1" s="1"/>
  <c r="CR19" i="1" s="1"/>
  <c r="CS19" i="1" s="1"/>
  <c r="CT19" i="1" s="1"/>
  <c r="CU19" i="1" s="1"/>
  <c r="CV19" i="1" s="1"/>
  <c r="CW19" i="1" s="1"/>
  <c r="CX19" i="1" s="1"/>
  <c r="CY19" i="1" s="1"/>
  <c r="CZ19" i="1" s="1"/>
  <c r="DA19" i="1" s="1"/>
  <c r="DB19" i="1" s="1"/>
  <c r="DC19" i="1" s="1"/>
  <c r="DD19" i="1" s="1"/>
  <c r="DE19" i="1" s="1"/>
  <c r="DF19" i="1" s="1"/>
  <c r="DG19" i="1" s="1"/>
  <c r="DH19" i="1" s="1"/>
  <c r="DI19" i="1" s="1"/>
  <c r="DJ19" i="1" s="1"/>
  <c r="DK19" i="1" s="1"/>
  <c r="DL19" i="1" s="1"/>
  <c r="DM19" i="1" s="1"/>
  <c r="DN19" i="1" s="1"/>
  <c r="DO19" i="1" s="1"/>
  <c r="DP19" i="1" s="1"/>
  <c r="DQ19" i="1" s="1"/>
  <c r="DR19" i="1" s="1"/>
  <c r="DS19" i="1" s="1"/>
  <c r="DT19" i="1" s="1"/>
  <c r="DU19" i="1" s="1"/>
  <c r="DV19" i="1" s="1"/>
  <c r="DW19" i="1" s="1"/>
  <c r="DX19" i="1" s="1"/>
  <c r="DY19" i="1" s="1"/>
  <c r="DZ19" i="1" s="1"/>
  <c r="EA19" i="1" s="1"/>
  <c r="EB19" i="1" s="1"/>
  <c r="EC19" i="1" s="1"/>
  <c r="ED19" i="1" s="1"/>
  <c r="EE19" i="1" s="1"/>
  <c r="EF19" i="1" s="1"/>
  <c r="EG19" i="1" s="1"/>
  <c r="EH19" i="1" s="1"/>
  <c r="EI19" i="1" s="1"/>
  <c r="EJ19" i="1" s="1"/>
  <c r="EK19" i="1" s="1"/>
  <c r="EL19" i="1" s="1"/>
  <c r="AN23" i="1" l="1"/>
  <c r="AN25" i="1" s="1"/>
  <c r="AN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 hodt</author>
  </authors>
  <commentList>
    <comment ref="E4" authorId="0" shapeId="0" xr:uid="{2068A733-93FF-8D4A-83EF-80E9780419BC}">
      <text>
        <r>
          <rPr>
            <b/>
            <sz val="10"/>
            <color rgb="FF000000"/>
            <rFont val="Tahoma"/>
            <family val="2"/>
          </rPr>
          <t>august hodt: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Innkorporerer NetOnNet</t>
        </r>
      </text>
    </comment>
    <comment ref="K4" authorId="0" shapeId="0" xr:uid="{7A8CF4B2-04AA-3B44-963C-8FD66BFB075A}">
      <text>
        <r>
          <rPr>
            <b/>
            <sz val="10"/>
            <color rgb="FF000000"/>
            <rFont val="Tahoma"/>
            <family val="2"/>
          </rPr>
          <t>august hodt: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Impairment på goodwil 983</t>
        </r>
      </text>
    </comment>
    <comment ref="Z4" authorId="0" shapeId="0" xr:uid="{E4B402E9-34FD-894F-8F6C-6D0B81FAD357}">
      <text>
        <r>
          <rPr>
            <b/>
            <sz val="10"/>
            <color rgb="FF000000"/>
            <rFont val="Tahoma"/>
            <family val="2"/>
          </rPr>
          <t>august hodt: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OPEX ligger på 5% av sales
</t>
        </r>
      </text>
    </comment>
    <comment ref="H24" authorId="0" shapeId="0" xr:uid="{36E9681A-29FB-7D4D-9C61-1D3FE0CE8B49}">
      <text>
        <r>
          <rPr>
            <b/>
            <sz val="10"/>
            <color rgb="FF000000"/>
            <rFont val="Tahoma"/>
            <family val="2"/>
          </rPr>
          <t>august hodt: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Inkoorpering av net on net fra q2 22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 hodt</author>
  </authors>
  <commentList>
    <comment ref="D4" authorId="0" shapeId="0" xr:uid="{636473AD-AEE5-1C4F-A627-682FA73F6A29}">
      <text>
        <r>
          <rPr>
            <b/>
            <sz val="10"/>
            <color rgb="FF000000"/>
            <rFont val="Tahoma"/>
            <family val="2"/>
          </rPr>
          <t>august hodt: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Innkorporerer NetOnNet</t>
        </r>
      </text>
    </comment>
    <comment ref="K4" authorId="0" shapeId="0" xr:uid="{4DFC79CE-C478-B24D-A69A-4B750510CF14}">
      <text>
        <r>
          <rPr>
            <b/>
            <sz val="10"/>
            <color rgb="FF000000"/>
            <rFont val="Tahoma"/>
            <family val="2"/>
          </rPr>
          <t>august hodt: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Impairment på goodwil 983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august hodt</author>
  </authors>
  <commentList>
    <comment ref="D4" authorId="0" shapeId="0" xr:uid="{309F03CB-501D-FE40-8F70-91D315520B6C}">
      <text>
        <r>
          <rPr>
            <b/>
            <sz val="10"/>
            <color rgb="FF000000"/>
            <rFont val="Tahoma"/>
            <family val="2"/>
          </rPr>
          <t>august hodt: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Innkorporerer NetOnNet</t>
        </r>
      </text>
    </comment>
  </commentList>
</comments>
</file>

<file path=xl/sharedStrings.xml><?xml version="1.0" encoding="utf-8"?>
<sst xmlns="http://schemas.openxmlformats.org/spreadsheetml/2006/main" count="228" uniqueCount="157">
  <si>
    <t>Kapitalstruktur</t>
  </si>
  <si>
    <t>Pris</t>
  </si>
  <si>
    <t>Shares</t>
  </si>
  <si>
    <t>EV</t>
  </si>
  <si>
    <t>Shares (m)</t>
  </si>
  <si>
    <t>MC (m)</t>
  </si>
  <si>
    <t>cash (m)</t>
  </si>
  <si>
    <t>Debt (m)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</si>
  <si>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</si>
  <si>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</si>
  <si>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</si>
  <si>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</si>
  <si>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</si>
  <si>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</si>
  <si>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</si>
  <si>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</si>
  <si>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</si>
  <si>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</si>
  <si>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</si>
  <si>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</si>
  <si>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 y/y</t>
  </si>
  <si>
    <t>Gross margin</t>
  </si>
  <si>
    <t>D/A</t>
  </si>
  <si>
    <t>EBIT</t>
  </si>
  <si>
    <t>EBIT margin</t>
  </si>
  <si>
    <t>Impairment</t>
  </si>
  <si>
    <t>PTP</t>
  </si>
  <si>
    <t>NOK million</t>
  </si>
  <si>
    <t>B2C</t>
  </si>
  <si>
    <t>B2B</t>
  </si>
  <si>
    <t>Revenue</t>
  </si>
  <si>
    <t>COGS</t>
  </si>
  <si>
    <t>Employee expense</t>
  </si>
  <si>
    <t>Other opex</t>
  </si>
  <si>
    <t>Total Opex</t>
  </si>
  <si>
    <t>Net finance/expense</t>
  </si>
  <si>
    <t>Tax</t>
  </si>
  <si>
    <t>Net income</t>
  </si>
  <si>
    <t>goodwill</t>
  </si>
  <si>
    <t>software</t>
  </si>
  <si>
    <t>Other intangeble assets</t>
  </si>
  <si>
    <t>Righ-of-use assets</t>
  </si>
  <si>
    <t>PP&amp;E</t>
  </si>
  <si>
    <t>machinery and fixctures</t>
  </si>
  <si>
    <t>Deferred tax assets</t>
  </si>
  <si>
    <t>Other receievables</t>
  </si>
  <si>
    <t>Inventories</t>
  </si>
  <si>
    <t>Trade receievables</t>
  </si>
  <si>
    <t>other curret receivables</t>
  </si>
  <si>
    <t>Cash</t>
  </si>
  <si>
    <t>Assets</t>
  </si>
  <si>
    <t>Balanse NOKm</t>
  </si>
  <si>
    <t>Equity</t>
  </si>
  <si>
    <t>Deferred tax</t>
  </si>
  <si>
    <t>other obligations</t>
  </si>
  <si>
    <t>Long-term loan</t>
  </si>
  <si>
    <t>Non-current lease</t>
  </si>
  <si>
    <t>Other non-current lease</t>
  </si>
  <si>
    <t>Short-term loans</t>
  </si>
  <si>
    <t>trade payables</t>
  </si>
  <si>
    <t>public duties payables</t>
  </si>
  <si>
    <t>current income tax</t>
  </si>
  <si>
    <t xml:space="preserve">Current lease </t>
  </si>
  <si>
    <t>other current lease</t>
  </si>
  <si>
    <t>Cash flow NOKm</t>
  </si>
  <si>
    <t>CFFO</t>
  </si>
  <si>
    <t>CFFI</t>
  </si>
  <si>
    <t>CFFF</t>
  </si>
  <si>
    <t>EPS</t>
  </si>
  <si>
    <t>Distribution</t>
  </si>
  <si>
    <t>FY 2022</t>
  </si>
  <si>
    <t>FY2023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</si>
  <si>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</si>
  <si>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</si>
  <si>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</si>
  <si>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</si>
  <si>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</si>
  <si>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</si>
  <si>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</si>
  <si>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</si>
  <si>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</si>
  <si>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</si>
  <si>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</si>
  <si>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</si>
  <si>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 xml:space="preserve">Finansielle mål: </t>
  </si>
  <si>
    <t xml:space="preserve">18 mrd innen 2026 </t>
  </si>
  <si>
    <t>20 mrd innen 2028</t>
  </si>
  <si>
    <t>3-4% EBIT-margin</t>
  </si>
  <si>
    <t>Selskapet har tre business-arenaer:</t>
  </si>
  <si>
    <t>NetOnNet</t>
  </si>
  <si>
    <t xml:space="preserve">Webhallen </t>
  </si>
  <si>
    <t>komplett service</t>
  </si>
  <si>
    <t>Deler inn sine kunder inn i tre segmenter:</t>
  </si>
  <si>
    <t>Største aksjonærer:</t>
  </si>
  <si>
    <t>Canica</t>
  </si>
  <si>
    <t>SIBA</t>
  </si>
  <si>
    <t>100% online</t>
  </si>
  <si>
    <t>45% online, 3 butikker i norge og 28 i Svergie</t>
  </si>
  <si>
    <t>70% online, 12 butikker i Sverige</t>
  </si>
  <si>
    <t>Discount</t>
  </si>
  <si>
    <t>terminal</t>
  </si>
  <si>
    <t>NNV</t>
  </si>
  <si>
    <t>NOK/share</t>
  </si>
  <si>
    <t>Revenue fordeling</t>
  </si>
  <si>
    <t>Opp/nedside</t>
  </si>
  <si>
    <t>EV/EBIT</t>
  </si>
  <si>
    <t>P/E</t>
  </si>
  <si>
    <t>Kom gjennm fusjonen med NetOnNet, deretter med komplett</t>
  </si>
  <si>
    <t>Press releases</t>
  </si>
  <si>
    <t>Q125</t>
  </si>
  <si>
    <t>Q225</t>
  </si>
  <si>
    <t>Q325</t>
  </si>
  <si>
    <t>Q425</t>
  </si>
  <si>
    <t>NOKm</t>
  </si>
  <si>
    <t>Operating revenue</t>
  </si>
  <si>
    <t>y/y %</t>
  </si>
  <si>
    <t>Gross profit</t>
  </si>
  <si>
    <t>Opex (ex dep)</t>
  </si>
  <si>
    <t>Total opex</t>
  </si>
  <si>
    <t>Operating cost %</t>
  </si>
  <si>
    <t>Share capital</t>
  </si>
  <si>
    <t>Share premium</t>
  </si>
  <si>
    <t>Other equity</t>
  </si>
  <si>
    <t>Total debt</t>
  </si>
  <si>
    <t>Total E/D</t>
  </si>
  <si>
    <t>Investments</t>
  </si>
  <si>
    <t>15.01.25: CEO Jan Ivar Semlitsch går av som CEO</t>
  </si>
  <si>
    <t>11.11.24: Andera Westgaard, Group commercial director, kjøper 100 000 aksjer, eier etter dette 158 147</t>
  </si>
  <si>
    <t>25.11.24: Anders Odden, styremedlem, selger 8 333 aksjer. Eier etter dette ingen aksjer</t>
  </si>
  <si>
    <t xml:space="preserve">11.11.24: Trygve Hillesland, Sheriff av webhallen, har kjøpt 45 000 aksjer, eier etter dette 45 000 </t>
  </si>
  <si>
    <t>FY 2021</t>
  </si>
  <si>
    <t>FY 2020</t>
  </si>
  <si>
    <t>Model PTP</t>
  </si>
  <si>
    <t>Reported PTP</t>
  </si>
  <si>
    <t>Income tax</t>
  </si>
  <si>
    <t>Net finance items</t>
  </si>
  <si>
    <t>WC</t>
  </si>
  <si>
    <t>Other changes in accruals</t>
  </si>
  <si>
    <t>Capex</t>
  </si>
  <si>
    <t>Dividend from associated company</t>
  </si>
  <si>
    <t>Proceeds from loans and borrowings</t>
  </si>
  <si>
    <t>Repayment of loans</t>
  </si>
  <si>
    <t>Changes in bank overdrafts</t>
  </si>
  <si>
    <t>Principal and interst paid on lease</t>
  </si>
  <si>
    <t>Net interest paid on loans and overdafts</t>
  </si>
  <si>
    <t>Issue of share capital</t>
  </si>
  <si>
    <t>CIC</t>
  </si>
  <si>
    <t>FCF</t>
  </si>
  <si>
    <t>Per Q125</t>
  </si>
  <si>
    <t>Norge</t>
  </si>
  <si>
    <t>Y/Y</t>
  </si>
  <si>
    <t>Sverige</t>
  </si>
  <si>
    <t>Danmark</t>
  </si>
  <si>
    <t>Total</t>
  </si>
  <si>
    <t>Opex y/y</t>
  </si>
  <si>
    <t>FY 2019</t>
  </si>
  <si>
    <t>18.06.25: Ros-Marie Grusén blir ny CEO i komplett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</si>
</sst>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\ %"/>
    <numFmt numFmtId="166" formatCode="#,##0.0"/>
  </numFmts>
  <fonts count="10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4" fillId="0" borderId="0" xfId="0" applyFont="1"/>
    <xf numFmtId="164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0" fontId="1" fillId="0" borderId="1" xfId="0" applyFont="1" applyBorder="1"/>
    <xf numFmtId="2" fontId="1" fillId="0" borderId="1" xfId="0" applyNumberFormat="1" applyFont="1" applyBorder="1"/>
    <xf numFmtId="164" fontId="1" fillId="0" borderId="1" xfId="0" applyNumberFormat="1" applyFont="1" applyBorder="1"/>
    <xf numFmtId="0" fontId="1" fillId="0" borderId="0" xfId="0" applyFont="1" applyAlignment="1">
      <alignment wrapText="1"/>
    </xf>
    <xf numFmtId="0" fontId="4" fillId="0" borderId="1" xfId="0" applyFont="1" applyBorder="1"/>
    <xf numFmtId="1" fontId="4" fillId="0" borderId="0" xfId="0" applyNumberFormat="1" applyFont="1"/>
    <xf numFmtId="0" fontId="1" fillId="0" borderId="3" xfId="0" applyFont="1" applyBorder="1"/>
    <xf numFmtId="9" fontId="4" fillId="0" borderId="0" xfId="0" applyNumberFormat="1" applyFont="1"/>
    <xf numFmtId="0" fontId="1" fillId="0" borderId="1" xfId="0" applyFont="1" applyBorder="1" applyAlignment="1">
      <alignment horizontal="right"/>
    </xf>
    <xf numFmtId="165" fontId="1" fillId="0" borderId="1" xfId="0" applyNumberFormat="1" applyFont="1" applyBorder="1"/>
    <xf numFmtId="9" fontId="4" fillId="0" borderId="1" xfId="0" applyNumberFormat="1" applyFont="1" applyBorder="1"/>
    <xf numFmtId="3" fontId="1" fillId="0" borderId="0" xfId="0" applyNumberFormat="1" applyFont="1"/>
    <xf numFmtId="3" fontId="1" fillId="0" borderId="1" xfId="0" applyNumberFormat="1" applyFont="1" applyBorder="1"/>
    <xf numFmtId="3" fontId="4" fillId="0" borderId="0" xfId="0" applyNumberFormat="1" applyFont="1"/>
    <xf numFmtId="3" fontId="4" fillId="0" borderId="1" xfId="0" applyNumberFormat="1" applyFont="1" applyBorder="1"/>
    <xf numFmtId="166" fontId="1" fillId="0" borderId="1" xfId="0" applyNumberFormat="1" applyFont="1" applyBorder="1"/>
    <xf numFmtId="166" fontId="3" fillId="0" borderId="1" xfId="0" applyNumberFormat="1" applyFont="1" applyBorder="1"/>
    <xf numFmtId="0" fontId="7" fillId="0" borderId="2" xfId="0" applyFont="1" applyBorder="1"/>
    <xf numFmtId="164" fontId="7" fillId="0" borderId="2" xfId="0" applyNumberFormat="1" applyFont="1" applyBorder="1"/>
    <xf numFmtId="0" fontId="8" fillId="0" borderId="2" xfId="0" applyFont="1" applyBorder="1"/>
    <xf numFmtId="0" fontId="1" fillId="2" borderId="0" xfId="0" applyFont="1" applyFill="1"/>
    <xf numFmtId="0" fontId="2" fillId="2" borderId="0" xfId="0" applyFont="1" applyFill="1"/>
    <xf numFmtId="165" fontId="2" fillId="2" borderId="0" xfId="0" applyNumberFormat="1" applyFont="1" applyFill="1"/>
    <xf numFmtId="165" fontId="2" fillId="0" borderId="0" xfId="0" applyNumberFormat="1" applyFont="1"/>
    <xf numFmtId="0" fontId="4" fillId="0" borderId="3" xfId="0" applyFont="1" applyBorder="1"/>
    <xf numFmtId="0" fontId="1" fillId="0" borderId="3" xfId="0" applyFont="1" applyBorder="1" applyAlignment="1">
      <alignment horizontal="right"/>
    </xf>
    <xf numFmtId="0" fontId="2" fillId="2" borderId="3" xfId="0" applyFont="1" applyFill="1" applyBorder="1"/>
    <xf numFmtId="165" fontId="2" fillId="2" borderId="3" xfId="0" applyNumberFormat="1" applyFont="1" applyFill="1" applyBorder="1"/>
    <xf numFmtId="166" fontId="1" fillId="0" borderId="0" xfId="0" applyNumberFormat="1" applyFont="1"/>
    <xf numFmtId="3" fontId="2" fillId="0" borderId="0" xfId="0" applyNumberFormat="1" applyFont="1"/>
    <xf numFmtId="3" fontId="2" fillId="0" borderId="1" xfId="0" applyNumberFormat="1" applyFont="1" applyBorder="1"/>
    <xf numFmtId="10" fontId="2" fillId="0" borderId="0" xfId="0" applyNumberFormat="1" applyFont="1"/>
    <xf numFmtId="3" fontId="1" fillId="2" borderId="0" xfId="0" applyNumberFormat="1" applyFont="1" applyFill="1"/>
    <xf numFmtId="9" fontId="2" fillId="0" borderId="3" xfId="0" applyNumberFormat="1" applyFont="1" applyBorder="1"/>
    <xf numFmtId="10" fontId="2" fillId="0" borderId="3" xfId="0" applyNumberFormat="1" applyFont="1" applyBorder="1"/>
    <xf numFmtId="0" fontId="1" fillId="0" borderId="6" xfId="0" applyFont="1" applyBorder="1"/>
    <xf numFmtId="0" fontId="4" fillId="0" borderId="8" xfId="0" applyFont="1" applyBorder="1" applyAlignment="1">
      <alignment horizontal="right"/>
    </xf>
    <xf numFmtId="0" fontId="1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center"/>
    </xf>
    <xf numFmtId="3" fontId="4" fillId="0" borderId="7" xfId="0" applyNumberFormat="1" applyFont="1" applyBorder="1"/>
    <xf numFmtId="9" fontId="3" fillId="0" borderId="8" xfId="0" applyNumberFormat="1" applyFont="1" applyBorder="1"/>
    <xf numFmtId="0" fontId="4" fillId="0" borderId="7" xfId="0" applyFont="1" applyBorder="1"/>
    <xf numFmtId="10" fontId="3" fillId="0" borderId="8" xfId="0" applyNumberFormat="1" applyFont="1" applyBorder="1"/>
    <xf numFmtId="0" fontId="4" fillId="2" borderId="7" xfId="0" applyFont="1" applyFill="1" applyBorder="1"/>
    <xf numFmtId="165" fontId="3" fillId="0" borderId="7" xfId="0" applyNumberFormat="1" applyFont="1" applyBorder="1"/>
    <xf numFmtId="165" fontId="3" fillId="2" borderId="7" xfId="0" applyNumberFormat="1" applyFont="1" applyFill="1" applyBorder="1"/>
    <xf numFmtId="165" fontId="3" fillId="2" borderId="8" xfId="0" applyNumberFormat="1" applyFont="1" applyFill="1" applyBorder="1"/>
    <xf numFmtId="0" fontId="4" fillId="2" borderId="8" xfId="0" applyFont="1" applyFill="1" applyBorder="1"/>
    <xf numFmtId="165" fontId="2" fillId="2" borderId="6" xfId="0" applyNumberFormat="1" applyFont="1" applyFill="1" applyBorder="1"/>
    <xf numFmtId="3" fontId="4" fillId="2" borderId="7" xfId="0" applyNumberFormat="1" applyFont="1" applyFill="1" applyBorder="1"/>
    <xf numFmtId="9" fontId="1" fillId="0" borderId="1" xfId="0" applyNumberFormat="1" applyFont="1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254000</xdr:colOff>
      <xdr:row>4</xdr:row>
      <xdr:rowOff>38100</xdr:rowOff>
    </xdr:from>
    <xdr:to>
      <xdr:col>20</xdr:col>
      <xdr:colOff>571500</xdr:colOff>
      <xdr:row>25</xdr:row>
      <xdr:rowOff>139700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9D7B610-A59A-5803-7851-4653ED048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91800" y="1003300"/>
          <a:ext cx="6921500" cy="5168900"/>
        </a:xfrm>
        <a:prstGeom prst="rect">
          <a:avLst/>
        </a:prstGeom>
      </xdr:spPr>
    </xdr:pic>
    <xdr:clientData/>
  </xdr:twoCellAnchor>
  <xdr:twoCellAnchor editAs="oneCell">
    <xdr:from>
      <xdr:col>7</xdr:col>
      <xdr:colOff>736600</xdr:colOff>
      <xdr:row>1</xdr:row>
      <xdr:rowOff>50800</xdr:rowOff>
    </xdr:from>
    <xdr:to>
      <xdr:col>11</xdr:col>
      <xdr:colOff>457200</xdr:colOff>
      <xdr:row>32</xdr:row>
      <xdr:rowOff>63500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19E076EA-1E61-93A6-8901-29BBF8C33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6900" y="292100"/>
          <a:ext cx="3022600" cy="749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65A3-B5EC-044A-8910-7026AA9594AC}">
  <dimension ref="A1:I35"/>
  <sheetViews>
    <sheetView showGridLines="0" workbookViewId="0">
      <selection activeCell="E24" sqref="E24"/>
    </sheetView>
  </sheetViews>
  <sheetFormatPr baseColWidth="10" defaultRowHeight="19" x14ac:dyDescent="0.25"/>
  <cols>
    <col min="1" max="1" width="16.5" style="1" bestFit="1" customWidth="1"/>
    <col min="2" max="16384" width="10.83203125" style="1"/>
  </cols>
  <sheetData>
    <row r="1" spans="1:9" x14ac:dyDescent="0.25">
      <c r="I1" s="2" t="s">
        <v>148</v>
      </c>
    </row>
    <row r="4" spans="1:9" x14ac:dyDescent="0.25">
      <c r="A4" s="6" t="s">
        <v>84</v>
      </c>
    </row>
    <row r="6" spans="1:9" x14ac:dyDescent="0.25">
      <c r="A6" s="1" t="s">
        <v>85</v>
      </c>
    </row>
    <row r="7" spans="1:9" x14ac:dyDescent="0.25">
      <c r="A7" s="1" t="s">
        <v>86</v>
      </c>
    </row>
    <row r="9" spans="1:9" x14ac:dyDescent="0.25">
      <c r="A9" s="1" t="s">
        <v>87</v>
      </c>
    </row>
    <row r="11" spans="1:9" x14ac:dyDescent="0.25">
      <c r="A11" s="6" t="s">
        <v>88</v>
      </c>
    </row>
    <row r="12" spans="1:9" x14ac:dyDescent="0.25">
      <c r="A12" s="1" t="s">
        <v>91</v>
      </c>
      <c r="B12" s="1" t="s">
        <v>96</v>
      </c>
    </row>
    <row r="13" spans="1:9" x14ac:dyDescent="0.25">
      <c r="A13" s="1" t="s">
        <v>89</v>
      </c>
      <c r="B13" s="1" t="s">
        <v>97</v>
      </c>
    </row>
    <row r="14" spans="1:9" x14ac:dyDescent="0.25">
      <c r="A14" s="1" t="s">
        <v>90</v>
      </c>
      <c r="B14" s="1" t="s">
        <v>98</v>
      </c>
    </row>
    <row r="16" spans="1:9" x14ac:dyDescent="0.25">
      <c r="A16" s="6" t="s">
        <v>92</v>
      </c>
    </row>
    <row r="18" spans="1:2" x14ac:dyDescent="0.25">
      <c r="A18" s="1" t="s">
        <v>28</v>
      </c>
    </row>
    <row r="19" spans="1:2" x14ac:dyDescent="0.25">
      <c r="A19" s="1" t="s">
        <v>29</v>
      </c>
    </row>
    <row r="20" spans="1:2" x14ac:dyDescent="0.25">
      <c r="A20" s="1" t="s">
        <v>69</v>
      </c>
    </row>
    <row r="23" spans="1:2" x14ac:dyDescent="0.25">
      <c r="A23" s="1" t="s">
        <v>93</v>
      </c>
    </row>
    <row r="25" spans="1:2" x14ac:dyDescent="0.25">
      <c r="A25" s="1" t="s">
        <v>94</v>
      </c>
    </row>
    <row r="26" spans="1:2" x14ac:dyDescent="0.25">
      <c r="A26" s="1" t="s">
        <v>95</v>
      </c>
      <c r="B26" s="1" t="s">
        <v>107</v>
      </c>
    </row>
    <row r="30" spans="1:2" x14ac:dyDescent="0.25">
      <c r="A30" s="6" t="s">
        <v>108</v>
      </c>
    </row>
    <row r="31" spans="1:2" x14ac:dyDescent="0.25">
      <c r="A31" s="1" t="s">
        <v>156</v>
      </c>
    </row>
    <row r="32" spans="1:2" x14ac:dyDescent="0.25">
      <c r="A32" s="1" t="s">
        <v>126</v>
      </c>
    </row>
    <row r="33" spans="1:1" x14ac:dyDescent="0.25">
      <c r="A33" s="1" t="s">
        <v>128</v>
      </c>
    </row>
    <row r="34" spans="1:1" x14ac:dyDescent="0.25">
      <c r="A34" s="1" t="s">
        <v>127</v>
      </c>
    </row>
    <row r="35" spans="1:1" x14ac:dyDescent="0.25">
      <c r="A35" s="1" t="s">
        <v>129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F60C-DE1B-1D47-8E0C-9A0052FA318A}">
  <dimension ref="A1:EL89"/>
  <sheetViews>
    <sheetView showGridLines="0" zoomScale="90" zoomScaleNormal="90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Q17" sqref="Q17"/>
    </sheetView>
  </sheetViews>
  <sheetFormatPr baseColWidth="10" defaultRowHeight="19" x14ac:dyDescent="0.25"/>
  <cols>
    <col min="1" max="1" width="15.83203125" style="1" bestFit="1" customWidth="1"/>
    <col min="2" max="2" width="10.83203125" style="10"/>
    <col min="3" max="3" width="41" style="1" customWidth="1"/>
    <col min="4" max="7" width="10.83203125" style="1"/>
    <col min="8" max="8" width="12" style="1" bestFit="1" customWidth="1"/>
    <col min="9" max="11" width="10.83203125" style="1"/>
    <col min="12" max="12" width="12" style="1" bestFit="1" customWidth="1"/>
    <col min="13" max="15" width="10.83203125" style="1"/>
    <col min="16" max="16" width="10.83203125" style="10"/>
    <col min="17" max="22" width="10.83203125" style="1"/>
    <col min="23" max="23" width="12.5" style="1" customWidth="1"/>
    <col min="24" max="26" width="10.83203125" style="1"/>
    <col min="27" max="27" width="10.83203125" style="10"/>
    <col min="28" max="38" width="10.83203125" style="1"/>
    <col min="39" max="39" width="14" style="1" bestFit="1" customWidth="1"/>
    <col min="40" max="40" width="12.1640625" style="1" bestFit="1" customWidth="1"/>
    <col min="41" max="16384" width="10.83203125" style="1"/>
  </cols>
  <sheetData>
    <row r="1" spans="1:37" x14ac:dyDescent="0.25">
      <c r="AB1" s="1">
        <v>18</v>
      </c>
      <c r="AD1" s="1">
        <v>20</v>
      </c>
    </row>
    <row r="4" spans="1:37" x14ac:dyDescent="0.25">
      <c r="A4" s="3" t="s">
        <v>0</v>
      </c>
      <c r="C4" s="1" t="s">
        <v>27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  <c r="P4" s="18" t="s">
        <v>109</v>
      </c>
      <c r="Q4" s="4" t="s">
        <v>110</v>
      </c>
      <c r="R4" s="4" t="s">
        <v>111</v>
      </c>
      <c r="S4" s="4" t="s">
        <v>112</v>
      </c>
      <c r="T4" s="4"/>
      <c r="U4" s="4" t="s">
        <v>155</v>
      </c>
      <c r="V4" s="4" t="s">
        <v>131</v>
      </c>
      <c r="W4" s="4" t="s">
        <v>130</v>
      </c>
      <c r="X4" s="4" t="s">
        <v>70</v>
      </c>
      <c r="Y4" s="4" t="s">
        <v>71</v>
      </c>
      <c r="Z4" s="4" t="s">
        <v>72</v>
      </c>
      <c r="AA4" s="18" t="s">
        <v>73</v>
      </c>
      <c r="AB4" s="4" t="s">
        <v>74</v>
      </c>
      <c r="AC4" s="4" t="s">
        <v>75</v>
      </c>
      <c r="AD4" s="4" t="s">
        <v>76</v>
      </c>
      <c r="AE4" s="4" t="s">
        <v>77</v>
      </c>
      <c r="AF4" s="4" t="s">
        <v>78</v>
      </c>
      <c r="AG4" s="4" t="s">
        <v>79</v>
      </c>
      <c r="AH4" s="4" t="s">
        <v>80</v>
      </c>
      <c r="AI4" s="4" t="s">
        <v>81</v>
      </c>
      <c r="AJ4" s="4" t="s">
        <v>82</v>
      </c>
      <c r="AK4" s="4" t="s">
        <v>83</v>
      </c>
    </row>
    <row r="5" spans="1:37" x14ac:dyDescent="0.25">
      <c r="A5" s="2" t="s">
        <v>1</v>
      </c>
      <c r="B5" s="11">
        <v>10.9</v>
      </c>
      <c r="C5" s="1" t="s">
        <v>28</v>
      </c>
      <c r="D5" s="21">
        <v>1343</v>
      </c>
      <c r="E5" s="21">
        <v>2504</v>
      </c>
      <c r="F5" s="21">
        <v>2528</v>
      </c>
      <c r="G5" s="21">
        <v>3409</v>
      </c>
      <c r="H5" s="21">
        <v>2503</v>
      </c>
      <c r="I5" s="21">
        <v>2585</v>
      </c>
      <c r="J5" s="21">
        <v>2594</v>
      </c>
      <c r="K5" s="21">
        <v>3513</v>
      </c>
      <c r="L5" s="21">
        <v>2265</v>
      </c>
      <c r="M5" s="21">
        <v>2392</v>
      </c>
      <c r="N5" s="21">
        <v>2543</v>
      </c>
      <c r="O5" s="21">
        <v>3677</v>
      </c>
      <c r="P5" s="22">
        <v>2343</v>
      </c>
      <c r="X5" s="21">
        <f>SUM(D5:G5)</f>
        <v>9784</v>
      </c>
      <c r="Y5" s="21">
        <f>SUM(H5:K5)</f>
        <v>11195</v>
      </c>
      <c r="Z5" s="21">
        <f>SUM(L5:O5)</f>
        <v>10877</v>
      </c>
      <c r="AA5" s="22">
        <f>Z5*1.1</f>
        <v>11964.7</v>
      </c>
      <c r="AB5" s="21">
        <f t="shared" ref="AB5" si="0">AA5*1.1</f>
        <v>13161.170000000002</v>
      </c>
      <c r="AC5" s="21">
        <f>AB5*1.07</f>
        <v>14082.451900000004</v>
      </c>
      <c r="AD5" s="21">
        <f t="shared" ref="AD5:AK5" si="1">AC5*1.07</f>
        <v>15068.223533000004</v>
      </c>
      <c r="AE5" s="21">
        <f t="shared" si="1"/>
        <v>16122.999180310006</v>
      </c>
      <c r="AF5" s="21">
        <f t="shared" si="1"/>
        <v>17251.609122931706</v>
      </c>
      <c r="AG5" s="21">
        <f t="shared" si="1"/>
        <v>18459.221761536926</v>
      </c>
      <c r="AH5" s="21">
        <f t="shared" si="1"/>
        <v>19751.367284844513</v>
      </c>
      <c r="AI5" s="21">
        <f t="shared" si="1"/>
        <v>21133.962994783629</v>
      </c>
      <c r="AJ5" s="21">
        <f t="shared" si="1"/>
        <v>22613.340404418486</v>
      </c>
      <c r="AK5" s="21">
        <f t="shared" si="1"/>
        <v>24196.274232727781</v>
      </c>
    </row>
    <row r="6" spans="1:37" x14ac:dyDescent="0.25">
      <c r="A6" s="2" t="s">
        <v>4</v>
      </c>
      <c r="B6" s="12">
        <v>175.341161</v>
      </c>
      <c r="C6" s="1" t="s">
        <v>29</v>
      </c>
      <c r="D6" s="21">
        <v>435</v>
      </c>
      <c r="E6" s="21">
        <v>351</v>
      </c>
      <c r="F6" s="21">
        <v>416</v>
      </c>
      <c r="G6" s="21">
        <v>413</v>
      </c>
      <c r="H6" s="21">
        <v>379</v>
      </c>
      <c r="I6" s="21">
        <v>352</v>
      </c>
      <c r="J6" s="21">
        <v>457</v>
      </c>
      <c r="K6" s="21">
        <v>395</v>
      </c>
      <c r="L6" s="21">
        <v>351</v>
      </c>
      <c r="M6" s="21">
        <v>330</v>
      </c>
      <c r="N6" s="21">
        <v>417</v>
      </c>
      <c r="O6" s="21">
        <v>422</v>
      </c>
      <c r="P6" s="22">
        <v>367</v>
      </c>
      <c r="X6" s="21">
        <f t="shared" ref="X6" si="2">SUM(D6:G6)</f>
        <v>1615</v>
      </c>
      <c r="Y6" s="21">
        <f>SUM(H6:K6)</f>
        <v>1583</v>
      </c>
      <c r="Z6" s="21">
        <f t="shared" ref="Z6" si="3">SUM(L6:O6)</f>
        <v>1520</v>
      </c>
      <c r="AA6" s="22">
        <f>Z6*1.07</f>
        <v>1626.4</v>
      </c>
      <c r="AB6" s="21">
        <f t="shared" ref="AB6:AK6" si="4">AA6*1.07</f>
        <v>1740.2480000000003</v>
      </c>
      <c r="AC6" s="21">
        <f t="shared" si="4"/>
        <v>1862.0653600000005</v>
      </c>
      <c r="AD6" s="21">
        <f t="shared" si="4"/>
        <v>1992.4099352000007</v>
      </c>
      <c r="AE6" s="21">
        <f t="shared" si="4"/>
        <v>2131.8786306640009</v>
      </c>
      <c r="AF6" s="21">
        <f t="shared" si="4"/>
        <v>2281.1101348104812</v>
      </c>
      <c r="AG6" s="21">
        <f t="shared" si="4"/>
        <v>2440.7878442472152</v>
      </c>
      <c r="AH6" s="21">
        <f t="shared" si="4"/>
        <v>2611.6429933445202</v>
      </c>
      <c r="AI6" s="21">
        <f t="shared" si="4"/>
        <v>2794.4580028786368</v>
      </c>
      <c r="AJ6" s="21">
        <f t="shared" si="4"/>
        <v>2990.0700630801416</v>
      </c>
      <c r="AK6" s="21">
        <f t="shared" si="4"/>
        <v>3199.3749674957517</v>
      </c>
    </row>
    <row r="7" spans="1:37" x14ac:dyDescent="0.25">
      <c r="A7" s="2" t="s">
        <v>5</v>
      </c>
      <c r="B7" s="25">
        <f>B5*B6</f>
        <v>1911.2186549</v>
      </c>
      <c r="C7" s="1" t="s">
        <v>69</v>
      </c>
      <c r="D7" s="21">
        <v>825</v>
      </c>
      <c r="E7" s="21">
        <v>713</v>
      </c>
      <c r="F7" s="21">
        <v>837</v>
      </c>
      <c r="G7" s="21">
        <v>832</v>
      </c>
      <c r="H7" s="21">
        <v>734</v>
      </c>
      <c r="I7" s="21">
        <v>695</v>
      </c>
      <c r="J7" s="21">
        <v>823</v>
      </c>
      <c r="K7" s="21">
        <v>826</v>
      </c>
      <c r="L7" s="21">
        <v>630</v>
      </c>
      <c r="M7" s="21">
        <v>696</v>
      </c>
      <c r="N7" s="21">
        <v>795</v>
      </c>
      <c r="O7" s="21">
        <v>786</v>
      </c>
      <c r="P7" s="22">
        <v>660</v>
      </c>
      <c r="X7" s="21">
        <f>SUM(D7:G7)</f>
        <v>3207</v>
      </c>
      <c r="Y7" s="21">
        <f t="shared" ref="Y7" si="5">SUM(H7:K7)</f>
        <v>3078</v>
      </c>
      <c r="Z7" s="21">
        <f>SUM(L7:O7)</f>
        <v>2907</v>
      </c>
      <c r="AA7" s="22">
        <f>Z7*1.07</f>
        <v>3110.4900000000002</v>
      </c>
      <c r="AB7" s="21">
        <f t="shared" ref="AB7:AK7" si="6">AA7*1.07</f>
        <v>3328.2243000000003</v>
      </c>
      <c r="AC7" s="21">
        <f t="shared" si="6"/>
        <v>3561.2000010000006</v>
      </c>
      <c r="AD7" s="21">
        <f t="shared" si="6"/>
        <v>3810.4840010700009</v>
      </c>
      <c r="AE7" s="21">
        <f t="shared" si="6"/>
        <v>4077.2178811449012</v>
      </c>
      <c r="AF7" s="21">
        <f t="shared" si="6"/>
        <v>4362.6231328250442</v>
      </c>
      <c r="AG7" s="21">
        <f t="shared" si="6"/>
        <v>4668.0067521227975</v>
      </c>
      <c r="AH7" s="21">
        <f t="shared" si="6"/>
        <v>4994.7672247713936</v>
      </c>
      <c r="AI7" s="21">
        <f t="shared" si="6"/>
        <v>5344.4009305053914</v>
      </c>
      <c r="AJ7" s="21">
        <f t="shared" si="6"/>
        <v>5718.5089956407692</v>
      </c>
      <c r="AK7" s="21">
        <f t="shared" si="6"/>
        <v>6118.8046253356233</v>
      </c>
    </row>
    <row r="8" spans="1:37" x14ac:dyDescent="0.25">
      <c r="A8" s="2" t="s">
        <v>6</v>
      </c>
      <c r="B8" s="25">
        <v>351</v>
      </c>
      <c r="C8" s="6" t="s">
        <v>30</v>
      </c>
      <c r="D8" s="23">
        <f t="shared" ref="D8:O8" si="7">SUM(D5:D7)</f>
        <v>2603</v>
      </c>
      <c r="E8" s="23">
        <f t="shared" si="7"/>
        <v>3568</v>
      </c>
      <c r="F8" s="23">
        <f t="shared" si="7"/>
        <v>3781</v>
      </c>
      <c r="G8" s="23">
        <f t="shared" si="7"/>
        <v>4654</v>
      </c>
      <c r="H8" s="23">
        <f t="shared" si="7"/>
        <v>3616</v>
      </c>
      <c r="I8" s="23">
        <f t="shared" si="7"/>
        <v>3632</v>
      </c>
      <c r="J8" s="23">
        <f t="shared" si="7"/>
        <v>3874</v>
      </c>
      <c r="K8" s="23">
        <f t="shared" si="7"/>
        <v>4734</v>
      </c>
      <c r="L8" s="23">
        <f t="shared" si="7"/>
        <v>3246</v>
      </c>
      <c r="M8" s="23">
        <f t="shared" si="7"/>
        <v>3418</v>
      </c>
      <c r="N8" s="23">
        <f t="shared" si="7"/>
        <v>3755</v>
      </c>
      <c r="O8" s="23">
        <f t="shared" si="7"/>
        <v>4885</v>
      </c>
      <c r="P8" s="24">
        <f t="shared" ref="P8" si="8">SUM(P5:P7)</f>
        <v>3370</v>
      </c>
      <c r="Q8" s="6"/>
      <c r="R8" s="6"/>
      <c r="S8" s="6"/>
      <c r="T8" s="6"/>
      <c r="U8" s="6"/>
      <c r="V8" s="23">
        <v>9866</v>
      </c>
      <c r="W8" s="23">
        <v>11043</v>
      </c>
      <c r="X8" s="23">
        <f>SUM(X5:X7)</f>
        <v>14606</v>
      </c>
      <c r="Y8" s="23">
        <f>SUM(Y5:Y7)</f>
        <v>15856</v>
      </c>
      <c r="Z8" s="23">
        <f>SUM(Z5:Z7)</f>
        <v>15304</v>
      </c>
      <c r="AA8" s="24">
        <f>SUM(AA5:AA7)</f>
        <v>16701.59</v>
      </c>
      <c r="AB8" s="23">
        <f t="shared" ref="AB8:AK8" si="9">SUM(AB5:AB7)</f>
        <v>18229.642300000003</v>
      </c>
      <c r="AC8" s="23">
        <f t="shared" si="9"/>
        <v>19505.717261000005</v>
      </c>
      <c r="AD8" s="23">
        <f t="shared" si="9"/>
        <v>20871.117469270008</v>
      </c>
      <c r="AE8" s="23">
        <f t="shared" si="9"/>
        <v>22332.095692118906</v>
      </c>
      <c r="AF8" s="23">
        <f t="shared" si="9"/>
        <v>23895.342390567232</v>
      </c>
      <c r="AG8" s="23">
        <f t="shared" si="9"/>
        <v>25568.016357906938</v>
      </c>
      <c r="AH8" s="23">
        <f t="shared" si="9"/>
        <v>27357.777502960427</v>
      </c>
      <c r="AI8" s="23">
        <f t="shared" si="9"/>
        <v>29272.821928167657</v>
      </c>
      <c r="AJ8" s="23">
        <f t="shared" si="9"/>
        <v>31321.919463139395</v>
      </c>
      <c r="AK8" s="23">
        <f t="shared" si="9"/>
        <v>33514.453825559154</v>
      </c>
    </row>
    <row r="9" spans="1:37" x14ac:dyDescent="0.25">
      <c r="A9" s="2" t="s">
        <v>7</v>
      </c>
      <c r="B9" s="25">
        <f>800</f>
        <v>800</v>
      </c>
      <c r="C9" s="1" t="s">
        <v>31</v>
      </c>
      <c r="D9" s="21">
        <v>2298</v>
      </c>
      <c r="E9" s="21">
        <v>3129</v>
      </c>
      <c r="F9" s="21">
        <v>3338</v>
      </c>
      <c r="G9" s="21">
        <v>4059</v>
      </c>
      <c r="H9" s="21">
        <v>3108</v>
      </c>
      <c r="I9" s="21">
        <v>3122</v>
      </c>
      <c r="J9" s="21">
        <v>3350</v>
      </c>
      <c r="K9" s="21">
        <v>4069</v>
      </c>
      <c r="L9" s="21">
        <v>2757</v>
      </c>
      <c r="M9" s="21">
        <v>2972</v>
      </c>
      <c r="N9" s="21">
        <v>3280</v>
      </c>
      <c r="O9" s="21">
        <v>4202</v>
      </c>
      <c r="P9" s="22">
        <v>2865</v>
      </c>
      <c r="V9" s="21">
        <v>8547</v>
      </c>
      <c r="W9" s="21">
        <v>9581</v>
      </c>
      <c r="X9" s="21">
        <f>SUM(D9:G9)</f>
        <v>12824</v>
      </c>
      <c r="Y9" s="21">
        <f>SUM(H9:K9)</f>
        <v>13649</v>
      </c>
      <c r="Z9" s="21">
        <f>SUM(L9:O9)</f>
        <v>13211</v>
      </c>
      <c r="AA9" s="22">
        <f>AA8*0.855</f>
        <v>14279.85945</v>
      </c>
      <c r="AB9" s="21">
        <f>AB8*0.856</f>
        <v>15604.573808800002</v>
      </c>
      <c r="AC9" s="21">
        <f t="shared" ref="AC9:AK9" si="10">AC8*0.86</f>
        <v>16774.916844460004</v>
      </c>
      <c r="AD9" s="21">
        <f t="shared" si="10"/>
        <v>17949.161023572207</v>
      </c>
      <c r="AE9" s="21">
        <f t="shared" si="10"/>
        <v>19205.602295222259</v>
      </c>
      <c r="AF9" s="21">
        <f t="shared" si="10"/>
        <v>20549.99445588782</v>
      </c>
      <c r="AG9" s="21">
        <f t="shared" si="10"/>
        <v>21988.494067799966</v>
      </c>
      <c r="AH9" s="21">
        <f t="shared" si="10"/>
        <v>23527.688652545967</v>
      </c>
      <c r="AI9" s="21">
        <f t="shared" si="10"/>
        <v>25174.626858224186</v>
      </c>
      <c r="AJ9" s="21">
        <f t="shared" si="10"/>
        <v>26936.85073829988</v>
      </c>
      <c r="AK9" s="21">
        <f t="shared" si="10"/>
        <v>28822.430289980872</v>
      </c>
    </row>
    <row r="10" spans="1:37" x14ac:dyDescent="0.25">
      <c r="A10" s="3" t="s">
        <v>3</v>
      </c>
      <c r="B10" s="26">
        <f>B7-B8+B9</f>
        <v>2360.2186548999998</v>
      </c>
      <c r="C10" s="1" t="s">
        <v>32</v>
      </c>
      <c r="D10" s="21">
        <v>136</v>
      </c>
      <c r="E10" s="21">
        <v>217</v>
      </c>
      <c r="F10" s="21">
        <v>223</v>
      </c>
      <c r="G10" s="21">
        <v>244</v>
      </c>
      <c r="H10" s="21">
        <v>248</v>
      </c>
      <c r="I10" s="21">
        <v>236</v>
      </c>
      <c r="J10" s="21">
        <v>251</v>
      </c>
      <c r="K10" s="21">
        <v>280</v>
      </c>
      <c r="L10" s="21">
        <v>259</v>
      </c>
      <c r="M10" s="21">
        <v>224</v>
      </c>
      <c r="N10" s="21">
        <v>249</v>
      </c>
      <c r="O10" s="21">
        <v>280</v>
      </c>
      <c r="P10" s="22">
        <v>273</v>
      </c>
      <c r="V10" s="21">
        <v>465</v>
      </c>
      <c r="W10" s="21">
        <v>511</v>
      </c>
      <c r="X10" s="21">
        <f>SUM(D10:G10)</f>
        <v>820</v>
      </c>
      <c r="Y10" s="21">
        <f>SUM(H10:K10)</f>
        <v>1015</v>
      </c>
      <c r="Z10" s="21">
        <f>SUM(L10:O10)</f>
        <v>1012</v>
      </c>
      <c r="AA10" s="22">
        <v>1012</v>
      </c>
      <c r="AB10" s="21">
        <f>AA10*1.005</f>
        <v>1017.06</v>
      </c>
      <c r="AC10" s="21">
        <f t="shared" ref="AC10:AF10" si="11">AB10*1.005</f>
        <v>1022.1452999999998</v>
      </c>
      <c r="AD10" s="21">
        <f t="shared" si="11"/>
        <v>1027.2560264999997</v>
      </c>
      <c r="AE10" s="21">
        <f t="shared" si="11"/>
        <v>1032.3923066324996</v>
      </c>
      <c r="AF10" s="21">
        <f t="shared" si="11"/>
        <v>1037.5542681656621</v>
      </c>
      <c r="AG10" s="21">
        <f>AF10*1.01</f>
        <v>1047.9298108473188</v>
      </c>
      <c r="AH10" s="21">
        <f t="shared" ref="AH10:AK10" si="12">AG10*1.01</f>
        <v>1058.4091089557919</v>
      </c>
      <c r="AI10" s="21">
        <f t="shared" si="12"/>
        <v>1068.9932000453498</v>
      </c>
      <c r="AJ10" s="21">
        <f t="shared" si="12"/>
        <v>1079.6831320458034</v>
      </c>
      <c r="AK10" s="21">
        <f t="shared" si="12"/>
        <v>1090.4799633662615</v>
      </c>
    </row>
    <row r="11" spans="1:37" x14ac:dyDescent="0.25">
      <c r="A11" s="7"/>
      <c r="C11" s="1" t="s">
        <v>22</v>
      </c>
      <c r="D11" s="21">
        <v>31</v>
      </c>
      <c r="E11" s="21">
        <v>75</v>
      </c>
      <c r="F11" s="21">
        <v>74</v>
      </c>
      <c r="G11" s="21">
        <v>76</v>
      </c>
      <c r="H11" s="21">
        <v>81</v>
      </c>
      <c r="I11" s="21">
        <v>86</v>
      </c>
      <c r="J11" s="21">
        <v>82</v>
      </c>
      <c r="K11" s="21">
        <v>86</v>
      </c>
      <c r="L11" s="21">
        <v>95</v>
      </c>
      <c r="M11" s="21">
        <v>95</v>
      </c>
      <c r="N11" s="21">
        <v>99</v>
      </c>
      <c r="O11" s="21">
        <v>96</v>
      </c>
      <c r="P11" s="22">
        <v>100</v>
      </c>
      <c r="V11" s="21">
        <v>137</v>
      </c>
      <c r="W11" s="21">
        <v>129</v>
      </c>
      <c r="X11" s="21">
        <f t="shared" ref="X11:X13" si="13">SUM(D11:G11)</f>
        <v>256</v>
      </c>
      <c r="Y11" s="21">
        <f t="shared" ref="Y11:Y13" si="14">SUM(H11:K11)</f>
        <v>335</v>
      </c>
      <c r="Z11" s="21">
        <f t="shared" ref="Z11:Z13" si="15">SUM(L11:O11)</f>
        <v>385</v>
      </c>
      <c r="AA11" s="22">
        <v>375</v>
      </c>
      <c r="AB11" s="21">
        <f>AA11*1.005</f>
        <v>376.87499999999994</v>
      </c>
      <c r="AC11" s="21">
        <f t="shared" ref="AC11:AK11" si="16">AB11*1.005</f>
        <v>378.75937499999992</v>
      </c>
      <c r="AD11" s="21">
        <f t="shared" si="16"/>
        <v>380.65317187499988</v>
      </c>
      <c r="AE11" s="21">
        <f t="shared" si="16"/>
        <v>382.55643773437487</v>
      </c>
      <c r="AF11" s="21">
        <f t="shared" si="16"/>
        <v>384.46921992304669</v>
      </c>
      <c r="AG11" s="21">
        <f t="shared" si="16"/>
        <v>386.39156602266189</v>
      </c>
      <c r="AH11" s="21">
        <f t="shared" si="16"/>
        <v>388.32352385277517</v>
      </c>
      <c r="AI11" s="21">
        <f t="shared" si="16"/>
        <v>390.26514147203898</v>
      </c>
      <c r="AJ11" s="21">
        <f t="shared" si="16"/>
        <v>392.2164671793991</v>
      </c>
      <c r="AK11" s="21">
        <f t="shared" si="16"/>
        <v>394.17754951529605</v>
      </c>
    </row>
    <row r="12" spans="1:37" x14ac:dyDescent="0.25">
      <c r="C12" s="1" t="s">
        <v>25</v>
      </c>
      <c r="D12" s="21">
        <v>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983</v>
      </c>
      <c r="L12" s="21">
        <v>0</v>
      </c>
      <c r="M12" s="21">
        <v>0</v>
      </c>
      <c r="N12" s="21">
        <v>0</v>
      </c>
      <c r="O12" s="21">
        <v>0</v>
      </c>
      <c r="P12" s="22">
        <v>0</v>
      </c>
      <c r="V12" s="21">
        <v>0</v>
      </c>
      <c r="W12" s="21">
        <v>0</v>
      </c>
      <c r="X12" s="21">
        <f t="shared" si="13"/>
        <v>0</v>
      </c>
      <c r="Y12" s="21">
        <f t="shared" si="14"/>
        <v>983</v>
      </c>
      <c r="Z12" s="21">
        <f t="shared" si="15"/>
        <v>0</v>
      </c>
      <c r="AA12" s="22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</row>
    <row r="13" spans="1:37" x14ac:dyDescent="0.25">
      <c r="A13" s="5"/>
      <c r="C13" s="1" t="s">
        <v>33</v>
      </c>
      <c r="D13" s="21">
        <v>122</v>
      </c>
      <c r="E13" s="21">
        <v>199</v>
      </c>
      <c r="F13" s="21">
        <v>163</v>
      </c>
      <c r="G13" s="21">
        <v>228</v>
      </c>
      <c r="H13" s="21">
        <v>186</v>
      </c>
      <c r="I13" s="21">
        <v>193</v>
      </c>
      <c r="J13" s="21">
        <v>166</v>
      </c>
      <c r="K13" s="21">
        <v>220</v>
      </c>
      <c r="L13" s="21">
        <v>180</v>
      </c>
      <c r="M13" s="21">
        <v>166</v>
      </c>
      <c r="N13" s="21">
        <v>178</v>
      </c>
      <c r="O13" s="21">
        <v>236</v>
      </c>
      <c r="P13" s="22">
        <v>189</v>
      </c>
      <c r="V13" s="21">
        <v>440</v>
      </c>
      <c r="W13" s="21">
        <v>453</v>
      </c>
      <c r="X13" s="21">
        <f t="shared" si="13"/>
        <v>712</v>
      </c>
      <c r="Y13" s="21">
        <f t="shared" si="14"/>
        <v>765</v>
      </c>
      <c r="Z13" s="21">
        <f t="shared" si="15"/>
        <v>760</v>
      </c>
      <c r="AA13" s="22">
        <v>760</v>
      </c>
      <c r="AB13" s="21">
        <f>AA13*1.05</f>
        <v>798</v>
      </c>
      <c r="AC13" s="21">
        <f t="shared" ref="AC13:AK13" si="17">AB13*1.05</f>
        <v>837.90000000000009</v>
      </c>
      <c r="AD13" s="21">
        <f t="shared" si="17"/>
        <v>879.79500000000019</v>
      </c>
      <c r="AE13" s="21">
        <f t="shared" si="17"/>
        <v>923.78475000000026</v>
      </c>
      <c r="AF13" s="21">
        <f t="shared" si="17"/>
        <v>969.97398750000036</v>
      </c>
      <c r="AG13" s="21">
        <f t="shared" si="17"/>
        <v>1018.4726868750005</v>
      </c>
      <c r="AH13" s="21">
        <f t="shared" si="17"/>
        <v>1069.3963212187505</v>
      </c>
      <c r="AI13" s="21">
        <f t="shared" si="17"/>
        <v>1122.866137279688</v>
      </c>
      <c r="AJ13" s="21">
        <f t="shared" si="17"/>
        <v>1179.0094441436725</v>
      </c>
      <c r="AK13" s="21">
        <f t="shared" si="17"/>
        <v>1237.959916350856</v>
      </c>
    </row>
    <row r="14" spans="1:37" x14ac:dyDescent="0.25">
      <c r="C14" s="1" t="s">
        <v>34</v>
      </c>
      <c r="D14" s="21">
        <f t="shared" ref="D14:O14" si="18">SUM(D9:D13)</f>
        <v>2587</v>
      </c>
      <c r="E14" s="21">
        <f t="shared" si="18"/>
        <v>3620</v>
      </c>
      <c r="F14" s="21">
        <f t="shared" si="18"/>
        <v>3798</v>
      </c>
      <c r="G14" s="21">
        <f t="shared" si="18"/>
        <v>4607</v>
      </c>
      <c r="H14" s="21">
        <f t="shared" si="18"/>
        <v>3623</v>
      </c>
      <c r="I14" s="21">
        <f t="shared" si="18"/>
        <v>3637</v>
      </c>
      <c r="J14" s="21">
        <f t="shared" si="18"/>
        <v>3849</v>
      </c>
      <c r="K14" s="21">
        <f t="shared" si="18"/>
        <v>5638</v>
      </c>
      <c r="L14" s="21">
        <f t="shared" si="18"/>
        <v>3291</v>
      </c>
      <c r="M14" s="21">
        <f t="shared" si="18"/>
        <v>3457</v>
      </c>
      <c r="N14" s="21">
        <f t="shared" si="18"/>
        <v>3806</v>
      </c>
      <c r="O14" s="21">
        <f t="shared" si="18"/>
        <v>4814</v>
      </c>
      <c r="P14" s="22">
        <f t="shared" ref="P14" si="19">SUM(P9:P13)</f>
        <v>3427</v>
      </c>
      <c r="Q14" s="21"/>
      <c r="V14" s="21">
        <f t="shared" ref="V14:Y14" si="20">SUM(V9:V13)</f>
        <v>9589</v>
      </c>
      <c r="W14" s="21">
        <f>SUM(W9:W13)</f>
        <v>10674</v>
      </c>
      <c r="X14" s="21">
        <f t="shared" si="20"/>
        <v>14612</v>
      </c>
      <c r="Y14" s="21">
        <f t="shared" si="20"/>
        <v>16747</v>
      </c>
      <c r="Z14" s="21">
        <f>SUM(Z9:Z13)</f>
        <v>15368</v>
      </c>
      <c r="AA14" s="22">
        <f>SUM(AA9:AA13)</f>
        <v>16426.85945</v>
      </c>
      <c r="AB14" s="21">
        <f>SUM(AB9:AB13)</f>
        <v>17796.508808800001</v>
      </c>
      <c r="AC14" s="21">
        <f t="shared" ref="AC14:AK14" si="21">SUM(AC9:AC13)</f>
        <v>19013.721519460007</v>
      </c>
      <c r="AD14" s="21">
        <f t="shared" si="21"/>
        <v>20236.86522194721</v>
      </c>
      <c r="AE14" s="21">
        <f t="shared" si="21"/>
        <v>21544.335789589135</v>
      </c>
      <c r="AF14" s="21">
        <f t="shared" si="21"/>
        <v>22941.991931476528</v>
      </c>
      <c r="AG14" s="21">
        <f t="shared" si="21"/>
        <v>24441.288131544949</v>
      </c>
      <c r="AH14" s="21">
        <f t="shared" si="21"/>
        <v>26043.817606573284</v>
      </c>
      <c r="AI14" s="21">
        <f t="shared" si="21"/>
        <v>27756.751337021262</v>
      </c>
      <c r="AJ14" s="21">
        <f t="shared" si="21"/>
        <v>29587.759781668756</v>
      </c>
      <c r="AK14" s="21">
        <f t="shared" si="21"/>
        <v>31545.047719213286</v>
      </c>
    </row>
    <row r="15" spans="1:37" x14ac:dyDescent="0.25">
      <c r="C15" s="6" t="s">
        <v>23</v>
      </c>
      <c r="D15" s="23">
        <f t="shared" ref="D15:O15" si="22">D8-D14</f>
        <v>16</v>
      </c>
      <c r="E15" s="23">
        <f t="shared" si="22"/>
        <v>-52</v>
      </c>
      <c r="F15" s="23">
        <f t="shared" si="22"/>
        <v>-17</v>
      </c>
      <c r="G15" s="23">
        <f t="shared" si="22"/>
        <v>47</v>
      </c>
      <c r="H15" s="23">
        <f t="shared" si="22"/>
        <v>-7</v>
      </c>
      <c r="I15" s="23">
        <f t="shared" si="22"/>
        <v>-5</v>
      </c>
      <c r="J15" s="23">
        <f t="shared" si="22"/>
        <v>25</v>
      </c>
      <c r="K15" s="23">
        <f t="shared" si="22"/>
        <v>-904</v>
      </c>
      <c r="L15" s="23">
        <f t="shared" si="22"/>
        <v>-45</v>
      </c>
      <c r="M15" s="23">
        <f t="shared" si="22"/>
        <v>-39</v>
      </c>
      <c r="N15" s="23">
        <f t="shared" si="22"/>
        <v>-51</v>
      </c>
      <c r="O15" s="23">
        <f t="shared" si="22"/>
        <v>71</v>
      </c>
      <c r="P15" s="24">
        <f>P8-P14</f>
        <v>-57</v>
      </c>
      <c r="Q15" s="6"/>
      <c r="R15" s="6"/>
      <c r="S15" s="6"/>
      <c r="T15" s="6"/>
      <c r="U15" s="6"/>
      <c r="V15" s="23">
        <f t="shared" ref="V15" si="23">V8-V14</f>
        <v>277</v>
      </c>
      <c r="W15" s="23">
        <f t="shared" ref="W15:AB15" si="24">W8-W14</f>
        <v>369</v>
      </c>
      <c r="X15" s="23">
        <f t="shared" si="24"/>
        <v>-6</v>
      </c>
      <c r="Y15" s="23">
        <f t="shared" si="24"/>
        <v>-891</v>
      </c>
      <c r="Z15" s="23">
        <f t="shared" si="24"/>
        <v>-64</v>
      </c>
      <c r="AA15" s="24">
        <f t="shared" si="24"/>
        <v>274.73055000000022</v>
      </c>
      <c r="AB15" s="23">
        <f t="shared" si="24"/>
        <v>433.13349120000203</v>
      </c>
      <c r="AC15" s="23">
        <f t="shared" ref="AC15:AG15" si="25">AC8-AC14</f>
        <v>491.99574153999856</v>
      </c>
      <c r="AD15" s="23">
        <f t="shared" si="25"/>
        <v>634.25224732279821</v>
      </c>
      <c r="AE15" s="23">
        <f t="shared" si="25"/>
        <v>787.75990252977135</v>
      </c>
      <c r="AF15" s="23">
        <f t="shared" si="25"/>
        <v>953.35045909070323</v>
      </c>
      <c r="AG15" s="23">
        <f t="shared" si="25"/>
        <v>1126.7282263619891</v>
      </c>
      <c r="AH15" s="23">
        <f>AH8*0.04</f>
        <v>1094.311100118417</v>
      </c>
      <c r="AI15" s="23">
        <f t="shared" ref="AI15:AK15" si="26">AI8*0.04</f>
        <v>1170.9128771267062</v>
      </c>
      <c r="AJ15" s="23">
        <f t="shared" si="26"/>
        <v>1252.8767785255759</v>
      </c>
      <c r="AK15" s="23">
        <f t="shared" si="26"/>
        <v>1340.5781530223662</v>
      </c>
    </row>
    <row r="16" spans="1:37" s="6" customFormat="1" x14ac:dyDescent="0.25">
      <c r="B16" s="14"/>
      <c r="C16" s="1" t="s">
        <v>35</v>
      </c>
      <c r="D16" s="21">
        <v>-9</v>
      </c>
      <c r="E16" s="21">
        <v>-25</v>
      </c>
      <c r="F16" s="21">
        <v>-29</v>
      </c>
      <c r="G16" s="21">
        <v>-41</v>
      </c>
      <c r="H16" s="21">
        <v>-48</v>
      </c>
      <c r="I16" s="21">
        <v>-36</v>
      </c>
      <c r="J16" s="21">
        <v>-41</v>
      </c>
      <c r="K16" s="21">
        <v>-39</v>
      </c>
      <c r="L16" s="21">
        <v>-43</v>
      </c>
      <c r="M16" s="21">
        <v>-44</v>
      </c>
      <c r="N16" s="21">
        <v>-43</v>
      </c>
      <c r="O16" s="21">
        <v>-38</v>
      </c>
      <c r="P16" s="22">
        <v>-41</v>
      </c>
      <c r="Q16" s="1"/>
      <c r="R16" s="1"/>
      <c r="S16" s="1"/>
      <c r="T16" s="1"/>
      <c r="U16" s="1"/>
      <c r="V16" s="21">
        <v>-23</v>
      </c>
      <c r="W16" s="21">
        <v>-22</v>
      </c>
      <c r="X16" s="21">
        <f>SUM(D16:G16)</f>
        <v>-104</v>
      </c>
      <c r="Y16" s="21">
        <f>SUM(H16:K16)</f>
        <v>-164</v>
      </c>
      <c r="Z16" s="21">
        <f>SUM(L16:O16)</f>
        <v>-168</v>
      </c>
      <c r="AA16" s="22">
        <v>-170</v>
      </c>
      <c r="AB16" s="21">
        <v>-170</v>
      </c>
      <c r="AC16" s="21">
        <v>-170</v>
      </c>
      <c r="AD16" s="21">
        <v>-170</v>
      </c>
      <c r="AE16" s="21">
        <v>-170</v>
      </c>
      <c r="AF16" s="21">
        <v>-170</v>
      </c>
      <c r="AG16" s="21">
        <v>-170</v>
      </c>
      <c r="AH16" s="21">
        <v>-170</v>
      </c>
      <c r="AI16" s="21">
        <v>-170</v>
      </c>
      <c r="AJ16" s="21">
        <v>-170</v>
      </c>
      <c r="AK16" s="21">
        <v>-170</v>
      </c>
    </row>
    <row r="17" spans="2:142" x14ac:dyDescent="0.25">
      <c r="C17" s="1" t="s">
        <v>26</v>
      </c>
      <c r="D17" s="21">
        <f t="shared" ref="D17:O17" si="27">SUM(D15:D16)</f>
        <v>7</v>
      </c>
      <c r="E17" s="21">
        <f t="shared" si="27"/>
        <v>-77</v>
      </c>
      <c r="F17" s="21">
        <f t="shared" si="27"/>
        <v>-46</v>
      </c>
      <c r="G17" s="21">
        <f t="shared" si="27"/>
        <v>6</v>
      </c>
      <c r="H17" s="21">
        <f t="shared" si="27"/>
        <v>-55</v>
      </c>
      <c r="I17" s="21">
        <f t="shared" si="27"/>
        <v>-41</v>
      </c>
      <c r="J17" s="21">
        <f t="shared" si="27"/>
        <v>-16</v>
      </c>
      <c r="K17" s="21">
        <f t="shared" si="27"/>
        <v>-943</v>
      </c>
      <c r="L17" s="21">
        <f t="shared" si="27"/>
        <v>-88</v>
      </c>
      <c r="M17" s="21">
        <f t="shared" si="27"/>
        <v>-83</v>
      </c>
      <c r="N17" s="21">
        <f t="shared" si="27"/>
        <v>-94</v>
      </c>
      <c r="O17" s="21">
        <f t="shared" si="27"/>
        <v>33</v>
      </c>
      <c r="P17" s="22">
        <f t="shared" ref="P17" si="28">SUM(P15:P16)</f>
        <v>-98</v>
      </c>
      <c r="V17" s="21">
        <f t="shared" ref="V17:W17" si="29">SUM(V15:V16)</f>
        <v>254</v>
      </c>
      <c r="W17" s="21">
        <f t="shared" si="29"/>
        <v>347</v>
      </c>
      <c r="X17" s="21">
        <f>SUM(X15:X16)</f>
        <v>-110</v>
      </c>
      <c r="Y17" s="21">
        <f>SUM(Y15:Y16)</f>
        <v>-1055</v>
      </c>
      <c r="Z17" s="21">
        <f>SUM(Z15:Z16)</f>
        <v>-232</v>
      </c>
      <c r="AA17" s="22">
        <f t="shared" ref="AA17:AK17" si="30">SUM(AA15:AA16)</f>
        <v>104.73055000000022</v>
      </c>
      <c r="AB17" s="21">
        <f t="shared" si="30"/>
        <v>263.13349120000203</v>
      </c>
      <c r="AC17" s="21">
        <f t="shared" si="30"/>
        <v>321.99574153999856</v>
      </c>
      <c r="AD17" s="21">
        <f t="shared" si="30"/>
        <v>464.25224732279821</v>
      </c>
      <c r="AE17" s="21">
        <f t="shared" si="30"/>
        <v>617.75990252977135</v>
      </c>
      <c r="AF17" s="21">
        <f t="shared" si="30"/>
        <v>783.35045909070323</v>
      </c>
      <c r="AG17" s="21">
        <f t="shared" si="30"/>
        <v>956.72822636198907</v>
      </c>
      <c r="AH17" s="21">
        <f t="shared" si="30"/>
        <v>924.31110011841702</v>
      </c>
      <c r="AI17" s="21">
        <f t="shared" si="30"/>
        <v>1000.9128771267062</v>
      </c>
      <c r="AJ17" s="21">
        <f t="shared" si="30"/>
        <v>1082.8767785255759</v>
      </c>
      <c r="AK17" s="21">
        <f t="shared" si="30"/>
        <v>1170.5781530223662</v>
      </c>
    </row>
    <row r="18" spans="2:142" x14ac:dyDescent="0.25">
      <c r="C18" s="1" t="s">
        <v>36</v>
      </c>
      <c r="D18" s="21">
        <v>-4</v>
      </c>
      <c r="E18" s="21">
        <v>5</v>
      </c>
      <c r="F18" s="21">
        <v>8</v>
      </c>
      <c r="G18" s="21">
        <v>47</v>
      </c>
      <c r="H18" s="21">
        <v>10</v>
      </c>
      <c r="I18" s="21">
        <v>11</v>
      </c>
      <c r="J18" s="21">
        <v>-6</v>
      </c>
      <c r="K18" s="21">
        <v>-4</v>
      </c>
      <c r="L18" s="21">
        <v>17</v>
      </c>
      <c r="M18" s="21">
        <v>16</v>
      </c>
      <c r="N18" s="21">
        <v>21</v>
      </c>
      <c r="O18" s="21">
        <v>-10</v>
      </c>
      <c r="P18" s="22">
        <v>22</v>
      </c>
      <c r="V18" s="21">
        <v>-32</v>
      </c>
      <c r="W18" s="21">
        <v>-48</v>
      </c>
      <c r="X18" s="21">
        <f>SUM(D18:G18)</f>
        <v>56</v>
      </c>
      <c r="Y18" s="21">
        <f>SUM(H18:K18)</f>
        <v>11</v>
      </c>
      <c r="Z18" s="21">
        <f>SUM(L18:O18)</f>
        <v>44</v>
      </c>
      <c r="AA18" s="22">
        <f>AA17*-0.22</f>
        <v>-23.040721000000048</v>
      </c>
      <c r="AB18" s="21">
        <f t="shared" ref="AB18:AK18" si="31">AB17*-0.22</f>
        <v>-57.889368064000443</v>
      </c>
      <c r="AC18" s="21">
        <f t="shared" si="31"/>
        <v>-70.839063138799688</v>
      </c>
      <c r="AD18" s="21">
        <f t="shared" si="31"/>
        <v>-102.13549441101561</v>
      </c>
      <c r="AE18" s="21">
        <f t="shared" si="31"/>
        <v>-135.9071785565497</v>
      </c>
      <c r="AF18" s="21">
        <f t="shared" si="31"/>
        <v>-172.33710099995471</v>
      </c>
      <c r="AG18" s="21">
        <f t="shared" si="31"/>
        <v>-210.48020979963761</v>
      </c>
      <c r="AH18" s="21">
        <f t="shared" si="31"/>
        <v>-203.34844202605174</v>
      </c>
      <c r="AI18" s="21">
        <f t="shared" si="31"/>
        <v>-220.20083296787539</v>
      </c>
      <c r="AJ18" s="21">
        <f t="shared" si="31"/>
        <v>-238.23289127562671</v>
      </c>
      <c r="AK18" s="21">
        <f t="shared" si="31"/>
        <v>-257.52719366492056</v>
      </c>
    </row>
    <row r="19" spans="2:142" x14ac:dyDescent="0.25">
      <c r="C19" s="6" t="s">
        <v>37</v>
      </c>
      <c r="D19" s="23">
        <f t="shared" ref="D19:O19" si="32">SUM(D17:D18)</f>
        <v>3</v>
      </c>
      <c r="E19" s="23">
        <f t="shared" si="32"/>
        <v>-72</v>
      </c>
      <c r="F19" s="23">
        <f t="shared" si="32"/>
        <v>-38</v>
      </c>
      <c r="G19" s="23">
        <f t="shared" si="32"/>
        <v>53</v>
      </c>
      <c r="H19" s="23">
        <f t="shared" si="32"/>
        <v>-45</v>
      </c>
      <c r="I19" s="23">
        <f t="shared" si="32"/>
        <v>-30</v>
      </c>
      <c r="J19" s="23">
        <f t="shared" si="32"/>
        <v>-22</v>
      </c>
      <c r="K19" s="23">
        <f t="shared" si="32"/>
        <v>-947</v>
      </c>
      <c r="L19" s="23">
        <f t="shared" si="32"/>
        <v>-71</v>
      </c>
      <c r="M19" s="23">
        <f t="shared" si="32"/>
        <v>-67</v>
      </c>
      <c r="N19" s="23">
        <f t="shared" si="32"/>
        <v>-73</v>
      </c>
      <c r="O19" s="23">
        <f t="shared" si="32"/>
        <v>23</v>
      </c>
      <c r="P19" s="24">
        <f t="shared" ref="P19" si="33">SUM(P17:P18)</f>
        <v>-76</v>
      </c>
      <c r="Q19" s="6"/>
      <c r="R19" s="6"/>
      <c r="S19" s="6"/>
      <c r="T19" s="6"/>
      <c r="U19" s="6"/>
      <c r="V19" s="23">
        <f t="shared" ref="V19:W19" si="34">SUM(V17:V18)</f>
        <v>222</v>
      </c>
      <c r="W19" s="23">
        <f t="shared" si="34"/>
        <v>299</v>
      </c>
      <c r="X19" s="23">
        <f>SUM(X17:X18)</f>
        <v>-54</v>
      </c>
      <c r="Y19" s="23">
        <f>SUM(Y17:Y18)</f>
        <v>-1044</v>
      </c>
      <c r="Z19" s="23">
        <f>SUM(Z17:Z18)</f>
        <v>-188</v>
      </c>
      <c r="AA19" s="24">
        <f t="shared" ref="AA19:AK19" si="35">SUM(AA17:AA18)</f>
        <v>81.689829000000174</v>
      </c>
      <c r="AB19" s="23">
        <f t="shared" si="35"/>
        <v>205.24412313600158</v>
      </c>
      <c r="AC19" s="23">
        <f t="shared" si="35"/>
        <v>251.15667840119886</v>
      </c>
      <c r="AD19" s="23">
        <f t="shared" si="35"/>
        <v>362.11675291178261</v>
      </c>
      <c r="AE19" s="23">
        <f t="shared" si="35"/>
        <v>481.85272397322166</v>
      </c>
      <c r="AF19" s="23">
        <f t="shared" si="35"/>
        <v>611.01335809074851</v>
      </c>
      <c r="AG19" s="23">
        <f t="shared" si="35"/>
        <v>746.24801656235149</v>
      </c>
      <c r="AH19" s="23">
        <f t="shared" si="35"/>
        <v>720.96265809236525</v>
      </c>
      <c r="AI19" s="23">
        <f t="shared" si="35"/>
        <v>780.71204415883085</v>
      </c>
      <c r="AJ19" s="23">
        <f t="shared" si="35"/>
        <v>844.64388724994922</v>
      </c>
      <c r="AK19" s="23">
        <f t="shared" si="35"/>
        <v>913.05095935744566</v>
      </c>
      <c r="AL19" s="15">
        <f>AK19*(1+$AN$22)</f>
        <v>903.92044976387115</v>
      </c>
      <c r="AM19" s="15">
        <f t="shared" ref="AM19:CX19" si="36">AL19*(1+$AN$22)</f>
        <v>894.88124526623244</v>
      </c>
      <c r="AN19" s="15">
        <f t="shared" si="36"/>
        <v>885.93243281357013</v>
      </c>
      <c r="AO19" s="15">
        <f t="shared" si="36"/>
        <v>877.07310848543443</v>
      </c>
      <c r="AP19" s="15">
        <f t="shared" si="36"/>
        <v>868.3023774005801</v>
      </c>
      <c r="AQ19" s="15">
        <f t="shared" si="36"/>
        <v>859.61935362657425</v>
      </c>
      <c r="AR19" s="15">
        <f t="shared" si="36"/>
        <v>851.02316009030847</v>
      </c>
      <c r="AS19" s="15">
        <f t="shared" si="36"/>
        <v>842.51292848940534</v>
      </c>
      <c r="AT19" s="15">
        <f t="shared" si="36"/>
        <v>834.08779920451127</v>
      </c>
      <c r="AU19" s="15">
        <f t="shared" si="36"/>
        <v>825.74692121246619</v>
      </c>
      <c r="AV19" s="15">
        <f t="shared" si="36"/>
        <v>817.48945200034154</v>
      </c>
      <c r="AW19" s="15">
        <f t="shared" si="36"/>
        <v>809.31455748033807</v>
      </c>
      <c r="AX19" s="15">
        <f t="shared" si="36"/>
        <v>801.22141190553464</v>
      </c>
      <c r="AY19" s="15">
        <f t="shared" si="36"/>
        <v>793.20919778647931</v>
      </c>
      <c r="AZ19" s="15">
        <f t="shared" si="36"/>
        <v>785.27710580861446</v>
      </c>
      <c r="BA19" s="15">
        <f t="shared" si="36"/>
        <v>777.42433475052826</v>
      </c>
      <c r="BB19" s="15">
        <f t="shared" si="36"/>
        <v>769.650091403023</v>
      </c>
      <c r="BC19" s="15">
        <f t="shared" si="36"/>
        <v>761.95359048899275</v>
      </c>
      <c r="BD19" s="15">
        <f t="shared" si="36"/>
        <v>754.33405458410277</v>
      </c>
      <c r="BE19" s="15">
        <f t="shared" si="36"/>
        <v>746.79071403826174</v>
      </c>
      <c r="BF19" s="15">
        <f t="shared" si="36"/>
        <v>739.3228068978791</v>
      </c>
      <c r="BG19" s="15">
        <f t="shared" si="36"/>
        <v>731.92957882890028</v>
      </c>
      <c r="BH19" s="15">
        <f t="shared" si="36"/>
        <v>724.61028304061131</v>
      </c>
      <c r="BI19" s="15">
        <f t="shared" si="36"/>
        <v>717.36418021020518</v>
      </c>
      <c r="BJ19" s="15">
        <f t="shared" si="36"/>
        <v>710.19053840810307</v>
      </c>
      <c r="BK19" s="15">
        <f t="shared" si="36"/>
        <v>703.08863302402199</v>
      </c>
      <c r="BL19" s="15">
        <f t="shared" si="36"/>
        <v>696.05774669378172</v>
      </c>
      <c r="BM19" s="15">
        <f t="shared" si="36"/>
        <v>689.0971692268439</v>
      </c>
      <c r="BN19" s="15">
        <f t="shared" si="36"/>
        <v>682.20619753457549</v>
      </c>
      <c r="BO19" s="15">
        <f t="shared" si="36"/>
        <v>675.38413555922978</v>
      </c>
      <c r="BP19" s="15">
        <f t="shared" si="36"/>
        <v>668.6302942036375</v>
      </c>
      <c r="BQ19" s="15">
        <f t="shared" si="36"/>
        <v>661.94399126160113</v>
      </c>
      <c r="BR19" s="15">
        <f t="shared" si="36"/>
        <v>655.3245513489851</v>
      </c>
      <c r="BS19" s="15">
        <f t="shared" si="36"/>
        <v>648.77130583549524</v>
      </c>
      <c r="BT19" s="15">
        <f t="shared" si="36"/>
        <v>642.28359277714026</v>
      </c>
      <c r="BU19" s="15">
        <f t="shared" si="36"/>
        <v>635.86075684936884</v>
      </c>
      <c r="BV19" s="15">
        <f t="shared" si="36"/>
        <v>629.50214928087519</v>
      </c>
      <c r="BW19" s="15">
        <f t="shared" si="36"/>
        <v>623.20712778806649</v>
      </c>
      <c r="BX19" s="15">
        <f t="shared" si="36"/>
        <v>616.97505651018582</v>
      </c>
      <c r="BY19" s="15">
        <f t="shared" si="36"/>
        <v>610.805305945084</v>
      </c>
      <c r="BZ19" s="15">
        <f t="shared" si="36"/>
        <v>604.69725288563313</v>
      </c>
      <c r="CA19" s="15">
        <f t="shared" si="36"/>
        <v>598.65028035677676</v>
      </c>
      <c r="CB19" s="15">
        <f t="shared" si="36"/>
        <v>592.663777553209</v>
      </c>
      <c r="CC19" s="15">
        <f t="shared" si="36"/>
        <v>586.73713977767693</v>
      </c>
      <c r="CD19" s="15">
        <f t="shared" si="36"/>
        <v>580.86976837990017</v>
      </c>
      <c r="CE19" s="15">
        <f t="shared" si="36"/>
        <v>575.06107069610118</v>
      </c>
      <c r="CF19" s="15">
        <f t="shared" si="36"/>
        <v>569.31045998914021</v>
      </c>
      <c r="CG19" s="15">
        <f t="shared" si="36"/>
        <v>563.61735538924881</v>
      </c>
      <c r="CH19" s="15">
        <f t="shared" si="36"/>
        <v>557.98118183535632</v>
      </c>
      <c r="CI19" s="15">
        <f t="shared" si="36"/>
        <v>552.40137001700271</v>
      </c>
      <c r="CJ19" s="15">
        <f t="shared" si="36"/>
        <v>546.87735631683267</v>
      </c>
      <c r="CK19" s="15">
        <f t="shared" si="36"/>
        <v>541.40858275366429</v>
      </c>
      <c r="CL19" s="15">
        <f t="shared" si="36"/>
        <v>535.99449692612768</v>
      </c>
      <c r="CM19" s="15">
        <f t="shared" si="36"/>
        <v>530.6345519568664</v>
      </c>
      <c r="CN19" s="15">
        <f t="shared" si="36"/>
        <v>525.32820643729769</v>
      </c>
      <c r="CO19" s="15">
        <f t="shared" si="36"/>
        <v>520.07492437292467</v>
      </c>
      <c r="CP19" s="15">
        <f t="shared" si="36"/>
        <v>514.87417512919546</v>
      </c>
      <c r="CQ19" s="15">
        <f t="shared" si="36"/>
        <v>509.72543337790353</v>
      </c>
      <c r="CR19" s="15">
        <f t="shared" si="36"/>
        <v>504.62817904412447</v>
      </c>
      <c r="CS19" s="15">
        <f t="shared" si="36"/>
        <v>499.58189725368322</v>
      </c>
      <c r="CT19" s="15">
        <f t="shared" si="36"/>
        <v>494.5860782811464</v>
      </c>
      <c r="CU19" s="15">
        <f t="shared" si="36"/>
        <v>489.64021749833495</v>
      </c>
      <c r="CV19" s="15">
        <f t="shared" si="36"/>
        <v>484.74381532335161</v>
      </c>
      <c r="CW19" s="15">
        <f t="shared" si="36"/>
        <v>479.89637717011811</v>
      </c>
      <c r="CX19" s="15">
        <f t="shared" si="36"/>
        <v>475.0974133984169</v>
      </c>
      <c r="CY19" s="15">
        <f t="shared" ref="CY19:EL19" si="37">CX19*(1+$AN$22)</f>
        <v>470.34643926443272</v>
      </c>
      <c r="CZ19" s="15">
        <f t="shared" si="37"/>
        <v>465.6429748717884</v>
      </c>
      <c r="DA19" s="15">
        <f t="shared" si="37"/>
        <v>460.98654512307053</v>
      </c>
      <c r="DB19" s="15">
        <f t="shared" si="37"/>
        <v>456.37667967183984</v>
      </c>
      <c r="DC19" s="15">
        <f t="shared" si="37"/>
        <v>451.81291287512141</v>
      </c>
      <c r="DD19" s="15">
        <f t="shared" si="37"/>
        <v>447.29478374637017</v>
      </c>
      <c r="DE19" s="15">
        <f t="shared" si="37"/>
        <v>442.82183590890645</v>
      </c>
      <c r="DF19" s="15">
        <f t="shared" si="37"/>
        <v>438.39361754981741</v>
      </c>
      <c r="DG19" s="15">
        <f t="shared" si="37"/>
        <v>434.00968137431926</v>
      </c>
      <c r="DH19" s="15">
        <f t="shared" si="37"/>
        <v>429.66958456057608</v>
      </c>
      <c r="DI19" s="15">
        <f t="shared" si="37"/>
        <v>425.37288871497032</v>
      </c>
      <c r="DJ19" s="15">
        <f t="shared" si="37"/>
        <v>421.11915982782062</v>
      </c>
      <c r="DK19" s="15">
        <f t="shared" si="37"/>
        <v>416.9079682295424</v>
      </c>
      <c r="DL19" s="15">
        <f t="shared" si="37"/>
        <v>412.73888854724697</v>
      </c>
      <c r="DM19" s="15">
        <f t="shared" si="37"/>
        <v>408.61149966177447</v>
      </c>
      <c r="DN19" s="15">
        <f t="shared" si="37"/>
        <v>404.52538466515671</v>
      </c>
      <c r="DO19" s="15">
        <f t="shared" si="37"/>
        <v>400.48013081850513</v>
      </c>
      <c r="DP19" s="15">
        <f t="shared" si="37"/>
        <v>396.47532951032008</v>
      </c>
      <c r="DQ19" s="15">
        <f t="shared" si="37"/>
        <v>392.51057621521687</v>
      </c>
      <c r="DR19" s="15">
        <f t="shared" si="37"/>
        <v>388.58547045306472</v>
      </c>
      <c r="DS19" s="15">
        <f t="shared" si="37"/>
        <v>384.69961574853409</v>
      </c>
      <c r="DT19" s="15">
        <f t="shared" si="37"/>
        <v>380.85261959104872</v>
      </c>
      <c r="DU19" s="15">
        <f t="shared" si="37"/>
        <v>377.04409339513825</v>
      </c>
      <c r="DV19" s="15">
        <f t="shared" si="37"/>
        <v>373.27365246118688</v>
      </c>
      <c r="DW19" s="15">
        <f t="shared" si="37"/>
        <v>369.540915936575</v>
      </c>
      <c r="DX19" s="15">
        <f t="shared" si="37"/>
        <v>365.84550677720927</v>
      </c>
      <c r="DY19" s="15">
        <f t="shared" si="37"/>
        <v>362.18705170943718</v>
      </c>
      <c r="DZ19" s="15">
        <f t="shared" si="37"/>
        <v>358.56518119234283</v>
      </c>
      <c r="EA19" s="15">
        <f t="shared" si="37"/>
        <v>354.97952938041942</v>
      </c>
      <c r="EB19" s="15">
        <f t="shared" si="37"/>
        <v>351.42973408661521</v>
      </c>
      <c r="EC19" s="15">
        <f t="shared" si="37"/>
        <v>347.91543674574905</v>
      </c>
      <c r="ED19" s="15">
        <f t="shared" si="37"/>
        <v>344.43628237829154</v>
      </c>
      <c r="EE19" s="15">
        <f t="shared" si="37"/>
        <v>340.99191955450863</v>
      </c>
      <c r="EF19" s="15">
        <f t="shared" si="37"/>
        <v>337.58200035896351</v>
      </c>
      <c r="EG19" s="15">
        <f t="shared" si="37"/>
        <v>334.20618035537387</v>
      </c>
      <c r="EH19" s="15">
        <f t="shared" si="37"/>
        <v>330.86411855182013</v>
      </c>
      <c r="EI19" s="15">
        <f t="shared" si="37"/>
        <v>327.55547736630194</v>
      </c>
      <c r="EJ19" s="15">
        <f t="shared" si="37"/>
        <v>324.27992259263891</v>
      </c>
      <c r="EK19" s="15">
        <f t="shared" si="37"/>
        <v>321.03712336671254</v>
      </c>
      <c r="EL19" s="15">
        <f t="shared" si="37"/>
        <v>317.82675213304543</v>
      </c>
    </row>
    <row r="20" spans="2:142" s="6" customFormat="1" x14ac:dyDescent="0.25">
      <c r="B20" s="14"/>
      <c r="C20" s="1" t="s">
        <v>68</v>
      </c>
      <c r="D20" s="5">
        <f>D19/D21</f>
        <v>1.7113519680547633E-2</v>
      </c>
      <c r="E20" s="5">
        <f>E19/E21</f>
        <v>-0.41072447233314313</v>
      </c>
      <c r="F20" s="5">
        <f>F19/F21</f>
        <v>-0.21677124928693667</v>
      </c>
      <c r="G20" s="5">
        <f>G19/G21</f>
        <v>0.30233884768967484</v>
      </c>
      <c r="H20" s="5">
        <f t="shared" ref="H20:O20" si="38">H19/H21</f>
        <v>-0.25670279520821448</v>
      </c>
      <c r="I20" s="5">
        <f t="shared" si="38"/>
        <v>-0.17113519680547631</v>
      </c>
      <c r="J20" s="5">
        <f t="shared" si="38"/>
        <v>-0.12549914432401596</v>
      </c>
      <c r="K20" s="5">
        <f t="shared" si="38"/>
        <v>-5.4021677124928686</v>
      </c>
      <c r="L20" s="5">
        <f t="shared" si="38"/>
        <v>-0.40501996577296062</v>
      </c>
      <c r="M20" s="5">
        <f t="shared" si="38"/>
        <v>-0.38220193953223042</v>
      </c>
      <c r="N20" s="5">
        <f>N19/N21</f>
        <v>-0.4164289788933257</v>
      </c>
      <c r="O20" s="5">
        <f t="shared" si="38"/>
        <v>0.1312036508841985</v>
      </c>
      <c r="P20" s="11">
        <f t="shared" ref="P20" si="39">P19/P21</f>
        <v>-0.43354249857387334</v>
      </c>
      <c r="Q20" s="1"/>
      <c r="R20" s="1"/>
      <c r="S20" s="1"/>
      <c r="T20" s="1"/>
      <c r="U20" s="1"/>
      <c r="V20" s="5">
        <f t="shared" ref="V20:W20" si="40">V19/V21</f>
        <v>1.2664004563605247</v>
      </c>
      <c r="W20" s="5">
        <f t="shared" si="40"/>
        <v>1.7056474614945807</v>
      </c>
      <c r="X20" s="5">
        <f t="shared" ref="X20:Z20" si="41">X19/X21</f>
        <v>-0.30804335424985735</v>
      </c>
      <c r="Y20" s="5">
        <f t="shared" si="41"/>
        <v>-5.955504848830576</v>
      </c>
      <c r="Z20" s="5">
        <f t="shared" si="41"/>
        <v>-1.0724472333143182</v>
      </c>
      <c r="AA20" s="11">
        <f t="shared" ref="AA20" si="42">AA19/AA21</f>
        <v>0.46600016543069123</v>
      </c>
      <c r="AB20" s="5">
        <f t="shared" ref="AB20" si="43">AB19/AB21</f>
        <v>1.1708164468682347</v>
      </c>
      <c r="AC20" s="5">
        <f t="shared" ref="AC20" si="44">AC19/AC21</f>
        <v>1.4327249195732963</v>
      </c>
      <c r="AD20" s="5">
        <f t="shared" ref="AD20" si="45">AD19/AD21</f>
        <v>2.065697392537265</v>
      </c>
      <c r="AE20" s="5">
        <f t="shared" ref="AE20" si="46">AE19/AE21</f>
        <v>2.7487320249470715</v>
      </c>
      <c r="AF20" s="5">
        <f t="shared" ref="AF20" si="47">AF19/AF21</f>
        <v>3.4855297095878406</v>
      </c>
      <c r="AG20" s="5">
        <f t="shared" ref="AG20" si="48">AG19/AG21</f>
        <v>4.2569767060031456</v>
      </c>
      <c r="AH20" s="5">
        <f t="shared" ref="AH20" si="49">AH19/AH21</f>
        <v>4.1127362127345419</v>
      </c>
      <c r="AI20" s="5">
        <f t="shared" ref="AI20" si="50">AI19/AI21</f>
        <v>4.4535769775175744</v>
      </c>
      <c r="AJ20" s="5">
        <f t="shared" ref="AJ20" si="51">AJ19/AJ21</f>
        <v>4.8182765958354201</v>
      </c>
      <c r="AK20" s="5">
        <f t="shared" ref="AK20" si="52">AK19/AK21</f>
        <v>5.2085051874355139</v>
      </c>
    </row>
    <row r="21" spans="2:142" x14ac:dyDescent="0.25">
      <c r="C21" s="1" t="s">
        <v>2</v>
      </c>
      <c r="D21" s="1">
        <f t="shared" ref="D21:P21" si="53">175.3</f>
        <v>175.3</v>
      </c>
      <c r="E21" s="1">
        <f t="shared" si="53"/>
        <v>175.3</v>
      </c>
      <c r="F21" s="1">
        <f t="shared" si="53"/>
        <v>175.3</v>
      </c>
      <c r="G21" s="1">
        <f t="shared" si="53"/>
        <v>175.3</v>
      </c>
      <c r="H21" s="1">
        <f t="shared" si="53"/>
        <v>175.3</v>
      </c>
      <c r="I21" s="1">
        <f t="shared" si="53"/>
        <v>175.3</v>
      </c>
      <c r="J21" s="1">
        <f t="shared" si="53"/>
        <v>175.3</v>
      </c>
      <c r="K21" s="1">
        <f t="shared" si="53"/>
        <v>175.3</v>
      </c>
      <c r="L21" s="1">
        <f t="shared" si="53"/>
        <v>175.3</v>
      </c>
      <c r="M21" s="1">
        <f t="shared" si="53"/>
        <v>175.3</v>
      </c>
      <c r="N21" s="1">
        <f>175.3</f>
        <v>175.3</v>
      </c>
      <c r="O21" s="1">
        <f t="shared" si="53"/>
        <v>175.3</v>
      </c>
      <c r="P21" s="10">
        <f t="shared" si="53"/>
        <v>175.3</v>
      </c>
      <c r="V21" s="1">
        <f t="shared" ref="V21:AK21" si="54">175.3</f>
        <v>175.3</v>
      </c>
      <c r="W21" s="1">
        <f t="shared" si="54"/>
        <v>175.3</v>
      </c>
      <c r="X21" s="1">
        <f t="shared" si="54"/>
        <v>175.3</v>
      </c>
      <c r="Y21" s="1">
        <f t="shared" si="54"/>
        <v>175.3</v>
      </c>
      <c r="Z21" s="1">
        <f t="shared" si="54"/>
        <v>175.3</v>
      </c>
      <c r="AA21" s="10">
        <f t="shared" si="54"/>
        <v>175.3</v>
      </c>
      <c r="AB21" s="1">
        <f t="shared" si="54"/>
        <v>175.3</v>
      </c>
      <c r="AC21" s="1">
        <f t="shared" si="54"/>
        <v>175.3</v>
      </c>
      <c r="AD21" s="1">
        <f t="shared" si="54"/>
        <v>175.3</v>
      </c>
      <c r="AE21" s="1">
        <f t="shared" si="54"/>
        <v>175.3</v>
      </c>
      <c r="AF21" s="1">
        <f t="shared" si="54"/>
        <v>175.3</v>
      </c>
      <c r="AG21" s="1">
        <f t="shared" si="54"/>
        <v>175.3</v>
      </c>
      <c r="AH21" s="1">
        <f t="shared" si="54"/>
        <v>175.3</v>
      </c>
      <c r="AI21" s="1">
        <f t="shared" si="54"/>
        <v>175.3</v>
      </c>
      <c r="AJ21" s="1">
        <f t="shared" si="54"/>
        <v>175.3</v>
      </c>
      <c r="AK21" s="1">
        <f t="shared" si="54"/>
        <v>175.3</v>
      </c>
      <c r="AM21" s="1" t="s">
        <v>99</v>
      </c>
      <c r="AN21" s="8">
        <v>0.1</v>
      </c>
    </row>
    <row r="22" spans="2:142" x14ac:dyDescent="0.25">
      <c r="AD22" s="5"/>
      <c r="AM22" s="1" t="s">
        <v>100</v>
      </c>
      <c r="AN22" s="8">
        <v>-0.01</v>
      </c>
    </row>
    <row r="23" spans="2:142" x14ac:dyDescent="0.25">
      <c r="AM23" s="1" t="s">
        <v>101</v>
      </c>
      <c r="AN23" s="38">
        <f>NPV(AN21,Z19:EL19)</f>
        <v>5192.885525957252</v>
      </c>
    </row>
    <row r="24" spans="2:142" x14ac:dyDescent="0.25">
      <c r="C24" s="6" t="s">
        <v>20</v>
      </c>
      <c r="D24" s="17"/>
      <c r="E24" s="17"/>
      <c r="F24" s="17"/>
      <c r="G24" s="17"/>
      <c r="H24" s="17">
        <f>(H8-D8)/D8</f>
        <v>0.38916634652324239</v>
      </c>
      <c r="I24" s="17">
        <f t="shared" ref="I24:N24" si="55">(I8-E8)/E8</f>
        <v>1.7937219730941704E-2</v>
      </c>
      <c r="J24" s="17">
        <f t="shared" si="55"/>
        <v>2.4596667548267653E-2</v>
      </c>
      <c r="K24" s="17">
        <f t="shared" si="55"/>
        <v>1.7189514396218308E-2</v>
      </c>
      <c r="L24" s="17">
        <f t="shared" si="55"/>
        <v>-0.10232300884955753</v>
      </c>
      <c r="M24" s="17">
        <f t="shared" si="55"/>
        <v>-5.8920704845814978E-2</v>
      </c>
      <c r="N24" s="17">
        <f t="shared" si="55"/>
        <v>-3.0717604543107898E-2</v>
      </c>
      <c r="O24" s="17">
        <f>(O8-K8)/K8</f>
        <v>3.189691592733418E-2</v>
      </c>
      <c r="P24" s="20">
        <f>(P8-L8)/L8</f>
        <v>3.8200862600123231E-2</v>
      </c>
      <c r="Q24" s="6"/>
      <c r="R24" s="6"/>
      <c r="S24" s="6"/>
      <c r="T24" s="6"/>
      <c r="U24" s="6"/>
      <c r="V24" s="6"/>
      <c r="W24" s="17">
        <f t="shared" ref="W24:X24" si="56">(W8-V8)/V8</f>
        <v>0.11929860125684168</v>
      </c>
      <c r="X24" s="17">
        <f t="shared" si="56"/>
        <v>0.32264783120528839</v>
      </c>
      <c r="Y24" s="17">
        <f>(Y8-X8)/X8</f>
        <v>8.5581267972066277E-2</v>
      </c>
      <c r="Z24" s="17">
        <f t="shared" ref="Z24:AK24" si="57">(Z8-Y8)/Y8</f>
        <v>-3.481331987891019E-2</v>
      </c>
      <c r="AA24" s="20">
        <f>(AA8-Z8)/Z8</f>
        <v>9.1321876633559868E-2</v>
      </c>
      <c r="AB24" s="17">
        <f t="shared" si="57"/>
        <v>9.1491426864149045E-2</v>
      </c>
      <c r="AC24" s="17">
        <f t="shared" si="57"/>
        <v>7.0000000000000104E-2</v>
      </c>
      <c r="AD24" s="17">
        <f t="shared" si="57"/>
        <v>7.0000000000000118E-2</v>
      </c>
      <c r="AE24" s="17">
        <f t="shared" si="57"/>
        <v>6.9999999999999896E-2</v>
      </c>
      <c r="AF24" s="17">
        <f t="shared" si="57"/>
        <v>7.000000000000009E-2</v>
      </c>
      <c r="AG24" s="17">
        <f t="shared" si="57"/>
        <v>6.9999999999999993E-2</v>
      </c>
      <c r="AH24" s="17">
        <f t="shared" si="57"/>
        <v>7.0000000000000159E-2</v>
      </c>
      <c r="AI24" s="17">
        <f t="shared" si="57"/>
        <v>7.0000000000000007E-2</v>
      </c>
      <c r="AJ24" s="17">
        <f t="shared" si="57"/>
        <v>7.0000000000000048E-2</v>
      </c>
      <c r="AK24" s="17">
        <f t="shared" si="57"/>
        <v>7.0000000000000062E-2</v>
      </c>
      <c r="AM24" s="16" t="s">
        <v>2</v>
      </c>
      <c r="AN24" s="16">
        <f t="shared" ref="AN24" si="58">175.3</f>
        <v>175.3</v>
      </c>
    </row>
    <row r="25" spans="2:142" x14ac:dyDescent="0.25">
      <c r="C25" s="1" t="s">
        <v>154</v>
      </c>
      <c r="D25" s="17"/>
      <c r="E25" s="17"/>
      <c r="F25" s="17"/>
      <c r="G25" s="17"/>
      <c r="H25" s="8">
        <f t="shared" ref="H25:O25" si="59">(H14-D14)/D14</f>
        <v>0.40046385775028992</v>
      </c>
      <c r="I25" s="8">
        <f t="shared" si="59"/>
        <v>4.6961325966850829E-3</v>
      </c>
      <c r="J25" s="8">
        <f t="shared" si="59"/>
        <v>1.3428120063191154E-2</v>
      </c>
      <c r="K25" s="8">
        <f t="shared" si="59"/>
        <v>0.2237898849576731</v>
      </c>
      <c r="L25" s="8">
        <f t="shared" si="59"/>
        <v>-9.1636765111785812E-2</v>
      </c>
      <c r="M25" s="8">
        <f t="shared" si="59"/>
        <v>-4.9491339015672257E-2</v>
      </c>
      <c r="N25" s="8">
        <f t="shared" si="59"/>
        <v>-1.1171732917640946E-2</v>
      </c>
      <c r="O25" s="8">
        <f t="shared" si="59"/>
        <v>-0.14615111741752396</v>
      </c>
      <c r="P25" s="61">
        <f>(P14-L14)/L14</f>
        <v>4.1324825281069587E-2</v>
      </c>
      <c r="Q25" s="6"/>
      <c r="R25" s="6"/>
      <c r="S25" s="6"/>
      <c r="T25" s="6"/>
      <c r="U25" s="6"/>
      <c r="V25" s="6"/>
      <c r="W25" s="8">
        <f t="shared" ref="W25:Z25" si="60">(W14-V14)/V14</f>
        <v>0.11315048493064971</v>
      </c>
      <c r="X25" s="8">
        <f t="shared" si="60"/>
        <v>0.36893385797264383</v>
      </c>
      <c r="Y25" s="8">
        <f t="shared" si="60"/>
        <v>0.14611278401313987</v>
      </c>
      <c r="Z25" s="8">
        <f t="shared" si="60"/>
        <v>-8.2343106227981133E-2</v>
      </c>
      <c r="AA25" s="61">
        <f>(AA14-Z14)/Z14</f>
        <v>6.8900276548672562E-2</v>
      </c>
      <c r="AB25" s="8">
        <f t="shared" ref="AB25:AK25" si="61">(AB14-AA14)/AA14</f>
        <v>8.3378649642004532E-2</v>
      </c>
      <c r="AC25" s="8">
        <f t="shared" si="61"/>
        <v>6.8396151387744061E-2</v>
      </c>
      <c r="AD25" s="8">
        <f t="shared" si="61"/>
        <v>6.4329526507230575E-2</v>
      </c>
      <c r="AE25" s="8">
        <f t="shared" si="61"/>
        <v>6.4608354767513712E-2</v>
      </c>
      <c r="AF25" s="8">
        <f t="shared" si="61"/>
        <v>6.4873484870338061E-2</v>
      </c>
      <c r="AG25" s="8">
        <f t="shared" si="61"/>
        <v>6.5351613955167434E-2</v>
      </c>
      <c r="AH25" s="8">
        <f t="shared" si="61"/>
        <v>6.5566490047635581E-2</v>
      </c>
      <c r="AI25" s="8">
        <f t="shared" si="61"/>
        <v>6.5771222803205506E-2</v>
      </c>
      <c r="AJ25" s="8">
        <f t="shared" si="61"/>
        <v>6.5966237273788614E-2</v>
      </c>
      <c r="AK25" s="8">
        <f t="shared" si="61"/>
        <v>6.6151947696870841E-2</v>
      </c>
      <c r="AM25" s="1" t="s">
        <v>102</v>
      </c>
      <c r="AN25" s="5">
        <f>AN23/AN24</f>
        <v>29.622849549100124</v>
      </c>
    </row>
    <row r="26" spans="2:142" x14ac:dyDescent="0.25">
      <c r="C26" s="1" t="s">
        <v>21</v>
      </c>
      <c r="D26" s="9">
        <f t="shared" ref="D26:P26" si="62">(D8-D9)/D8</f>
        <v>0.11717249327698809</v>
      </c>
      <c r="E26" s="9">
        <f t="shared" si="62"/>
        <v>0.12303811659192825</v>
      </c>
      <c r="F26" s="9">
        <f t="shared" si="62"/>
        <v>0.11716477122454377</v>
      </c>
      <c r="G26" s="9">
        <f t="shared" si="62"/>
        <v>0.12784701332187365</v>
      </c>
      <c r="H26" s="9">
        <f t="shared" si="62"/>
        <v>0.14048672566371681</v>
      </c>
      <c r="I26" s="9">
        <f t="shared" si="62"/>
        <v>0.14041850220264318</v>
      </c>
      <c r="J26" s="9">
        <f t="shared" si="62"/>
        <v>0.13526071244192051</v>
      </c>
      <c r="K26" s="9">
        <f t="shared" si="62"/>
        <v>0.14047317279256444</v>
      </c>
      <c r="L26" s="9">
        <f t="shared" si="62"/>
        <v>0.15064695009242143</v>
      </c>
      <c r="M26" s="9">
        <f t="shared" si="62"/>
        <v>0.13048566413107079</v>
      </c>
      <c r="N26" s="9">
        <f t="shared" si="62"/>
        <v>0.12649800266311584</v>
      </c>
      <c r="O26" s="9">
        <f>(O8-O9)/O8</f>
        <v>0.13981576253838279</v>
      </c>
      <c r="P26" s="19">
        <f t="shared" si="62"/>
        <v>0.14985163204747776</v>
      </c>
      <c r="V26" s="9">
        <f t="shared" ref="V26:AK26" si="63">(V8-V9)/V8</f>
        <v>0.13369146563957024</v>
      </c>
      <c r="W26" s="9">
        <f t="shared" si="63"/>
        <v>0.13239156026442089</v>
      </c>
      <c r="X26" s="9">
        <f t="shared" si="63"/>
        <v>0.12200465562097768</v>
      </c>
      <c r="Y26" s="9">
        <f t="shared" si="63"/>
        <v>0.13919021190716449</v>
      </c>
      <c r="Z26" s="9">
        <f t="shared" si="63"/>
        <v>0.13676163094615787</v>
      </c>
      <c r="AA26" s="19">
        <f t="shared" si="63"/>
        <v>0.14500000000000002</v>
      </c>
      <c r="AB26" s="9">
        <f t="shared" si="63"/>
        <v>0.14400000000000004</v>
      </c>
      <c r="AC26" s="9">
        <f t="shared" si="63"/>
        <v>0.14000000000000004</v>
      </c>
      <c r="AD26" s="9">
        <f t="shared" si="63"/>
        <v>0.13999999999999999</v>
      </c>
      <c r="AE26" s="9">
        <f t="shared" si="63"/>
        <v>0.14000000000000001</v>
      </c>
      <c r="AF26" s="9">
        <f t="shared" si="63"/>
        <v>0.13999999999999999</v>
      </c>
      <c r="AG26" s="9">
        <f t="shared" si="63"/>
        <v>0.14000000000000001</v>
      </c>
      <c r="AH26" s="9">
        <f t="shared" si="63"/>
        <v>0.14000000000000001</v>
      </c>
      <c r="AI26" s="9">
        <f t="shared" si="63"/>
        <v>0.13999999999999996</v>
      </c>
      <c r="AJ26" s="9">
        <f t="shared" si="63"/>
        <v>0.13999999999999999</v>
      </c>
      <c r="AK26" s="9">
        <f t="shared" si="63"/>
        <v>0.14000000000000001</v>
      </c>
      <c r="AM26" s="6" t="s">
        <v>104</v>
      </c>
      <c r="AN26" s="17">
        <f>(AN25-B5)/B5</f>
        <v>1.7176926191834976</v>
      </c>
    </row>
    <row r="27" spans="2:142" x14ac:dyDescent="0.25">
      <c r="C27" s="1" t="s">
        <v>24</v>
      </c>
      <c r="D27" s="9">
        <f t="shared" ref="D27:P27" si="64">D15/D8</f>
        <v>6.146753745678064E-3</v>
      </c>
      <c r="E27" s="9">
        <f t="shared" si="64"/>
        <v>-1.4573991031390135E-2</v>
      </c>
      <c r="F27" s="9">
        <f t="shared" si="64"/>
        <v>-4.49616503570484E-3</v>
      </c>
      <c r="G27" s="9">
        <f t="shared" si="64"/>
        <v>1.0098839707778254E-2</v>
      </c>
      <c r="H27" s="9">
        <f t="shared" si="64"/>
        <v>-1.9358407079646017E-3</v>
      </c>
      <c r="I27" s="9">
        <f t="shared" si="64"/>
        <v>-1.3766519823788547E-3</v>
      </c>
      <c r="J27" s="9">
        <f t="shared" si="64"/>
        <v>6.4532782653588024E-3</v>
      </c>
      <c r="K27" s="9">
        <f t="shared" si="64"/>
        <v>-0.19095901985635827</v>
      </c>
      <c r="L27" s="9">
        <f t="shared" si="64"/>
        <v>-1.3863216266173753E-2</v>
      </c>
      <c r="M27" s="9">
        <f t="shared" si="64"/>
        <v>-1.1410181392627268E-2</v>
      </c>
      <c r="N27" s="9">
        <f t="shared" si="64"/>
        <v>-1.3581890812250332E-2</v>
      </c>
      <c r="O27" s="9">
        <f t="shared" si="64"/>
        <v>1.4534288638689868E-2</v>
      </c>
      <c r="P27" s="19">
        <f t="shared" si="64"/>
        <v>-1.6913946587537091E-2</v>
      </c>
      <c r="V27" s="9">
        <f t="shared" ref="V27:AK27" si="65">V15/V8</f>
        <v>2.8076221366308534E-2</v>
      </c>
      <c r="W27" s="9">
        <f t="shared" si="65"/>
        <v>3.3414832925835372E-2</v>
      </c>
      <c r="X27" s="9">
        <f t="shared" si="65"/>
        <v>-4.1079008626591809E-4</v>
      </c>
      <c r="Y27" s="9">
        <f t="shared" si="65"/>
        <v>-5.6193239152371344E-2</v>
      </c>
      <c r="Z27" s="9">
        <f t="shared" si="65"/>
        <v>-4.1819132253005748E-3</v>
      </c>
      <c r="AA27" s="19">
        <f t="shared" si="65"/>
        <v>1.6449365000577802E-2</v>
      </c>
      <c r="AB27" s="9">
        <f t="shared" si="65"/>
        <v>2.3759845863788667E-2</v>
      </c>
      <c r="AC27" s="9">
        <f t="shared" si="65"/>
        <v>2.5223155598779311E-2</v>
      </c>
      <c r="AD27" s="9">
        <f t="shared" si="65"/>
        <v>3.0388993222650956E-2</v>
      </c>
      <c r="AE27" s="9">
        <f t="shared" si="65"/>
        <v>3.5274786271302573E-2</v>
      </c>
      <c r="AF27" s="9">
        <f t="shared" si="65"/>
        <v>3.9896915620972292E-2</v>
      </c>
      <c r="AG27" s="9">
        <f t="shared" si="65"/>
        <v>4.4067878031278991E-2</v>
      </c>
      <c r="AH27" s="9">
        <f t="shared" si="65"/>
        <v>3.9999999999999994E-2</v>
      </c>
      <c r="AI27" s="9">
        <f t="shared" si="65"/>
        <v>0.04</v>
      </c>
      <c r="AJ27" s="9">
        <f t="shared" si="65"/>
        <v>0.04</v>
      </c>
      <c r="AK27" s="9">
        <f t="shared" si="65"/>
        <v>0.04</v>
      </c>
    </row>
    <row r="29" spans="2:142" x14ac:dyDescent="0.25">
      <c r="V29" s="6" t="s">
        <v>103</v>
      </c>
      <c r="X29" s="9">
        <f>X5/$X$8</f>
        <v>0.66986170067095718</v>
      </c>
      <c r="Y29" s="9">
        <f>Y5/$Y$8</f>
        <v>0.70604187689202824</v>
      </c>
      <c r="Z29" s="9">
        <f t="shared" ref="Z29:AK29" si="66">Z5/Z8</f>
        <v>0.71072922111866177</v>
      </c>
      <c r="AA29" s="19">
        <f t="shared" si="66"/>
        <v>0.71638089547162875</v>
      </c>
      <c r="AB29" s="9">
        <f t="shared" si="66"/>
        <v>0.72196534541986046</v>
      </c>
      <c r="AC29" s="9">
        <f t="shared" si="66"/>
        <v>0.72196534541986046</v>
      </c>
      <c r="AD29" s="9">
        <f t="shared" si="66"/>
        <v>0.72196534541986046</v>
      </c>
      <c r="AE29" s="9">
        <f t="shared" si="66"/>
        <v>0.72196534541986057</v>
      </c>
      <c r="AF29" s="9">
        <f t="shared" si="66"/>
        <v>0.72196534541986046</v>
      </c>
      <c r="AG29" s="9">
        <f t="shared" si="66"/>
        <v>0.72196534541986057</v>
      </c>
      <c r="AH29" s="9">
        <f t="shared" si="66"/>
        <v>0.72196534541986046</v>
      </c>
      <c r="AI29" s="9">
        <f t="shared" si="66"/>
        <v>0.72196534541986046</v>
      </c>
      <c r="AJ29" s="9">
        <f t="shared" si="66"/>
        <v>0.72196534541986057</v>
      </c>
      <c r="AK29" s="9">
        <f t="shared" si="66"/>
        <v>0.72196534541986057</v>
      </c>
    </row>
    <row r="30" spans="2:142" x14ac:dyDescent="0.25">
      <c r="C30" s="3" t="s">
        <v>51</v>
      </c>
      <c r="X30" s="9">
        <f>X6/$X$8</f>
        <v>0.11057099821990962</v>
      </c>
      <c r="Y30" s="9">
        <f>Y6/$Y$8</f>
        <v>9.9836024217961658E-2</v>
      </c>
      <c r="Z30" s="9">
        <f t="shared" ref="Z30:AK30" si="67">Z6/Z8</f>
        <v>9.9320439100888655E-2</v>
      </c>
      <c r="AA30" s="19">
        <f t="shared" si="67"/>
        <v>9.7379950052659661E-2</v>
      </c>
      <c r="AB30" s="9">
        <f t="shared" si="67"/>
        <v>9.5462542345112283E-2</v>
      </c>
      <c r="AC30" s="9">
        <f t="shared" si="67"/>
        <v>9.5462542345112283E-2</v>
      </c>
      <c r="AD30" s="9">
        <f t="shared" si="67"/>
        <v>9.5462542345112283E-2</v>
      </c>
      <c r="AE30" s="9">
        <f t="shared" si="67"/>
        <v>9.5462542345112297E-2</v>
      </c>
      <c r="AF30" s="9">
        <f t="shared" si="67"/>
        <v>9.5462542345112297E-2</v>
      </c>
      <c r="AG30" s="9">
        <f t="shared" si="67"/>
        <v>9.5462542345112311E-2</v>
      </c>
      <c r="AH30" s="9">
        <f t="shared" si="67"/>
        <v>9.5462542345112297E-2</v>
      </c>
      <c r="AI30" s="9">
        <f t="shared" si="67"/>
        <v>9.5462542345112297E-2</v>
      </c>
      <c r="AJ30" s="9">
        <f t="shared" si="67"/>
        <v>9.5462542345112297E-2</v>
      </c>
      <c r="AK30" s="9">
        <f t="shared" si="67"/>
        <v>9.5462542345112297E-2</v>
      </c>
    </row>
    <row r="31" spans="2:142" x14ac:dyDescent="0.25">
      <c r="X31" s="9">
        <f>X7/$X$8</f>
        <v>0.21956730110913322</v>
      </c>
      <c r="Y31" s="9">
        <f>Y7/$Y$8</f>
        <v>0.19412209889001009</v>
      </c>
      <c r="Z31" s="9">
        <f t="shared" ref="Z31:AK31" si="68">Z7/Z8</f>
        <v>0.18995033978044956</v>
      </c>
      <c r="AA31" s="19">
        <f t="shared" si="68"/>
        <v>0.1862391544757116</v>
      </c>
      <c r="AB31" s="9">
        <f t="shared" si="68"/>
        <v>0.18257211223502723</v>
      </c>
      <c r="AC31" s="9">
        <f t="shared" si="68"/>
        <v>0.18257211223502723</v>
      </c>
      <c r="AD31" s="9">
        <f t="shared" si="68"/>
        <v>0.1825721122350272</v>
      </c>
      <c r="AE31" s="9">
        <f t="shared" si="68"/>
        <v>0.18257211223502723</v>
      </c>
      <c r="AF31" s="9">
        <f t="shared" si="68"/>
        <v>0.18257211223502723</v>
      </c>
      <c r="AG31" s="9">
        <f t="shared" si="68"/>
        <v>0.18257211223502723</v>
      </c>
      <c r="AH31" s="9">
        <f t="shared" si="68"/>
        <v>0.1825721122350272</v>
      </c>
      <c r="AI31" s="9">
        <f t="shared" si="68"/>
        <v>0.18257211223502723</v>
      </c>
      <c r="AJ31" s="9">
        <f t="shared" si="68"/>
        <v>0.18257211223502723</v>
      </c>
      <c r="AK31" s="9">
        <f t="shared" si="68"/>
        <v>0.18257211223502723</v>
      </c>
    </row>
    <row r="32" spans="2:142" x14ac:dyDescent="0.25">
      <c r="C32" s="1" t="s">
        <v>38</v>
      </c>
      <c r="D32" s="21">
        <v>432</v>
      </c>
      <c r="E32" s="21">
        <v>2166</v>
      </c>
      <c r="F32" s="21">
        <v>2178</v>
      </c>
      <c r="G32" s="21">
        <v>2131</v>
      </c>
      <c r="H32" s="21">
        <v>2250</v>
      </c>
      <c r="I32" s="21">
        <v>2215</v>
      </c>
      <c r="J32" s="21">
        <v>2187</v>
      </c>
      <c r="K32" s="21">
        <v>1338</v>
      </c>
      <c r="L32" s="21">
        <v>1340</v>
      </c>
      <c r="M32" s="21">
        <v>1329</v>
      </c>
      <c r="N32" s="21">
        <v>1364</v>
      </c>
      <c r="O32" s="21">
        <v>1353</v>
      </c>
      <c r="P32" s="22">
        <v>1374</v>
      </c>
    </row>
    <row r="33" spans="2:16" x14ac:dyDescent="0.25">
      <c r="B33" s="62" t="s">
        <v>42</v>
      </c>
      <c r="C33" s="1" t="s">
        <v>39</v>
      </c>
      <c r="D33" s="21">
        <v>123</v>
      </c>
      <c r="E33" s="21">
        <v>160</v>
      </c>
      <c r="F33" s="21">
        <v>170</v>
      </c>
      <c r="G33" s="21">
        <v>218</v>
      </c>
      <c r="H33" s="21">
        <v>257</v>
      </c>
      <c r="I33" s="21">
        <v>281</v>
      </c>
      <c r="J33" s="21">
        <v>300</v>
      </c>
      <c r="K33" s="21">
        <v>309</v>
      </c>
      <c r="L33" s="21">
        <v>319</v>
      </c>
      <c r="M33" s="21">
        <v>326</v>
      </c>
      <c r="N33" s="21">
        <v>332</v>
      </c>
      <c r="O33" s="21">
        <v>333</v>
      </c>
      <c r="P33" s="22">
        <v>342</v>
      </c>
    </row>
    <row r="34" spans="2:16" x14ac:dyDescent="0.25">
      <c r="B34" s="63"/>
      <c r="C34" s="1" t="s">
        <v>40</v>
      </c>
      <c r="D34" s="21">
        <v>71</v>
      </c>
      <c r="E34" s="21">
        <v>1478</v>
      </c>
      <c r="F34" s="21">
        <v>1475</v>
      </c>
      <c r="G34" s="21">
        <v>1424</v>
      </c>
      <c r="H34" s="21">
        <v>1508</v>
      </c>
      <c r="I34" s="21">
        <v>1467</v>
      </c>
      <c r="J34" s="21">
        <v>1432</v>
      </c>
      <c r="K34" s="21">
        <v>1473</v>
      </c>
      <c r="L34" s="21">
        <v>1463</v>
      </c>
      <c r="M34" s="21">
        <v>1433</v>
      </c>
      <c r="N34" s="21">
        <v>1473</v>
      </c>
      <c r="O34" s="21">
        <v>1444</v>
      </c>
      <c r="P34" s="22">
        <v>1462</v>
      </c>
    </row>
    <row r="35" spans="2:16" x14ac:dyDescent="0.25">
      <c r="C35" s="1" t="s">
        <v>41</v>
      </c>
      <c r="D35" s="21">
        <v>276</v>
      </c>
      <c r="E35" s="21">
        <v>597</v>
      </c>
      <c r="F35" s="21">
        <v>559</v>
      </c>
      <c r="G35" s="21">
        <v>559</v>
      </c>
      <c r="H35" s="21">
        <v>616</v>
      </c>
      <c r="I35" s="21">
        <v>562</v>
      </c>
      <c r="J35" s="21">
        <v>539</v>
      </c>
      <c r="K35" s="21">
        <v>600</v>
      </c>
      <c r="L35" s="21">
        <v>617</v>
      </c>
      <c r="M35" s="21">
        <v>560</v>
      </c>
      <c r="N35" s="21">
        <v>528</v>
      </c>
      <c r="O35" s="21">
        <v>514</v>
      </c>
      <c r="P35" s="22">
        <v>528</v>
      </c>
    </row>
    <row r="36" spans="2:16" x14ac:dyDescent="0.25">
      <c r="C36" s="1" t="s">
        <v>43</v>
      </c>
      <c r="D36" s="21">
        <v>34</v>
      </c>
      <c r="E36" s="21">
        <v>132</v>
      </c>
      <c r="F36" s="21">
        <v>131</v>
      </c>
      <c r="G36" s="21">
        <v>134</v>
      </c>
      <c r="H36" s="21">
        <v>131</v>
      </c>
      <c r="I36" s="21">
        <v>121</v>
      </c>
      <c r="J36" s="21">
        <v>115</v>
      </c>
      <c r="K36" s="21">
        <v>128</v>
      </c>
      <c r="L36" s="21">
        <v>130</v>
      </c>
      <c r="M36" s="21">
        <v>126</v>
      </c>
      <c r="N36" s="21">
        <v>123</v>
      </c>
      <c r="O36" s="21">
        <v>147</v>
      </c>
      <c r="P36" s="22">
        <v>153</v>
      </c>
    </row>
    <row r="37" spans="2:16" x14ac:dyDescent="0.25">
      <c r="C37" s="1" t="s">
        <v>44</v>
      </c>
      <c r="D37" s="21">
        <v>25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30</v>
      </c>
      <c r="L37" s="21">
        <v>39</v>
      </c>
      <c r="M37" s="21">
        <v>44</v>
      </c>
      <c r="N37" s="21">
        <v>53</v>
      </c>
      <c r="O37" s="21">
        <v>63</v>
      </c>
      <c r="P37" s="22">
        <v>74</v>
      </c>
    </row>
    <row r="38" spans="2:16" ht="20" x14ac:dyDescent="0.25">
      <c r="C38" s="13" t="s">
        <v>125</v>
      </c>
      <c r="D38" s="21">
        <v>12</v>
      </c>
      <c r="E38" s="21">
        <v>11</v>
      </c>
      <c r="F38" s="21">
        <v>12</v>
      </c>
      <c r="G38" s="21">
        <v>14</v>
      </c>
      <c r="H38" s="21">
        <v>10</v>
      </c>
      <c r="I38" s="21">
        <v>10</v>
      </c>
      <c r="J38" s="21">
        <v>11</v>
      </c>
      <c r="K38" s="21">
        <v>12</v>
      </c>
      <c r="L38" s="21">
        <v>13</v>
      </c>
      <c r="M38" s="21">
        <v>8</v>
      </c>
      <c r="N38" s="21">
        <v>8</v>
      </c>
      <c r="O38" s="21">
        <v>8</v>
      </c>
      <c r="P38" s="22">
        <v>9</v>
      </c>
    </row>
    <row r="39" spans="2:16" x14ac:dyDescent="0.25">
      <c r="C39" s="1" t="s">
        <v>45</v>
      </c>
      <c r="D39" s="21">
        <v>33</v>
      </c>
      <c r="E39" s="21">
        <v>37</v>
      </c>
      <c r="F39" s="21">
        <v>34</v>
      </c>
      <c r="G39" s="21">
        <v>8</v>
      </c>
      <c r="H39" s="21">
        <v>9</v>
      </c>
      <c r="I39" s="21">
        <v>8</v>
      </c>
      <c r="J39" s="21">
        <v>8</v>
      </c>
      <c r="K39" s="21">
        <v>9</v>
      </c>
      <c r="L39" s="21">
        <v>9</v>
      </c>
      <c r="M39" s="21">
        <v>9</v>
      </c>
      <c r="N39" s="21">
        <v>9</v>
      </c>
      <c r="O39" s="21">
        <v>9</v>
      </c>
      <c r="P39" s="22">
        <v>9</v>
      </c>
    </row>
    <row r="40" spans="2:16" x14ac:dyDescent="0.25">
      <c r="C40" s="1" t="s">
        <v>46</v>
      </c>
      <c r="D40" s="21">
        <v>1083</v>
      </c>
      <c r="E40" s="21">
        <v>2033</v>
      </c>
      <c r="F40" s="21">
        <v>2101</v>
      </c>
      <c r="G40" s="21">
        <v>1928</v>
      </c>
      <c r="H40" s="21">
        <v>2129</v>
      </c>
      <c r="I40" s="21">
        <v>1897</v>
      </c>
      <c r="J40" s="21">
        <v>2108</v>
      </c>
      <c r="K40" s="21">
        <v>2194</v>
      </c>
      <c r="L40" s="21">
        <v>2062</v>
      </c>
      <c r="M40" s="21">
        <v>1903</v>
      </c>
      <c r="N40" s="21">
        <v>2108</v>
      </c>
      <c r="O40" s="21">
        <v>2048</v>
      </c>
      <c r="P40" s="22">
        <v>2165</v>
      </c>
    </row>
    <row r="41" spans="2:16" x14ac:dyDescent="0.25">
      <c r="C41" s="1" t="s">
        <v>47</v>
      </c>
      <c r="D41" s="21">
        <f>609+112</f>
        <v>721</v>
      </c>
      <c r="E41" s="21">
        <f>706+102</f>
        <v>808</v>
      </c>
      <c r="F41" s="21">
        <f>504+96</f>
        <v>600</v>
      </c>
      <c r="G41" s="21">
        <f>309+91</f>
        <v>400</v>
      </c>
      <c r="H41" s="21">
        <f>189+105</f>
        <v>294</v>
      </c>
      <c r="I41" s="21">
        <f>249+98</f>
        <v>347</v>
      </c>
      <c r="J41" s="21">
        <f>236+97</f>
        <v>333</v>
      </c>
      <c r="K41" s="21">
        <f>245+79</f>
        <v>324</v>
      </c>
      <c r="L41" s="21">
        <f>164+56</f>
        <v>220</v>
      </c>
      <c r="M41" s="21">
        <f>153+40</f>
        <v>193</v>
      </c>
      <c r="N41" s="21">
        <f>193+33</f>
        <v>226</v>
      </c>
      <c r="O41" s="21">
        <f>153+27</f>
        <v>180</v>
      </c>
      <c r="P41" s="22">
        <f>98+25</f>
        <v>123</v>
      </c>
    </row>
    <row r="42" spans="2:16" x14ac:dyDescent="0.25">
      <c r="C42" s="1" t="s">
        <v>48</v>
      </c>
      <c r="D42" s="21">
        <v>358</v>
      </c>
      <c r="E42" s="21">
        <v>477</v>
      </c>
      <c r="F42" s="21">
        <v>466</v>
      </c>
      <c r="G42" s="21">
        <v>568</v>
      </c>
      <c r="H42" s="21">
        <v>418</v>
      </c>
      <c r="I42" s="21">
        <v>438</v>
      </c>
      <c r="J42" s="21">
        <v>470</v>
      </c>
      <c r="K42" s="21">
        <v>660</v>
      </c>
      <c r="L42" s="21">
        <v>538</v>
      </c>
      <c r="M42" s="21">
        <v>617</v>
      </c>
      <c r="N42" s="21">
        <v>594</v>
      </c>
      <c r="O42" s="21">
        <v>709</v>
      </c>
      <c r="P42" s="22">
        <v>611</v>
      </c>
    </row>
    <row r="43" spans="2:16" x14ac:dyDescent="0.25">
      <c r="C43" s="1" t="s">
        <v>49</v>
      </c>
      <c r="D43" s="21">
        <v>23</v>
      </c>
      <c r="E43" s="21">
        <v>49</v>
      </c>
      <c r="F43" s="21">
        <v>85</v>
      </c>
      <c r="G43" s="21">
        <v>149</v>
      </c>
      <c r="H43" s="21">
        <v>485</v>
      </c>
      <c r="I43" s="21">
        <v>341</v>
      </c>
      <c r="J43" s="21">
        <v>168</v>
      </c>
      <c r="K43" s="21">
        <v>230</v>
      </c>
      <c r="L43" s="21">
        <v>114</v>
      </c>
      <c r="M43" s="21">
        <v>108</v>
      </c>
      <c r="N43" s="21">
        <v>256</v>
      </c>
      <c r="O43" s="21">
        <v>726</v>
      </c>
      <c r="P43" s="22">
        <v>351</v>
      </c>
    </row>
    <row r="44" spans="2:16" x14ac:dyDescent="0.25">
      <c r="C44" s="6" t="s">
        <v>50</v>
      </c>
      <c r="D44" s="23">
        <f t="shared" ref="D44:M44" si="69">SUM(D32:D43)</f>
        <v>3191</v>
      </c>
      <c r="E44" s="23">
        <f t="shared" si="69"/>
        <v>7948</v>
      </c>
      <c r="F44" s="23">
        <f t="shared" si="69"/>
        <v>7811</v>
      </c>
      <c r="G44" s="23">
        <f t="shared" si="69"/>
        <v>7533</v>
      </c>
      <c r="H44" s="23">
        <f t="shared" si="69"/>
        <v>8107</v>
      </c>
      <c r="I44" s="23">
        <f t="shared" si="69"/>
        <v>7687</v>
      </c>
      <c r="J44" s="23">
        <f t="shared" si="69"/>
        <v>7671</v>
      </c>
      <c r="K44" s="23">
        <f t="shared" si="69"/>
        <v>7307</v>
      </c>
      <c r="L44" s="23">
        <f t="shared" si="69"/>
        <v>6864</v>
      </c>
      <c r="M44" s="23">
        <f t="shared" si="69"/>
        <v>6656</v>
      </c>
      <c r="N44" s="23">
        <f>SUM(N32:N43)</f>
        <v>7074</v>
      </c>
      <c r="O44" s="23">
        <f>SUM(O32:O43)</f>
        <v>7534</v>
      </c>
      <c r="P44" s="24">
        <f>SUM(P32:P43)</f>
        <v>7201</v>
      </c>
    </row>
    <row r="45" spans="2:16" x14ac:dyDescent="0.25">
      <c r="C45" s="1" t="s">
        <v>120</v>
      </c>
      <c r="D45" s="21">
        <v>29</v>
      </c>
      <c r="E45" s="21">
        <v>43</v>
      </c>
      <c r="F45" s="21">
        <v>43</v>
      </c>
      <c r="G45" s="21">
        <v>70</v>
      </c>
      <c r="H45" s="21">
        <v>70</v>
      </c>
      <c r="I45" s="21">
        <v>70</v>
      </c>
      <c r="J45" s="21">
        <v>70</v>
      </c>
      <c r="K45" s="21">
        <v>70</v>
      </c>
      <c r="L45" s="21">
        <v>70</v>
      </c>
      <c r="M45" s="21">
        <v>70</v>
      </c>
      <c r="N45" s="23"/>
      <c r="O45" s="21">
        <v>70</v>
      </c>
      <c r="P45" s="22">
        <v>70</v>
      </c>
    </row>
    <row r="46" spans="2:16" x14ac:dyDescent="0.25">
      <c r="C46" s="1" t="s">
        <v>121</v>
      </c>
      <c r="D46" s="21">
        <v>1075</v>
      </c>
      <c r="E46" s="21">
        <v>2781</v>
      </c>
      <c r="F46" s="21">
        <v>2781</v>
      </c>
      <c r="G46" s="21">
        <v>3741</v>
      </c>
      <c r="H46" s="21">
        <v>3741</v>
      </c>
      <c r="I46" s="21">
        <v>3741</v>
      </c>
      <c r="J46" s="21">
        <v>3741</v>
      </c>
      <c r="K46" s="21">
        <v>3741</v>
      </c>
      <c r="L46" s="21">
        <v>3741</v>
      </c>
      <c r="M46" s="21">
        <v>3741</v>
      </c>
      <c r="N46" s="23"/>
      <c r="O46" s="21">
        <v>3741</v>
      </c>
      <c r="P46" s="22">
        <v>3741</v>
      </c>
    </row>
    <row r="47" spans="2:16" x14ac:dyDescent="0.25">
      <c r="C47" s="1" t="s">
        <v>122</v>
      </c>
      <c r="D47" s="21">
        <v>-298</v>
      </c>
      <c r="E47" s="21">
        <v>-276</v>
      </c>
      <c r="F47" s="21">
        <v>-282</v>
      </c>
      <c r="G47" s="21">
        <v>-314</v>
      </c>
      <c r="H47" s="21">
        <v>-124</v>
      </c>
      <c r="I47" s="21">
        <v>-217</v>
      </c>
      <c r="J47" s="21">
        <v>-292</v>
      </c>
      <c r="K47" s="21">
        <v>-1090</v>
      </c>
      <c r="L47" s="21">
        <v>-1155</v>
      </c>
      <c r="M47" s="21">
        <v>-1251</v>
      </c>
      <c r="N47" s="21"/>
      <c r="O47" s="21">
        <v>-1231</v>
      </c>
      <c r="P47" s="22">
        <v>-1249</v>
      </c>
    </row>
    <row r="48" spans="2:16" x14ac:dyDescent="0.25">
      <c r="C48" s="2" t="s">
        <v>52</v>
      </c>
      <c r="D48" s="39">
        <f t="shared" ref="D48:L48" si="70">SUM(D45:D47)</f>
        <v>806</v>
      </c>
      <c r="E48" s="39">
        <f t="shared" si="70"/>
        <v>2548</v>
      </c>
      <c r="F48" s="39">
        <f t="shared" si="70"/>
        <v>2542</v>
      </c>
      <c r="G48" s="39">
        <f t="shared" si="70"/>
        <v>3497</v>
      </c>
      <c r="H48" s="39">
        <f t="shared" si="70"/>
        <v>3687</v>
      </c>
      <c r="I48" s="39">
        <f t="shared" si="70"/>
        <v>3594</v>
      </c>
      <c r="J48" s="39">
        <f t="shared" si="70"/>
        <v>3519</v>
      </c>
      <c r="K48" s="39">
        <f t="shared" si="70"/>
        <v>2721</v>
      </c>
      <c r="L48" s="39">
        <f t="shared" si="70"/>
        <v>2656</v>
      </c>
      <c r="M48" s="39">
        <f>SUM(M45:M47)</f>
        <v>2560</v>
      </c>
      <c r="N48" s="39">
        <v>2586</v>
      </c>
      <c r="O48" s="39">
        <f>SUM(O45:O47)</f>
        <v>2580</v>
      </c>
      <c r="P48" s="40">
        <f>SUM(P45:P47)</f>
        <v>2562</v>
      </c>
    </row>
    <row r="49" spans="3:26" x14ac:dyDescent="0.25">
      <c r="C49" s="1" t="s">
        <v>53</v>
      </c>
      <c r="D49" s="21">
        <v>0</v>
      </c>
      <c r="E49" s="21">
        <v>264</v>
      </c>
      <c r="F49" s="21">
        <v>264</v>
      </c>
      <c r="G49" s="21">
        <v>245</v>
      </c>
      <c r="H49" s="21">
        <v>283</v>
      </c>
      <c r="I49" s="21">
        <v>250</v>
      </c>
      <c r="J49" s="21">
        <v>223</v>
      </c>
      <c r="K49" s="21">
        <v>277</v>
      </c>
      <c r="L49" s="21">
        <v>271</v>
      </c>
      <c r="M49" s="21">
        <v>256</v>
      </c>
      <c r="N49" s="21">
        <v>257</v>
      </c>
      <c r="O49" s="21">
        <v>270</v>
      </c>
      <c r="P49" s="22">
        <v>265</v>
      </c>
    </row>
    <row r="50" spans="3:26" x14ac:dyDescent="0.25">
      <c r="C50" s="1" t="s">
        <v>54</v>
      </c>
      <c r="D50" s="21">
        <v>48</v>
      </c>
      <c r="E50" s="21">
        <v>62</v>
      </c>
      <c r="F50" s="21">
        <v>57</v>
      </c>
      <c r="G50" s="21">
        <v>49</v>
      </c>
      <c r="H50" s="21">
        <v>47</v>
      </c>
      <c r="I50" s="21">
        <v>44</v>
      </c>
      <c r="J50" s="21">
        <v>44</v>
      </c>
      <c r="K50" s="21">
        <v>54</v>
      </c>
      <c r="L50" s="21">
        <v>55</v>
      </c>
      <c r="M50" s="21">
        <v>51</v>
      </c>
      <c r="N50" s="21">
        <v>48</v>
      </c>
      <c r="O50" s="21">
        <v>45</v>
      </c>
      <c r="P50" s="22">
        <v>47</v>
      </c>
    </row>
    <row r="51" spans="3:26" x14ac:dyDescent="0.25">
      <c r="C51" s="1" t="s">
        <v>55</v>
      </c>
      <c r="D51" s="21">
        <v>400</v>
      </c>
      <c r="E51" s="21">
        <v>500</v>
      </c>
      <c r="F51" s="21">
        <v>500</v>
      </c>
      <c r="G51" s="21">
        <v>400</v>
      </c>
      <c r="H51" s="21">
        <v>1255</v>
      </c>
      <c r="I51" s="21">
        <v>998</v>
      </c>
      <c r="J51" s="21">
        <v>800</v>
      </c>
      <c r="K51" s="21">
        <v>800</v>
      </c>
      <c r="L51" s="21">
        <v>900</v>
      </c>
      <c r="M51" s="21">
        <v>800</v>
      </c>
      <c r="N51" s="21">
        <v>800</v>
      </c>
      <c r="O51" s="21">
        <v>800</v>
      </c>
      <c r="P51" s="22">
        <v>800</v>
      </c>
    </row>
    <row r="52" spans="3:26" x14ac:dyDescent="0.25">
      <c r="C52" s="1" t="s">
        <v>56</v>
      </c>
      <c r="D52" s="21">
        <v>247</v>
      </c>
      <c r="E52" s="21">
        <v>454</v>
      </c>
      <c r="F52" s="21">
        <v>419</v>
      </c>
      <c r="G52" s="21">
        <v>391</v>
      </c>
      <c r="H52" s="21">
        <v>421</v>
      </c>
      <c r="I52" s="21">
        <v>374</v>
      </c>
      <c r="J52" s="21">
        <v>356</v>
      </c>
      <c r="K52" s="21">
        <v>428</v>
      </c>
      <c r="L52" s="21">
        <v>411</v>
      </c>
      <c r="M52" s="21">
        <v>359</v>
      </c>
      <c r="N52" s="21">
        <v>330</v>
      </c>
      <c r="O52" s="21">
        <v>331</v>
      </c>
      <c r="P52" s="22">
        <v>331</v>
      </c>
    </row>
    <row r="53" spans="3:26" x14ac:dyDescent="0.25">
      <c r="C53" s="1" t="s">
        <v>57</v>
      </c>
      <c r="D53" s="21">
        <v>0</v>
      </c>
      <c r="E53" s="21">
        <v>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0</v>
      </c>
      <c r="L53" s="21">
        <v>0</v>
      </c>
      <c r="M53" s="21">
        <v>0</v>
      </c>
      <c r="N53" s="21">
        <v>304</v>
      </c>
      <c r="O53" s="21">
        <v>263</v>
      </c>
      <c r="P53" s="22">
        <v>230</v>
      </c>
    </row>
    <row r="54" spans="3:26" x14ac:dyDescent="0.25">
      <c r="C54" s="1" t="s">
        <v>58</v>
      </c>
      <c r="D54" s="21">
        <v>407</v>
      </c>
      <c r="E54" s="21">
        <v>2086</v>
      </c>
      <c r="F54" s="21">
        <v>1844</v>
      </c>
      <c r="G54" s="21">
        <v>625</v>
      </c>
      <c r="H54" s="21">
        <v>56</v>
      </c>
      <c r="I54" s="21">
        <v>52</v>
      </c>
      <c r="J54" s="21">
        <v>16</v>
      </c>
      <c r="K54" s="21">
        <v>0</v>
      </c>
      <c r="L54" s="21">
        <v>87</v>
      </c>
      <c r="M54" s="21">
        <v>8</v>
      </c>
      <c r="N54" s="21">
        <v>0</v>
      </c>
      <c r="O54" s="21">
        <v>0</v>
      </c>
      <c r="P54" s="22">
        <v>0</v>
      </c>
    </row>
    <row r="55" spans="3:26" x14ac:dyDescent="0.25">
      <c r="C55" s="1" t="s">
        <v>59</v>
      </c>
      <c r="D55" s="21">
        <v>673</v>
      </c>
      <c r="E55" s="21">
        <v>1204</v>
      </c>
      <c r="F55" s="21">
        <v>1317</v>
      </c>
      <c r="G55" s="21">
        <v>1412</v>
      </c>
      <c r="H55" s="21">
        <v>1468</v>
      </c>
      <c r="I55" s="21">
        <v>1131</v>
      </c>
      <c r="J55" s="21">
        <v>1407</v>
      </c>
      <c r="K55" s="21">
        <v>1563</v>
      </c>
      <c r="L55" s="21">
        <v>1215</v>
      </c>
      <c r="M55" s="21">
        <v>1324</v>
      </c>
      <c r="N55" s="21">
        <v>1682</v>
      </c>
      <c r="O55" s="21">
        <v>2073</v>
      </c>
      <c r="P55" s="22">
        <v>1836</v>
      </c>
    </row>
    <row r="56" spans="3:26" x14ac:dyDescent="0.25">
      <c r="C56" s="1" t="s">
        <v>60</v>
      </c>
      <c r="D56" s="21">
        <v>257</v>
      </c>
      <c r="E56" s="21">
        <v>274</v>
      </c>
      <c r="F56" s="21">
        <v>340</v>
      </c>
      <c r="G56" s="21">
        <v>395</v>
      </c>
      <c r="H56" s="21">
        <v>356</v>
      </c>
      <c r="I56" s="21">
        <v>319</v>
      </c>
      <c r="J56" s="21">
        <v>324</v>
      </c>
      <c r="K56" s="21">
        <v>409</v>
      </c>
      <c r="L56" s="21">
        <v>303</v>
      </c>
      <c r="M56" s="21">
        <v>301</v>
      </c>
      <c r="N56" s="21">
        <v>359</v>
      </c>
      <c r="O56" s="21">
        <v>490</v>
      </c>
      <c r="P56" s="22">
        <v>365</v>
      </c>
    </row>
    <row r="57" spans="3:26" x14ac:dyDescent="0.25">
      <c r="C57" s="1" t="s">
        <v>61</v>
      </c>
      <c r="D57" s="21">
        <v>70</v>
      </c>
      <c r="E57" s="21">
        <v>72</v>
      </c>
      <c r="F57" s="21">
        <v>59</v>
      </c>
      <c r="G57" s="21">
        <v>17</v>
      </c>
      <c r="H57" s="21">
        <v>-11</v>
      </c>
      <c r="I57" s="21">
        <v>0</v>
      </c>
      <c r="J57" s="21">
        <v>21</v>
      </c>
      <c r="K57" s="21">
        <v>12</v>
      </c>
      <c r="L57" s="21">
        <v>3</v>
      </c>
      <c r="M57" s="21">
        <v>3</v>
      </c>
      <c r="N57" s="21">
        <v>3</v>
      </c>
      <c r="O57" s="21">
        <v>8</v>
      </c>
      <c r="P57" s="22">
        <v>3</v>
      </c>
    </row>
    <row r="58" spans="3:26" x14ac:dyDescent="0.25">
      <c r="C58" s="1" t="s">
        <v>62</v>
      </c>
      <c r="D58" s="21">
        <v>87</v>
      </c>
      <c r="E58" s="21">
        <v>179</v>
      </c>
      <c r="F58" s="21">
        <v>175</v>
      </c>
      <c r="G58" s="21">
        <v>167</v>
      </c>
      <c r="H58" s="21">
        <v>191</v>
      </c>
      <c r="I58" s="21">
        <v>186</v>
      </c>
      <c r="J58" s="21">
        <v>183</v>
      </c>
      <c r="K58" s="21">
        <v>180</v>
      </c>
      <c r="L58" s="21">
        <v>214</v>
      </c>
      <c r="M58" s="21">
        <v>204</v>
      </c>
      <c r="N58" s="21">
        <v>200</v>
      </c>
      <c r="O58" s="21">
        <v>186</v>
      </c>
      <c r="P58" s="22">
        <v>201</v>
      </c>
    </row>
    <row r="59" spans="3:26" x14ac:dyDescent="0.25">
      <c r="C59" s="1" t="s">
        <v>63</v>
      </c>
      <c r="D59" s="21">
        <v>196</v>
      </c>
      <c r="E59" s="21">
        <v>304</v>
      </c>
      <c r="F59" s="21">
        <v>295</v>
      </c>
      <c r="G59" s="21">
        <v>337</v>
      </c>
      <c r="H59" s="21">
        <v>372</v>
      </c>
      <c r="I59" s="21">
        <v>740</v>
      </c>
      <c r="J59" s="21">
        <v>778</v>
      </c>
      <c r="K59" s="21">
        <v>862</v>
      </c>
      <c r="L59" s="21">
        <v>772</v>
      </c>
      <c r="M59" s="21">
        <v>790</v>
      </c>
      <c r="N59" s="21">
        <v>505</v>
      </c>
      <c r="O59" s="21">
        <v>487</v>
      </c>
      <c r="P59" s="22">
        <v>583</v>
      </c>
    </row>
    <row r="60" spans="3:26" x14ac:dyDescent="0.25">
      <c r="C60" s="2" t="s">
        <v>123</v>
      </c>
      <c r="D60" s="39">
        <f t="shared" ref="D60:M60" si="71">SUM(D49:D59)</f>
        <v>2385</v>
      </c>
      <c r="E60" s="39">
        <f t="shared" si="71"/>
        <v>5399</v>
      </c>
      <c r="F60" s="39">
        <f t="shared" si="71"/>
        <v>5270</v>
      </c>
      <c r="G60" s="39">
        <f t="shared" si="71"/>
        <v>4038</v>
      </c>
      <c r="H60" s="39">
        <f>SUM(H49:H59)</f>
        <v>4438</v>
      </c>
      <c r="I60" s="39">
        <f>SUM(I49:I59)</f>
        <v>4094</v>
      </c>
      <c r="J60" s="39">
        <f t="shared" si="71"/>
        <v>4152</v>
      </c>
      <c r="K60" s="39">
        <f>SUM(K49:K59)</f>
        <v>4585</v>
      </c>
      <c r="L60" s="39">
        <f t="shared" si="71"/>
        <v>4231</v>
      </c>
      <c r="M60" s="39">
        <f t="shared" si="71"/>
        <v>4096</v>
      </c>
      <c r="N60" s="39">
        <f>SUM(N49:N59)</f>
        <v>4488</v>
      </c>
      <c r="O60" s="39">
        <f>SUM(O49:O59)</f>
        <v>4953</v>
      </c>
      <c r="P60" s="40">
        <f>SUM(P49:P59)</f>
        <v>4661</v>
      </c>
    </row>
    <row r="61" spans="3:26" x14ac:dyDescent="0.25">
      <c r="C61" s="6" t="s">
        <v>124</v>
      </c>
      <c r="D61" s="23">
        <f t="shared" ref="D61:M61" si="72">D60+D48</f>
        <v>3191</v>
      </c>
      <c r="E61" s="23">
        <f t="shared" si="72"/>
        <v>7947</v>
      </c>
      <c r="F61" s="23">
        <f t="shared" si="72"/>
        <v>7812</v>
      </c>
      <c r="G61" s="23">
        <f t="shared" si="72"/>
        <v>7535</v>
      </c>
      <c r="H61" s="23">
        <f t="shared" si="72"/>
        <v>8125</v>
      </c>
      <c r="I61" s="23">
        <f t="shared" si="72"/>
        <v>7688</v>
      </c>
      <c r="J61" s="23">
        <f t="shared" si="72"/>
        <v>7671</v>
      </c>
      <c r="K61" s="23">
        <f t="shared" si="72"/>
        <v>7306</v>
      </c>
      <c r="L61" s="23">
        <f t="shared" si="72"/>
        <v>6887</v>
      </c>
      <c r="M61" s="23">
        <f t="shared" si="72"/>
        <v>6656</v>
      </c>
      <c r="N61" s="23">
        <f>N60+N48</f>
        <v>7074</v>
      </c>
      <c r="O61" s="23">
        <f>O60+O48</f>
        <v>7533</v>
      </c>
      <c r="P61" s="24">
        <f>P60+P48</f>
        <v>7223</v>
      </c>
    </row>
    <row r="63" spans="3:26" x14ac:dyDescent="0.25">
      <c r="C63" s="3" t="s">
        <v>64</v>
      </c>
      <c r="D63" s="6"/>
      <c r="E63" s="6"/>
      <c r="F63" s="6"/>
      <c r="G63" s="6"/>
      <c r="H63" s="6"/>
      <c r="I63" s="6"/>
      <c r="J63" s="6"/>
      <c r="K63" s="6"/>
      <c r="L63" s="6"/>
      <c r="M63" s="6"/>
    </row>
    <row r="64" spans="3:26" x14ac:dyDescent="0.25">
      <c r="C64" s="1" t="s">
        <v>132</v>
      </c>
      <c r="D64" s="21">
        <f t="shared" ref="D64:P64" si="73">D17</f>
        <v>7</v>
      </c>
      <c r="E64" s="21">
        <f t="shared" si="73"/>
        <v>-77</v>
      </c>
      <c r="F64" s="21">
        <f t="shared" si="73"/>
        <v>-46</v>
      </c>
      <c r="G64" s="21">
        <f t="shared" si="73"/>
        <v>6</v>
      </c>
      <c r="H64" s="21">
        <f t="shared" si="73"/>
        <v>-55</v>
      </c>
      <c r="I64" s="21">
        <f t="shared" si="73"/>
        <v>-41</v>
      </c>
      <c r="J64" s="21">
        <f t="shared" si="73"/>
        <v>-16</v>
      </c>
      <c r="K64" s="21">
        <f t="shared" si="73"/>
        <v>-943</v>
      </c>
      <c r="L64" s="21">
        <f t="shared" si="73"/>
        <v>-88</v>
      </c>
      <c r="M64" s="21">
        <f t="shared" si="73"/>
        <v>-83</v>
      </c>
      <c r="N64" s="21">
        <f t="shared" si="73"/>
        <v>-94</v>
      </c>
      <c r="O64" s="21">
        <f t="shared" si="73"/>
        <v>33</v>
      </c>
      <c r="P64" s="22">
        <f t="shared" si="73"/>
        <v>-98</v>
      </c>
      <c r="U64" s="21"/>
      <c r="V64" s="21">
        <f>V17</f>
        <v>254</v>
      </c>
      <c r="W64" s="21">
        <f>W17</f>
        <v>347</v>
      </c>
      <c r="X64" s="21">
        <f>X17</f>
        <v>-110</v>
      </c>
      <c r="Y64" s="21">
        <f>Y17</f>
        <v>-1055</v>
      </c>
      <c r="Z64" s="21">
        <f>Z17</f>
        <v>-232</v>
      </c>
    </row>
    <row r="65" spans="3:26" x14ac:dyDescent="0.25">
      <c r="C65" s="1" t="s">
        <v>133</v>
      </c>
      <c r="H65" s="1">
        <v>-53</v>
      </c>
      <c r="I65" s="1">
        <v>-38</v>
      </c>
      <c r="J65" s="1">
        <v>-15</v>
      </c>
      <c r="K65" s="1">
        <v>-943</v>
      </c>
      <c r="L65" s="1">
        <v>-89</v>
      </c>
      <c r="M65" s="1">
        <v>-83</v>
      </c>
      <c r="N65" s="1">
        <v>-94</v>
      </c>
      <c r="O65" s="1">
        <v>30</v>
      </c>
      <c r="P65" s="10">
        <v>-98</v>
      </c>
      <c r="Y65" s="1">
        <v>-1050</v>
      </c>
      <c r="Z65" s="1">
        <v>-236</v>
      </c>
    </row>
    <row r="66" spans="3:26" x14ac:dyDescent="0.25">
      <c r="C66" s="1" t="s">
        <v>134</v>
      </c>
      <c r="H66" s="1">
        <v>-28</v>
      </c>
      <c r="I66" s="1">
        <v>-10</v>
      </c>
      <c r="J66" s="1">
        <v>4</v>
      </c>
      <c r="K66" s="1">
        <v>4</v>
      </c>
      <c r="L66" s="1">
        <v>-14</v>
      </c>
      <c r="M66" s="1">
        <v>-8</v>
      </c>
      <c r="N66" s="1">
        <v>0</v>
      </c>
      <c r="O66" s="1">
        <v>13</v>
      </c>
      <c r="P66" s="10">
        <v>-2</v>
      </c>
      <c r="Y66" s="1">
        <v>-29</v>
      </c>
      <c r="Z66" s="1">
        <v>-9</v>
      </c>
    </row>
    <row r="67" spans="3:26" x14ac:dyDescent="0.25">
      <c r="C67" s="1" t="s">
        <v>22</v>
      </c>
      <c r="H67" s="1">
        <v>81</v>
      </c>
      <c r="I67" s="1">
        <v>86</v>
      </c>
      <c r="J67" s="1">
        <v>82</v>
      </c>
      <c r="K67" s="1">
        <v>86</v>
      </c>
      <c r="L67" s="1">
        <v>95</v>
      </c>
      <c r="M67" s="1">
        <v>95</v>
      </c>
      <c r="N67" s="1">
        <v>99</v>
      </c>
      <c r="O67" s="1">
        <v>96</v>
      </c>
      <c r="P67" s="10">
        <v>100</v>
      </c>
      <c r="Y67" s="1">
        <v>335</v>
      </c>
      <c r="Z67" s="1">
        <v>384</v>
      </c>
    </row>
    <row r="68" spans="3:26" x14ac:dyDescent="0.25">
      <c r="C68" s="1" t="s">
        <v>25</v>
      </c>
      <c r="H68" s="1">
        <v>0</v>
      </c>
      <c r="I68" s="1">
        <v>0</v>
      </c>
      <c r="J68" s="1">
        <v>0</v>
      </c>
      <c r="K68" s="1">
        <v>983</v>
      </c>
      <c r="L68" s="1">
        <v>0</v>
      </c>
      <c r="M68" s="1">
        <v>0</v>
      </c>
      <c r="N68" s="1">
        <v>0</v>
      </c>
      <c r="O68" s="1">
        <v>0</v>
      </c>
      <c r="P68" s="10">
        <v>0</v>
      </c>
      <c r="Y68" s="1">
        <v>983</v>
      </c>
      <c r="Z68" s="1">
        <v>0</v>
      </c>
    </row>
    <row r="69" spans="3:26" x14ac:dyDescent="0.25">
      <c r="C69" s="1" t="s">
        <v>135</v>
      </c>
      <c r="H69" s="1">
        <v>48</v>
      </c>
      <c r="I69" s="1">
        <v>36</v>
      </c>
      <c r="J69" s="1">
        <v>41</v>
      </c>
      <c r="K69" s="1">
        <v>39</v>
      </c>
      <c r="L69" s="1">
        <v>43</v>
      </c>
      <c r="M69" s="1">
        <v>44</v>
      </c>
      <c r="N69" s="1">
        <v>43</v>
      </c>
      <c r="O69" s="1">
        <v>38</v>
      </c>
      <c r="P69" s="10">
        <v>41</v>
      </c>
      <c r="Y69" s="1">
        <v>164</v>
      </c>
      <c r="Z69" s="1">
        <v>171</v>
      </c>
    </row>
    <row r="70" spans="3:26" x14ac:dyDescent="0.25">
      <c r="C70" s="1" t="s">
        <v>136</v>
      </c>
      <c r="H70" s="1">
        <v>-25</v>
      </c>
      <c r="I70" s="1">
        <v>-164</v>
      </c>
      <c r="J70" s="1">
        <v>78</v>
      </c>
      <c r="K70" s="1">
        <v>61</v>
      </c>
      <c r="L70" s="1">
        <v>-136</v>
      </c>
      <c r="M70" s="1">
        <v>279</v>
      </c>
      <c r="N70" s="1">
        <v>114</v>
      </c>
      <c r="O70" s="1">
        <v>490</v>
      </c>
      <c r="P70" s="10">
        <v>-299</v>
      </c>
      <c r="Y70" s="1">
        <v>-50</v>
      </c>
      <c r="Z70" s="1">
        <v>748</v>
      </c>
    </row>
    <row r="71" spans="3:26" x14ac:dyDescent="0.25">
      <c r="C71" s="1" t="s">
        <v>137</v>
      </c>
      <c r="H71" s="1">
        <v>164</v>
      </c>
      <c r="I71" s="1">
        <v>331</v>
      </c>
      <c r="J71" s="1">
        <v>-3</v>
      </c>
      <c r="K71" s="1">
        <v>21</v>
      </c>
      <c r="L71" s="1">
        <v>-46</v>
      </c>
      <c r="M71" s="1">
        <v>-44</v>
      </c>
      <c r="N71" s="1">
        <v>120</v>
      </c>
      <c r="O71" s="1">
        <v>-8</v>
      </c>
      <c r="P71" s="10">
        <v>58</v>
      </c>
      <c r="Y71" s="1">
        <f>124+388</f>
        <v>512</v>
      </c>
      <c r="Z71" s="1">
        <v>22</v>
      </c>
    </row>
    <row r="72" spans="3:26" x14ac:dyDescent="0.25">
      <c r="C72" s="6" t="s">
        <v>65</v>
      </c>
      <c r="D72" s="6">
        <v>-158</v>
      </c>
      <c r="E72" s="6">
        <v>320</v>
      </c>
      <c r="F72" s="6">
        <v>380</v>
      </c>
      <c r="G72" s="6">
        <v>560</v>
      </c>
      <c r="H72" s="6">
        <f t="shared" ref="H72:N72" si="74">SUM(H65:H71)</f>
        <v>187</v>
      </c>
      <c r="I72" s="6">
        <f t="shared" si="74"/>
        <v>241</v>
      </c>
      <c r="J72" s="6">
        <f t="shared" si="74"/>
        <v>187</v>
      </c>
      <c r="K72" s="6">
        <f t="shared" si="74"/>
        <v>251</v>
      </c>
      <c r="L72" s="6">
        <f t="shared" si="74"/>
        <v>-147</v>
      </c>
      <c r="M72" s="6">
        <f t="shared" si="74"/>
        <v>283</v>
      </c>
      <c r="N72" s="6">
        <f t="shared" si="74"/>
        <v>282</v>
      </c>
      <c r="O72" s="6">
        <f>SUM(O65:O71)</f>
        <v>659</v>
      </c>
      <c r="P72" s="14">
        <f>SUM(P65:P71)</f>
        <v>-200</v>
      </c>
      <c r="U72" s="6"/>
      <c r="V72" s="6">
        <v>472</v>
      </c>
      <c r="W72" s="6">
        <v>65</v>
      </c>
      <c r="X72" s="6">
        <v>1102</v>
      </c>
      <c r="Y72" s="6">
        <f t="shared" ref="Y72" si="75">SUM(Y65:Y71)</f>
        <v>865</v>
      </c>
      <c r="Z72" s="6">
        <f>SUM(Z65:Z71)</f>
        <v>1080</v>
      </c>
    </row>
    <row r="74" spans="3:26" x14ac:dyDescent="0.25">
      <c r="C74" s="1" t="s">
        <v>138</v>
      </c>
      <c r="D74" s="1">
        <v>-30</v>
      </c>
      <c r="E74" s="1">
        <v>-42</v>
      </c>
      <c r="F74" s="1">
        <v>-29</v>
      </c>
      <c r="G74" s="1">
        <v>-75</v>
      </c>
      <c r="H74" s="1">
        <v>-49</v>
      </c>
      <c r="I74" s="1">
        <v>-40</v>
      </c>
      <c r="J74" s="1">
        <v>-39</v>
      </c>
      <c r="K74" s="1">
        <v>-84</v>
      </c>
      <c r="L74" s="1">
        <v>-42</v>
      </c>
      <c r="M74" s="1">
        <v>-36</v>
      </c>
      <c r="N74" s="1">
        <v>-31</v>
      </c>
      <c r="O74" s="1">
        <v>-60</v>
      </c>
      <c r="P74" s="10">
        <v>-45</v>
      </c>
      <c r="V74" s="1">
        <v>-39</v>
      </c>
      <c r="W74" s="1">
        <v>-56</v>
      </c>
      <c r="X74" s="1">
        <v>-177</v>
      </c>
      <c r="Y74" s="1">
        <v>-212</v>
      </c>
      <c r="Z74" s="1">
        <v>-168</v>
      </c>
    </row>
    <row r="75" spans="3:26" x14ac:dyDescent="0.25">
      <c r="C75" s="1" t="s">
        <v>139</v>
      </c>
      <c r="D75" s="1">
        <v>-1</v>
      </c>
      <c r="E75" s="1">
        <v>-1564</v>
      </c>
      <c r="F75" s="1">
        <v>0</v>
      </c>
      <c r="G75" s="1">
        <v>-1</v>
      </c>
      <c r="H75" s="1">
        <v>4</v>
      </c>
      <c r="I75" s="1">
        <v>0</v>
      </c>
      <c r="J75" s="1">
        <v>0</v>
      </c>
      <c r="K75" s="1">
        <v>0</v>
      </c>
      <c r="L75" s="1">
        <v>0</v>
      </c>
      <c r="M75" s="1">
        <v>5</v>
      </c>
      <c r="N75" s="1">
        <v>0</v>
      </c>
      <c r="O75" s="1">
        <v>0</v>
      </c>
      <c r="P75" s="10">
        <v>0</v>
      </c>
      <c r="W75" s="1">
        <v>-59</v>
      </c>
      <c r="X75" s="1">
        <v>-1526</v>
      </c>
      <c r="Y75" s="1">
        <v>4</v>
      </c>
      <c r="Z75" s="1">
        <v>5</v>
      </c>
    </row>
    <row r="76" spans="3:26" x14ac:dyDescent="0.25">
      <c r="C76" s="6" t="s">
        <v>66</v>
      </c>
      <c r="D76" s="6">
        <f t="shared" ref="D76:N76" si="76">SUM(D74:D75)</f>
        <v>-31</v>
      </c>
      <c r="E76" s="6">
        <f t="shared" si="76"/>
        <v>-1606</v>
      </c>
      <c r="F76" s="6">
        <f t="shared" si="76"/>
        <v>-29</v>
      </c>
      <c r="G76" s="6">
        <f t="shared" si="76"/>
        <v>-76</v>
      </c>
      <c r="H76" s="6">
        <f t="shared" si="76"/>
        <v>-45</v>
      </c>
      <c r="I76" s="6">
        <f t="shared" si="76"/>
        <v>-40</v>
      </c>
      <c r="J76" s="6">
        <f t="shared" si="76"/>
        <v>-39</v>
      </c>
      <c r="K76" s="6">
        <f t="shared" si="76"/>
        <v>-84</v>
      </c>
      <c r="L76" s="6">
        <f t="shared" si="76"/>
        <v>-42</v>
      </c>
      <c r="M76" s="6">
        <f t="shared" si="76"/>
        <v>-31</v>
      </c>
      <c r="N76" s="6">
        <f t="shared" si="76"/>
        <v>-31</v>
      </c>
      <c r="O76" s="6">
        <f>SUM(O74:O75)</f>
        <v>-60</v>
      </c>
      <c r="P76" s="14">
        <f>SUM(P74:P75)</f>
        <v>-45</v>
      </c>
      <c r="U76" s="6"/>
      <c r="V76" s="6">
        <f t="shared" ref="V76:Y76" si="77">SUM(V74:V75)</f>
        <v>-39</v>
      </c>
      <c r="W76" s="6">
        <f t="shared" si="77"/>
        <v>-115</v>
      </c>
      <c r="X76" s="6">
        <f t="shared" si="77"/>
        <v>-1703</v>
      </c>
      <c r="Y76" s="6">
        <f t="shared" si="77"/>
        <v>-208</v>
      </c>
      <c r="Z76" s="6">
        <f>SUM(Z74:Z75)</f>
        <v>-163</v>
      </c>
    </row>
    <row r="78" spans="3:26" x14ac:dyDescent="0.25">
      <c r="C78" s="1" t="s">
        <v>140</v>
      </c>
      <c r="H78" s="1">
        <v>1255</v>
      </c>
      <c r="I78" s="1">
        <v>0</v>
      </c>
      <c r="J78" s="1">
        <v>0</v>
      </c>
      <c r="K78" s="1">
        <v>0</v>
      </c>
      <c r="L78" s="1">
        <v>300</v>
      </c>
      <c r="M78" s="1">
        <v>0</v>
      </c>
      <c r="N78" s="1">
        <v>0</v>
      </c>
      <c r="O78" s="1">
        <v>0</v>
      </c>
      <c r="P78" s="10">
        <v>0</v>
      </c>
      <c r="Y78" s="1">
        <v>1255</v>
      </c>
      <c r="Z78" s="1">
        <v>300</v>
      </c>
    </row>
    <row r="79" spans="3:26" x14ac:dyDescent="0.25">
      <c r="C79" s="1" t="s">
        <v>141</v>
      </c>
      <c r="H79" s="1">
        <v>-400</v>
      </c>
      <c r="I79" s="1">
        <v>-256</v>
      </c>
      <c r="J79" s="1">
        <v>-198</v>
      </c>
      <c r="K79" s="1">
        <v>0</v>
      </c>
      <c r="L79" s="1">
        <v>-200</v>
      </c>
      <c r="M79" s="1">
        <v>-100</v>
      </c>
      <c r="N79" s="1">
        <v>0</v>
      </c>
      <c r="O79" s="1">
        <v>-41</v>
      </c>
      <c r="P79" s="10">
        <v>-32</v>
      </c>
      <c r="Y79" s="1">
        <v>-855</v>
      </c>
      <c r="Z79" s="1">
        <v>-341</v>
      </c>
    </row>
    <row r="80" spans="3:26" x14ac:dyDescent="0.25">
      <c r="C80" s="1" t="s">
        <v>142</v>
      </c>
      <c r="H80" s="1">
        <v>-569</v>
      </c>
      <c r="I80" s="1">
        <v>-5</v>
      </c>
      <c r="J80" s="1">
        <v>-35</v>
      </c>
      <c r="K80" s="1">
        <v>-16</v>
      </c>
      <c r="L80" s="1">
        <v>67</v>
      </c>
      <c r="M80" s="1">
        <v>-59</v>
      </c>
      <c r="N80" s="1">
        <v>-8</v>
      </c>
      <c r="O80" s="1">
        <v>0</v>
      </c>
      <c r="P80" s="10">
        <v>0</v>
      </c>
      <c r="Y80" s="1">
        <v>-625</v>
      </c>
      <c r="Z80" s="1">
        <v>0</v>
      </c>
    </row>
    <row r="81" spans="3:26" x14ac:dyDescent="0.25">
      <c r="C81" s="1" t="s">
        <v>143</v>
      </c>
      <c r="H81" s="1">
        <v>-50</v>
      </c>
      <c r="I81" s="1">
        <v>-52</v>
      </c>
      <c r="J81" s="1">
        <v>-50</v>
      </c>
      <c r="K81" s="1">
        <v>-53</v>
      </c>
      <c r="L81" s="1">
        <v>-55</v>
      </c>
      <c r="M81" s="1">
        <v>-62</v>
      </c>
      <c r="N81" s="1">
        <v>-58</v>
      </c>
      <c r="O81" s="1">
        <v>-56</v>
      </c>
      <c r="P81" s="10">
        <v>-60</v>
      </c>
      <c r="Y81" s="1">
        <v>-186</v>
      </c>
      <c r="Z81" s="1">
        <v>-208</v>
      </c>
    </row>
    <row r="82" spans="3:26" x14ac:dyDescent="0.25">
      <c r="C82" s="1" t="s">
        <v>144</v>
      </c>
      <c r="H82" s="1">
        <v>-44</v>
      </c>
      <c r="I82" s="1">
        <v>-31</v>
      </c>
      <c r="J82" s="1">
        <v>-37</v>
      </c>
      <c r="K82" s="1">
        <v>-36</v>
      </c>
      <c r="L82" s="1">
        <v>-38</v>
      </c>
      <c r="M82" s="1">
        <v>-39</v>
      </c>
      <c r="N82" s="1">
        <v>-38</v>
      </c>
      <c r="O82" s="1">
        <v>-33</v>
      </c>
      <c r="P82" s="10">
        <v>-37</v>
      </c>
      <c r="Y82" s="1">
        <f>-19-148</f>
        <v>-167</v>
      </c>
      <c r="Z82" s="1">
        <f>-23-148</f>
        <v>-171</v>
      </c>
    </row>
    <row r="83" spans="3:26" x14ac:dyDescent="0.25">
      <c r="C83" s="1" t="s">
        <v>145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0">
        <v>0</v>
      </c>
      <c r="Y83" s="1">
        <v>1</v>
      </c>
      <c r="Z83" s="1">
        <v>0</v>
      </c>
    </row>
    <row r="84" spans="3:26" x14ac:dyDescent="0.25">
      <c r="C84" s="6" t="s">
        <v>67</v>
      </c>
      <c r="D84" s="6">
        <v>171</v>
      </c>
      <c r="E84" s="6">
        <v>1269</v>
      </c>
      <c r="F84" s="6">
        <v>-314</v>
      </c>
      <c r="G84" s="6">
        <v>-419</v>
      </c>
      <c r="H84" s="6">
        <f t="shared" ref="H84:N84" si="78">SUM(H78:H83)</f>
        <v>193</v>
      </c>
      <c r="I84" s="6">
        <f t="shared" si="78"/>
        <v>-344</v>
      </c>
      <c r="J84" s="6">
        <f t="shared" si="78"/>
        <v>-320</v>
      </c>
      <c r="K84" s="6">
        <f t="shared" si="78"/>
        <v>-105</v>
      </c>
      <c r="L84" s="6">
        <f t="shared" si="78"/>
        <v>74</v>
      </c>
      <c r="M84" s="6">
        <f t="shared" si="78"/>
        <v>-260</v>
      </c>
      <c r="N84" s="6">
        <f t="shared" si="78"/>
        <v>-104</v>
      </c>
      <c r="O84" s="6">
        <f>SUM(O78:O83)</f>
        <v>-130</v>
      </c>
      <c r="P84" s="14">
        <f>SUM(P78:P83)</f>
        <v>-129</v>
      </c>
      <c r="U84" s="6"/>
      <c r="V84" s="6">
        <v>-430</v>
      </c>
      <c r="W84" s="6">
        <v>36</v>
      </c>
      <c r="X84" s="6">
        <v>706</v>
      </c>
      <c r="Y84" s="6">
        <f t="shared" ref="Y84" si="79">SUM(Y78:Y83)</f>
        <v>-577</v>
      </c>
      <c r="Z84" s="6">
        <f>SUM(Z78:Z83)</f>
        <v>-420</v>
      </c>
    </row>
    <row r="86" spans="3:26" x14ac:dyDescent="0.25">
      <c r="C86" s="1" t="s">
        <v>146</v>
      </c>
      <c r="D86" s="1">
        <f t="shared" ref="D86:N86" si="80">D72+D76+D84</f>
        <v>-18</v>
      </c>
      <c r="E86" s="1">
        <f t="shared" si="80"/>
        <v>-17</v>
      </c>
      <c r="F86" s="1">
        <f t="shared" si="80"/>
        <v>37</v>
      </c>
      <c r="G86" s="1">
        <f t="shared" si="80"/>
        <v>65</v>
      </c>
      <c r="H86" s="1">
        <f t="shared" si="80"/>
        <v>335</v>
      </c>
      <c r="I86" s="1">
        <f t="shared" si="80"/>
        <v>-143</v>
      </c>
      <c r="J86" s="1">
        <f t="shared" si="80"/>
        <v>-172</v>
      </c>
      <c r="K86" s="1">
        <f t="shared" si="80"/>
        <v>62</v>
      </c>
      <c r="L86" s="1">
        <f t="shared" si="80"/>
        <v>-115</v>
      </c>
      <c r="M86" s="1">
        <f t="shared" si="80"/>
        <v>-8</v>
      </c>
      <c r="N86" s="1">
        <f t="shared" si="80"/>
        <v>147</v>
      </c>
      <c r="O86" s="1">
        <f>O72+O76+O84</f>
        <v>469</v>
      </c>
      <c r="P86" s="10">
        <f>P72+P76+P84</f>
        <v>-374</v>
      </c>
      <c r="V86" s="1">
        <f t="shared" ref="V86:Y86" si="81">V72+V76+V84</f>
        <v>3</v>
      </c>
      <c r="W86" s="1">
        <f t="shared" si="81"/>
        <v>-14</v>
      </c>
      <c r="X86" s="1">
        <f t="shared" si="81"/>
        <v>105</v>
      </c>
      <c r="Y86" s="1">
        <f t="shared" si="81"/>
        <v>80</v>
      </c>
      <c r="Z86" s="1">
        <f>Z72+Z76+Z84</f>
        <v>497</v>
      </c>
    </row>
    <row r="88" spans="3:26" x14ac:dyDescent="0.25">
      <c r="C88" s="1" t="s">
        <v>147</v>
      </c>
      <c r="D88" s="1">
        <f t="shared" ref="D88:M88" si="82">D72+D74</f>
        <v>-188</v>
      </c>
      <c r="E88" s="1">
        <f t="shared" si="82"/>
        <v>278</v>
      </c>
      <c r="F88" s="1">
        <f t="shared" si="82"/>
        <v>351</v>
      </c>
      <c r="G88" s="1">
        <f t="shared" si="82"/>
        <v>485</v>
      </c>
      <c r="H88" s="1">
        <f t="shared" si="82"/>
        <v>138</v>
      </c>
      <c r="I88" s="1">
        <f t="shared" si="82"/>
        <v>201</v>
      </c>
      <c r="J88" s="1">
        <f t="shared" si="82"/>
        <v>148</v>
      </c>
      <c r="K88" s="1">
        <f t="shared" si="82"/>
        <v>167</v>
      </c>
      <c r="L88" s="1">
        <f t="shared" si="82"/>
        <v>-189</v>
      </c>
      <c r="M88" s="1">
        <f t="shared" si="82"/>
        <v>247</v>
      </c>
      <c r="N88" s="1">
        <f>N72+N74</f>
        <v>251</v>
      </c>
      <c r="O88" s="1">
        <f>O72+O74</f>
        <v>599</v>
      </c>
      <c r="P88" s="10">
        <f>P72+P74</f>
        <v>-245</v>
      </c>
      <c r="V88" s="1">
        <f t="shared" ref="V88:Y88" si="83">V72-V74</f>
        <v>511</v>
      </c>
      <c r="W88" s="1">
        <f t="shared" si="83"/>
        <v>121</v>
      </c>
      <c r="X88" s="1">
        <f t="shared" si="83"/>
        <v>1279</v>
      </c>
      <c r="Y88" s="1">
        <f t="shared" si="83"/>
        <v>1077</v>
      </c>
      <c r="Z88" s="1">
        <f>Z72-Z74</f>
        <v>1248</v>
      </c>
    </row>
    <row r="89" spans="3:26" x14ac:dyDescent="0.25">
      <c r="C89" s="2"/>
      <c r="H89" s="41"/>
      <c r="I89" s="41"/>
      <c r="J89" s="41"/>
      <c r="K89" s="41"/>
      <c r="L89" s="41"/>
      <c r="M89" s="41"/>
      <c r="N89" s="41"/>
      <c r="O89" s="41"/>
    </row>
  </sheetData>
  <mergeCells count="1">
    <mergeCell ref="B33:B34"/>
  </mergeCells>
  <phoneticPr fontId="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5D35-7F9F-4A4B-95DC-2AF4A3B59D5F}">
  <dimension ref="B4:V14"/>
  <sheetViews>
    <sheetView showGridLines="0" workbookViewId="0">
      <selection activeCell="T18" sqref="T18"/>
    </sheetView>
  </sheetViews>
  <sheetFormatPr baseColWidth="10" defaultRowHeight="19" x14ac:dyDescent="0.25"/>
  <cols>
    <col min="1" max="1" width="6.33203125" style="1" customWidth="1"/>
    <col min="2" max="2" width="10.83203125" style="1"/>
    <col min="3" max="3" width="9.1640625" style="1" customWidth="1"/>
    <col min="4" max="4" width="9.5" style="1" customWidth="1"/>
    <col min="5" max="5" width="8.1640625" style="1" customWidth="1"/>
    <col min="6" max="6" width="8.6640625" style="1" customWidth="1"/>
    <col min="7" max="7" width="9.6640625" style="1" customWidth="1"/>
    <col min="8" max="8" width="9.33203125" style="1" customWidth="1"/>
    <col min="9" max="10" width="8.33203125" style="1" customWidth="1"/>
    <col min="11" max="11" width="8.5" style="1" customWidth="1"/>
    <col min="12" max="13" width="9.33203125" style="1" customWidth="1"/>
    <col min="14" max="14" width="9.5" style="1" customWidth="1"/>
    <col min="15" max="15" width="9" style="1" customWidth="1"/>
    <col min="16" max="17" width="9.83203125" style="1" customWidth="1"/>
    <col min="18" max="18" width="8.1640625" style="1" customWidth="1"/>
    <col min="19" max="19" width="10.5" style="1" customWidth="1"/>
    <col min="20" max="20" width="10.33203125" style="1" customWidth="1"/>
    <col min="21" max="21" width="10.6640625" style="1" customWidth="1"/>
    <col min="22" max="22" width="9.5" style="1" customWidth="1"/>
    <col min="23" max="16384" width="10.83203125" style="1"/>
  </cols>
  <sheetData>
    <row r="4" spans="2:22" x14ac:dyDescent="0.25">
      <c r="B4" s="16" t="s">
        <v>113</v>
      </c>
      <c r="C4" s="35" t="s">
        <v>8</v>
      </c>
      <c r="D4" s="35" t="s">
        <v>9</v>
      </c>
      <c r="E4" s="35" t="s">
        <v>10</v>
      </c>
      <c r="F4" s="35" t="s">
        <v>11</v>
      </c>
      <c r="G4" s="49">
        <v>2022</v>
      </c>
      <c r="H4" s="35" t="s">
        <v>12</v>
      </c>
      <c r="I4" s="35" t="s">
        <v>13</v>
      </c>
      <c r="J4" s="35" t="s">
        <v>14</v>
      </c>
      <c r="K4" s="35" t="s">
        <v>15</v>
      </c>
      <c r="L4" s="49">
        <v>2023</v>
      </c>
      <c r="M4" s="35" t="s">
        <v>16</v>
      </c>
      <c r="N4" s="35" t="s">
        <v>17</v>
      </c>
      <c r="O4" s="35" t="s">
        <v>18</v>
      </c>
      <c r="P4" s="35" t="s">
        <v>19</v>
      </c>
      <c r="Q4" s="49">
        <v>2024</v>
      </c>
      <c r="R4" s="35" t="s">
        <v>109</v>
      </c>
      <c r="S4" s="35" t="s">
        <v>110</v>
      </c>
      <c r="T4" s="35" t="s">
        <v>111</v>
      </c>
      <c r="U4" s="35" t="s">
        <v>112</v>
      </c>
      <c r="V4" s="49">
        <v>2025</v>
      </c>
    </row>
    <row r="5" spans="2:22" x14ac:dyDescent="0.25">
      <c r="B5" s="6" t="s">
        <v>149</v>
      </c>
      <c r="G5" s="47"/>
      <c r="L5" s="47"/>
      <c r="Q5" s="47"/>
      <c r="V5" s="47"/>
    </row>
    <row r="6" spans="2:22" x14ac:dyDescent="0.25">
      <c r="B6" s="1" t="s">
        <v>30</v>
      </c>
      <c r="C6" s="21">
        <v>1805</v>
      </c>
      <c r="D6" s="21">
        <v>1578</v>
      </c>
      <c r="E6" s="21">
        <v>1883</v>
      </c>
      <c r="F6" s="21">
        <v>2086</v>
      </c>
      <c r="G6" s="50">
        <f>SUM(C6:F6)</f>
        <v>7352</v>
      </c>
      <c r="H6" s="21">
        <v>1737</v>
      </c>
      <c r="I6" s="21">
        <v>1642</v>
      </c>
      <c r="J6" s="21">
        <v>1968</v>
      </c>
      <c r="K6" s="21">
        <v>2101</v>
      </c>
      <c r="L6" s="50">
        <f>SUM(H6:K6)</f>
        <v>7448</v>
      </c>
      <c r="M6" s="21">
        <v>1554</v>
      </c>
      <c r="N6" s="21">
        <v>1627</v>
      </c>
      <c r="O6" s="21">
        <v>1866</v>
      </c>
      <c r="P6" s="21">
        <v>2252</v>
      </c>
      <c r="Q6" s="50">
        <f>SUM(M6:P6)</f>
        <v>7299</v>
      </c>
      <c r="R6" s="21">
        <v>1690</v>
      </c>
      <c r="S6" s="21"/>
      <c r="T6" s="21"/>
      <c r="U6" s="21"/>
      <c r="V6" s="50">
        <f>SUM(R6:U6)</f>
        <v>1690</v>
      </c>
    </row>
    <row r="7" spans="2:22" x14ac:dyDescent="0.25">
      <c r="B7" s="16" t="s">
        <v>150</v>
      </c>
      <c r="C7" s="43"/>
      <c r="D7" s="43"/>
      <c r="E7" s="43"/>
      <c r="F7" s="43"/>
      <c r="G7" s="51"/>
      <c r="H7" s="43">
        <f t="shared" ref="H7:V7" si="0">(H6-C6)/C6</f>
        <v>-3.7673130193905814E-2</v>
      </c>
      <c r="I7" s="43">
        <f t="shared" si="0"/>
        <v>4.0557667934093787E-2</v>
      </c>
      <c r="J7" s="43">
        <f t="shared" si="0"/>
        <v>4.5140732873074879E-2</v>
      </c>
      <c r="K7" s="43">
        <f t="shared" si="0"/>
        <v>7.1907957813998084E-3</v>
      </c>
      <c r="L7" s="51">
        <f t="shared" si="0"/>
        <v>1.3057671381936888E-2</v>
      </c>
      <c r="M7" s="43">
        <f t="shared" si="0"/>
        <v>-0.10535405872193437</v>
      </c>
      <c r="N7" s="43">
        <f t="shared" si="0"/>
        <v>-9.1352009744214372E-3</v>
      </c>
      <c r="O7" s="43">
        <f t="shared" si="0"/>
        <v>-5.1829268292682924E-2</v>
      </c>
      <c r="P7" s="43">
        <f t="shared" si="0"/>
        <v>7.1870537839124227E-2</v>
      </c>
      <c r="Q7" s="51">
        <f t="shared" si="0"/>
        <v>-2.0005370569280343E-2</v>
      </c>
      <c r="R7" s="43">
        <f t="shared" si="0"/>
        <v>8.7516087516087512E-2</v>
      </c>
      <c r="S7" s="43">
        <f t="shared" si="0"/>
        <v>-1</v>
      </c>
      <c r="T7" s="43">
        <f t="shared" si="0"/>
        <v>-1</v>
      </c>
      <c r="U7" s="43">
        <f t="shared" si="0"/>
        <v>-1</v>
      </c>
      <c r="V7" s="51">
        <f t="shared" si="0"/>
        <v>-0.76846143307302373</v>
      </c>
    </row>
    <row r="8" spans="2:22" x14ac:dyDescent="0.25">
      <c r="B8" s="6" t="s">
        <v>151</v>
      </c>
      <c r="G8" s="52"/>
      <c r="L8" s="52"/>
      <c r="Q8" s="52"/>
      <c r="V8" s="52"/>
    </row>
    <row r="9" spans="2:22" x14ac:dyDescent="0.25">
      <c r="B9" s="1" t="s">
        <v>30</v>
      </c>
      <c r="C9" s="21">
        <v>728</v>
      </c>
      <c r="D9" s="21">
        <v>1951</v>
      </c>
      <c r="E9" s="21">
        <v>1859</v>
      </c>
      <c r="F9" s="21">
        <v>2487</v>
      </c>
      <c r="G9" s="50">
        <f>SUM(C9:F9)</f>
        <v>7025</v>
      </c>
      <c r="H9" s="21">
        <v>1819</v>
      </c>
      <c r="I9" s="21">
        <v>1922</v>
      </c>
      <c r="J9" s="21">
        <v>1852</v>
      </c>
      <c r="K9" s="21">
        <v>2524</v>
      </c>
      <c r="L9" s="50">
        <f>SUM(H9:K9)</f>
        <v>8117</v>
      </c>
      <c r="M9" s="21">
        <v>1633</v>
      </c>
      <c r="N9" s="21">
        <v>1702</v>
      </c>
      <c r="O9" s="21">
        <v>1816</v>
      </c>
      <c r="P9" s="21">
        <v>2548</v>
      </c>
      <c r="Q9" s="50">
        <f>SUM(M9:P9)</f>
        <v>7699</v>
      </c>
      <c r="R9" s="21">
        <v>1612</v>
      </c>
      <c r="S9" s="21"/>
      <c r="T9" s="21"/>
      <c r="U9" s="21"/>
      <c r="V9" s="50">
        <f>SUM(R9:U9)</f>
        <v>1612</v>
      </c>
    </row>
    <row r="10" spans="2:22" x14ac:dyDescent="0.25">
      <c r="B10" s="16" t="s">
        <v>150</v>
      </c>
      <c r="C10" s="44"/>
      <c r="D10" s="44"/>
      <c r="E10" s="44"/>
      <c r="F10" s="44"/>
      <c r="G10" s="53"/>
      <c r="H10" s="43">
        <f t="shared" ref="H10:V10" si="1">(H9-C9)/C9</f>
        <v>1.4986263736263736</v>
      </c>
      <c r="I10" s="43">
        <f t="shared" si="1"/>
        <v>-1.486417221937468E-2</v>
      </c>
      <c r="J10" s="43">
        <f t="shared" si="1"/>
        <v>-3.7654653039268424E-3</v>
      </c>
      <c r="K10" s="43">
        <f t="shared" si="1"/>
        <v>1.4877362283876157E-2</v>
      </c>
      <c r="L10" s="51">
        <f t="shared" si="1"/>
        <v>0.15544483985765126</v>
      </c>
      <c r="M10" s="43">
        <f t="shared" si="1"/>
        <v>-0.1022539857064321</v>
      </c>
      <c r="N10" s="43">
        <f t="shared" si="1"/>
        <v>-0.11446409989594172</v>
      </c>
      <c r="O10" s="43">
        <f t="shared" si="1"/>
        <v>-1.9438444924406047E-2</v>
      </c>
      <c r="P10" s="43">
        <f t="shared" si="1"/>
        <v>9.5087163232963554E-3</v>
      </c>
      <c r="Q10" s="51">
        <f t="shared" si="1"/>
        <v>-5.1496858445238387E-2</v>
      </c>
      <c r="R10" s="43">
        <f t="shared" si="1"/>
        <v>-1.2859767299448868E-2</v>
      </c>
      <c r="S10" s="43">
        <f t="shared" si="1"/>
        <v>-1</v>
      </c>
      <c r="T10" s="43">
        <f t="shared" si="1"/>
        <v>-1</v>
      </c>
      <c r="U10" s="43">
        <f t="shared" si="1"/>
        <v>-1</v>
      </c>
      <c r="V10" s="51">
        <f t="shared" si="1"/>
        <v>-0.79062215872191188</v>
      </c>
    </row>
    <row r="11" spans="2:22" x14ac:dyDescent="0.25">
      <c r="B11" s="6" t="s">
        <v>152</v>
      </c>
      <c r="G11" s="52"/>
      <c r="L11" s="52"/>
      <c r="Q11" s="52"/>
      <c r="V11" s="52"/>
    </row>
    <row r="12" spans="2:22" x14ac:dyDescent="0.25">
      <c r="B12" s="1" t="s">
        <v>30</v>
      </c>
      <c r="C12" s="1">
        <v>74</v>
      </c>
      <c r="D12" s="1">
        <v>42</v>
      </c>
      <c r="E12" s="1">
        <v>43</v>
      </c>
      <c r="F12" s="1">
        <v>85</v>
      </c>
      <c r="G12" s="50">
        <f>SUM(C12:F12)</f>
        <v>244</v>
      </c>
      <c r="H12" s="1">
        <v>62</v>
      </c>
      <c r="I12" s="1">
        <v>70</v>
      </c>
      <c r="J12" s="1">
        <v>54</v>
      </c>
      <c r="K12" s="1">
        <v>108</v>
      </c>
      <c r="L12" s="50">
        <f>SUM(H12:K12)</f>
        <v>294</v>
      </c>
      <c r="M12" s="1">
        <v>58</v>
      </c>
      <c r="N12" s="1">
        <v>89</v>
      </c>
      <c r="O12" s="1">
        <v>73</v>
      </c>
      <c r="P12" s="1">
        <v>85</v>
      </c>
      <c r="Q12" s="50">
        <f>SUM(M12:P12)</f>
        <v>305</v>
      </c>
      <c r="R12" s="1">
        <v>67</v>
      </c>
      <c r="V12" s="50">
        <f>SUM(R12:U12)</f>
        <v>67</v>
      </c>
    </row>
    <row r="13" spans="2:22" x14ac:dyDescent="0.25">
      <c r="B13" s="16" t="s">
        <v>150</v>
      </c>
      <c r="C13" s="16"/>
      <c r="D13" s="16"/>
      <c r="E13" s="16"/>
      <c r="F13" s="16"/>
      <c r="G13" s="48"/>
      <c r="H13" s="43">
        <f t="shared" ref="H13:V13" si="2">(H12-C12)/C12</f>
        <v>-0.16216216216216217</v>
      </c>
      <c r="I13" s="43">
        <f t="shared" si="2"/>
        <v>0.66666666666666663</v>
      </c>
      <c r="J13" s="43">
        <f t="shared" si="2"/>
        <v>0.2558139534883721</v>
      </c>
      <c r="K13" s="43">
        <f t="shared" si="2"/>
        <v>0.27058823529411763</v>
      </c>
      <c r="L13" s="51">
        <f t="shared" si="2"/>
        <v>0.20491803278688525</v>
      </c>
      <c r="M13" s="43">
        <f t="shared" si="2"/>
        <v>-6.4516129032258063E-2</v>
      </c>
      <c r="N13" s="43">
        <f t="shared" si="2"/>
        <v>0.27142857142857141</v>
      </c>
      <c r="O13" s="43">
        <f t="shared" si="2"/>
        <v>0.35185185185185186</v>
      </c>
      <c r="P13" s="43">
        <f t="shared" si="2"/>
        <v>-0.21296296296296297</v>
      </c>
      <c r="Q13" s="51">
        <f t="shared" si="2"/>
        <v>3.7414965986394558E-2</v>
      </c>
      <c r="R13" s="43">
        <f t="shared" si="2"/>
        <v>0.15517241379310345</v>
      </c>
      <c r="S13" s="43">
        <f t="shared" si="2"/>
        <v>-1</v>
      </c>
      <c r="T13" s="43">
        <f t="shared" si="2"/>
        <v>-1</v>
      </c>
      <c r="U13" s="43">
        <f t="shared" si="2"/>
        <v>-1</v>
      </c>
      <c r="V13" s="51">
        <f t="shared" si="2"/>
        <v>-0.78032786885245897</v>
      </c>
    </row>
    <row r="14" spans="2:22" x14ac:dyDescent="0.25">
      <c r="B14" s="1" t="s">
        <v>153</v>
      </c>
      <c r="C14" s="21">
        <f t="shared" ref="C14:P14" si="3">C6+C9+C12</f>
        <v>2607</v>
      </c>
      <c r="D14" s="21">
        <f t="shared" si="3"/>
        <v>3571</v>
      </c>
      <c r="E14" s="21">
        <f t="shared" si="3"/>
        <v>3785</v>
      </c>
      <c r="F14" s="21">
        <f t="shared" si="3"/>
        <v>4658</v>
      </c>
      <c r="G14" s="23">
        <f t="shared" si="3"/>
        <v>14621</v>
      </c>
      <c r="H14" s="21">
        <f t="shared" si="3"/>
        <v>3618</v>
      </c>
      <c r="I14" s="21">
        <f t="shared" si="3"/>
        <v>3634</v>
      </c>
      <c r="J14" s="21">
        <f t="shared" si="3"/>
        <v>3874</v>
      </c>
      <c r="K14" s="21">
        <f t="shared" si="3"/>
        <v>4733</v>
      </c>
      <c r="L14" s="23">
        <f>L6+L9+L12</f>
        <v>15859</v>
      </c>
      <c r="M14" s="21">
        <f t="shared" si="3"/>
        <v>3245</v>
      </c>
      <c r="N14" s="21">
        <f t="shared" si="3"/>
        <v>3418</v>
      </c>
      <c r="O14" s="21">
        <f t="shared" si="3"/>
        <v>3755</v>
      </c>
      <c r="P14" s="21">
        <f t="shared" si="3"/>
        <v>4885</v>
      </c>
      <c r="Q14" s="23">
        <f>Q6+Q9+Q12</f>
        <v>15303</v>
      </c>
      <c r="R14" s="21">
        <f>R6+R9+R12</f>
        <v>3369</v>
      </c>
      <c r="S14" s="21">
        <f t="shared" ref="S14:U14" si="4">S6+S9+S12</f>
        <v>0</v>
      </c>
      <c r="T14" s="21">
        <f t="shared" si="4"/>
        <v>0</v>
      </c>
      <c r="U14" s="21">
        <f t="shared" si="4"/>
        <v>0</v>
      </c>
      <c r="V14" s="23">
        <f>V6+V9+V12</f>
        <v>3369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0EF3B-DF7C-BD4E-95F4-09DFC54162AE}">
  <dimension ref="B4:AG37"/>
  <sheetViews>
    <sheetView showGridLines="0" zoomScale="90" zoomScaleNormal="90" workbookViewId="0">
      <pane xSplit="2" ySplit="4" topLeftCell="E5" activePane="bottomRight" state="frozen"/>
      <selection pane="topRight" activeCell="C1" sqref="C1"/>
      <selection pane="bottomLeft" activeCell="A5" sqref="A5"/>
      <selection pane="bottomRight" activeCell="N18" sqref="N18"/>
    </sheetView>
  </sheetViews>
  <sheetFormatPr baseColWidth="10" defaultRowHeight="19" x14ac:dyDescent="0.25"/>
  <cols>
    <col min="1" max="1" width="2.83203125" style="1" customWidth="1"/>
    <col min="2" max="2" width="19.33203125" style="1" customWidth="1"/>
    <col min="3" max="3" width="10.83203125" style="1"/>
    <col min="4" max="4" width="12.1640625" style="1" customWidth="1"/>
    <col min="5" max="6" width="10.83203125" style="1"/>
    <col min="7" max="7" width="10.83203125" style="6"/>
    <col min="8" max="11" width="10.83203125" style="1"/>
    <col min="12" max="12" width="10.83203125" style="6"/>
    <col min="13" max="16" width="10.83203125" style="1"/>
    <col min="17" max="17" width="10.83203125" style="6"/>
    <col min="18" max="21" width="10.83203125" style="1"/>
    <col min="22" max="22" width="10.83203125" style="6"/>
    <col min="23" max="16384" width="10.83203125" style="1"/>
  </cols>
  <sheetData>
    <row r="4" spans="2:33" x14ac:dyDescent="0.25">
      <c r="B4" s="34" t="s">
        <v>113</v>
      </c>
      <c r="C4" s="35" t="s">
        <v>8</v>
      </c>
      <c r="D4" s="35" t="s">
        <v>9</v>
      </c>
      <c r="E4" s="35" t="s">
        <v>10</v>
      </c>
      <c r="F4" s="35" t="s">
        <v>11</v>
      </c>
      <c r="G4" s="46">
        <v>2022</v>
      </c>
      <c r="H4" s="35" t="s">
        <v>12</v>
      </c>
      <c r="I4" s="35" t="s">
        <v>13</v>
      </c>
      <c r="J4" s="35" t="s">
        <v>14</v>
      </c>
      <c r="K4" s="35" t="s">
        <v>15</v>
      </c>
      <c r="L4" s="46">
        <v>2023</v>
      </c>
      <c r="M4" s="35" t="s">
        <v>16</v>
      </c>
      <c r="N4" s="35" t="s">
        <v>17</v>
      </c>
      <c r="O4" s="35" t="s">
        <v>18</v>
      </c>
      <c r="P4" s="35" t="s">
        <v>19</v>
      </c>
      <c r="Q4" s="46">
        <v>2024</v>
      </c>
      <c r="R4" s="35" t="s">
        <v>109</v>
      </c>
      <c r="S4" s="35" t="s">
        <v>110</v>
      </c>
      <c r="T4" s="35" t="s">
        <v>111</v>
      </c>
      <c r="U4" s="35" t="s">
        <v>112</v>
      </c>
      <c r="V4" s="52">
        <v>2025</v>
      </c>
    </row>
    <row r="5" spans="2:33" x14ac:dyDescent="0.25">
      <c r="B5" s="6" t="s">
        <v>28</v>
      </c>
      <c r="G5" s="52"/>
      <c r="L5" s="52"/>
      <c r="Q5" s="52"/>
      <c r="V5" s="52"/>
    </row>
    <row r="6" spans="2:33" x14ac:dyDescent="0.25">
      <c r="B6" s="30" t="s">
        <v>114</v>
      </c>
      <c r="C6" s="42">
        <v>1343</v>
      </c>
      <c r="D6" s="42">
        <v>2504</v>
      </c>
      <c r="E6" s="42">
        <v>2528</v>
      </c>
      <c r="F6" s="42">
        <v>3409</v>
      </c>
      <c r="G6" s="60">
        <f>SUM(C6:F6)</f>
        <v>9784</v>
      </c>
      <c r="H6" s="42">
        <v>2503</v>
      </c>
      <c r="I6" s="42">
        <v>2585</v>
      </c>
      <c r="J6" s="42">
        <v>2594</v>
      </c>
      <c r="K6" s="42">
        <v>3513</v>
      </c>
      <c r="L6" s="60">
        <f>SUM(H6:K6)</f>
        <v>11195</v>
      </c>
      <c r="M6" s="42">
        <v>2265</v>
      </c>
      <c r="N6" s="42">
        <v>2392</v>
      </c>
      <c r="O6" s="42">
        <v>2543</v>
      </c>
      <c r="P6" s="42">
        <v>3677</v>
      </c>
      <c r="Q6" s="60">
        <f>SUM(M6:P6)</f>
        <v>10877</v>
      </c>
      <c r="R6" s="42">
        <v>2343</v>
      </c>
      <c r="S6" s="42"/>
      <c r="T6" s="42"/>
      <c r="U6" s="42"/>
      <c r="V6" s="60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2:33" x14ac:dyDescent="0.25">
      <c r="B7" s="2" t="s">
        <v>115</v>
      </c>
      <c r="C7" s="33">
        <v>-0.14599999999999999</v>
      </c>
      <c r="D7" s="33">
        <v>0.82699999999999996</v>
      </c>
      <c r="E7" s="33">
        <v>0.70699999999999996</v>
      </c>
      <c r="F7" s="33">
        <v>0.74199999999999999</v>
      </c>
      <c r="G7" s="55"/>
      <c r="H7" s="33">
        <v>0.86399999999999999</v>
      </c>
      <c r="I7" s="33">
        <v>3.2000000000000001E-2</v>
      </c>
      <c r="J7" s="33">
        <v>2.5999999999999999E-2</v>
      </c>
      <c r="K7" s="33">
        <v>0.03</v>
      </c>
      <c r="L7" s="55">
        <f>(L6-G6)/G6</f>
        <v>0.14421504497138185</v>
      </c>
      <c r="M7" s="33">
        <v>-9.5000000000000001E-2</v>
      </c>
      <c r="N7" s="33">
        <v>-7.4999999999999997E-2</v>
      </c>
      <c r="O7" s="33">
        <v>0.02</v>
      </c>
      <c r="P7" s="33">
        <v>4.7E-2</v>
      </c>
      <c r="Q7" s="55">
        <f>(Q6-L6)/L6</f>
        <v>-2.8405538186690487E-2</v>
      </c>
      <c r="R7" s="33">
        <v>3.4000000000000002E-2</v>
      </c>
      <c r="S7" s="33"/>
      <c r="T7" s="33"/>
      <c r="U7" s="33"/>
      <c r="V7" s="52"/>
      <c r="X7" s="2"/>
      <c r="Y7" s="2"/>
    </row>
    <row r="8" spans="2:33" x14ac:dyDescent="0.25">
      <c r="B8" s="1" t="s">
        <v>116</v>
      </c>
      <c r="C8" s="1">
        <v>186</v>
      </c>
      <c r="D8" s="1">
        <v>343</v>
      </c>
      <c r="E8" s="1">
        <v>336</v>
      </c>
      <c r="F8" s="1">
        <v>469</v>
      </c>
      <c r="G8" s="52">
        <f>SUM(C8:F8)</f>
        <v>1334</v>
      </c>
      <c r="H8" s="45">
        <v>392</v>
      </c>
      <c r="I8" s="1">
        <v>406</v>
      </c>
      <c r="J8" s="1">
        <v>412</v>
      </c>
      <c r="K8" s="1">
        <v>547</v>
      </c>
      <c r="L8" s="52">
        <f>SUM(H8:K8)</f>
        <v>1757</v>
      </c>
      <c r="M8" s="1">
        <v>387</v>
      </c>
      <c r="N8" s="1">
        <v>349</v>
      </c>
      <c r="O8" s="1">
        <v>376</v>
      </c>
      <c r="P8" s="1">
        <v>566</v>
      </c>
      <c r="Q8" s="52">
        <f>SUM(M8:P8)</f>
        <v>1678</v>
      </c>
      <c r="R8" s="1">
        <v>400</v>
      </c>
      <c r="V8" s="52"/>
    </row>
    <row r="9" spans="2:33" x14ac:dyDescent="0.25">
      <c r="B9" s="31" t="s">
        <v>21</v>
      </c>
      <c r="C9" s="32">
        <v>0.13900000000000001</v>
      </c>
      <c r="D9" s="32">
        <v>0.13700000000000001</v>
      </c>
      <c r="E9" s="32">
        <v>0.13300000000000001</v>
      </c>
      <c r="F9" s="32">
        <v>0.13800000000000001</v>
      </c>
      <c r="G9" s="56">
        <f>G8/G6</f>
        <v>0.13634505314799672</v>
      </c>
      <c r="H9" s="59">
        <v>0.157</v>
      </c>
      <c r="I9" s="32">
        <v>0.157</v>
      </c>
      <c r="J9" s="32">
        <v>0.159</v>
      </c>
      <c r="K9" s="32">
        <v>0.156</v>
      </c>
      <c r="L9" s="56">
        <f>L8/L6</f>
        <v>0.15694506476105405</v>
      </c>
      <c r="M9" s="32">
        <v>0.17100000000000001</v>
      </c>
      <c r="N9" s="32">
        <v>0.14599999999999999</v>
      </c>
      <c r="O9" s="32">
        <v>0.14799999999999999</v>
      </c>
      <c r="P9" s="32">
        <v>0.154</v>
      </c>
      <c r="Q9" s="56">
        <f>Q8/Q6</f>
        <v>0.15427047899236923</v>
      </c>
      <c r="R9" s="32">
        <v>0.17100000000000001</v>
      </c>
      <c r="S9" s="32"/>
      <c r="T9" s="32"/>
      <c r="U9" s="32"/>
      <c r="V9" s="54"/>
    </row>
    <row r="10" spans="2:33" x14ac:dyDescent="0.25">
      <c r="B10" s="1" t="s">
        <v>117</v>
      </c>
      <c r="C10" s="1">
        <v>-171</v>
      </c>
      <c r="D10" s="1">
        <v>-346</v>
      </c>
      <c r="E10" s="1">
        <v>-342</v>
      </c>
      <c r="F10" s="1">
        <v>-400</v>
      </c>
      <c r="G10" s="52">
        <f>SUM(C10:F10)</f>
        <v>-1259</v>
      </c>
      <c r="H10" s="1">
        <v>-362</v>
      </c>
      <c r="I10" s="1">
        <v>-376</v>
      </c>
      <c r="J10" s="1">
        <v>-358</v>
      </c>
      <c r="K10" s="1">
        <v>-433</v>
      </c>
      <c r="L10" s="52">
        <f>SUM(H10:K10)</f>
        <v>-1529</v>
      </c>
      <c r="M10" s="1">
        <v>-380</v>
      </c>
      <c r="N10" s="1">
        <v>-361</v>
      </c>
      <c r="O10" s="1">
        <v>-376</v>
      </c>
      <c r="P10" s="1">
        <v>-454</v>
      </c>
      <c r="Q10" s="52">
        <f>SUM(M10:P10)</f>
        <v>-1571</v>
      </c>
      <c r="R10" s="1">
        <v>-401</v>
      </c>
      <c r="V10" s="52"/>
    </row>
    <row r="11" spans="2:33" x14ac:dyDescent="0.25">
      <c r="B11" s="1" t="s">
        <v>22</v>
      </c>
      <c r="C11" s="1">
        <v>-10</v>
      </c>
      <c r="D11" s="1">
        <v>-18</v>
      </c>
      <c r="E11" s="1">
        <v>-18</v>
      </c>
      <c r="F11" s="1">
        <v>-18</v>
      </c>
      <c r="G11" s="52">
        <f>SUM(C11:F11)</f>
        <v>-64</v>
      </c>
      <c r="H11" s="1">
        <v>-18</v>
      </c>
      <c r="I11" s="1">
        <v>-21</v>
      </c>
      <c r="J11" s="1">
        <v>-19</v>
      </c>
      <c r="K11" s="1">
        <v>-20</v>
      </c>
      <c r="L11" s="52">
        <f>SUM(H11:K11)</f>
        <v>-78</v>
      </c>
      <c r="M11" s="1">
        <v>-24</v>
      </c>
      <c r="N11" s="1">
        <v>-25</v>
      </c>
      <c r="O11" s="1">
        <v>-28</v>
      </c>
      <c r="P11" s="1">
        <v>-26</v>
      </c>
      <c r="Q11" s="52">
        <f>SUM(M11:P11)</f>
        <v>-103</v>
      </c>
      <c r="R11" s="1">
        <v>-24</v>
      </c>
      <c r="V11" s="52"/>
    </row>
    <row r="12" spans="2:33" x14ac:dyDescent="0.25">
      <c r="B12" s="1" t="s">
        <v>118</v>
      </c>
      <c r="C12" s="1">
        <f t="shared" ref="C12:N12" si="0">SUM(C10:C11)</f>
        <v>-181</v>
      </c>
      <c r="D12" s="1">
        <f t="shared" si="0"/>
        <v>-364</v>
      </c>
      <c r="E12" s="1">
        <f t="shared" si="0"/>
        <v>-360</v>
      </c>
      <c r="F12" s="1">
        <f t="shared" si="0"/>
        <v>-418</v>
      </c>
      <c r="G12" s="52">
        <f>SUM(C12:F12)</f>
        <v>-1323</v>
      </c>
      <c r="H12" s="1">
        <f t="shared" si="0"/>
        <v>-380</v>
      </c>
      <c r="I12" s="1">
        <f t="shared" si="0"/>
        <v>-397</v>
      </c>
      <c r="J12" s="1">
        <f t="shared" si="0"/>
        <v>-377</v>
      </c>
      <c r="K12" s="1">
        <f t="shared" si="0"/>
        <v>-453</v>
      </c>
      <c r="L12" s="52">
        <f>SUM(H12:K12)</f>
        <v>-1607</v>
      </c>
      <c r="M12" s="1">
        <f t="shared" si="0"/>
        <v>-404</v>
      </c>
      <c r="N12" s="1">
        <f t="shared" si="0"/>
        <v>-386</v>
      </c>
      <c r="O12" s="1">
        <f>SUM(O10:O11)</f>
        <v>-404</v>
      </c>
      <c r="P12" s="1">
        <v>-479</v>
      </c>
      <c r="Q12" s="52">
        <f>SUM(M12:P12)</f>
        <v>-1673</v>
      </c>
      <c r="R12" s="1">
        <v>-425</v>
      </c>
      <c r="V12" s="52"/>
    </row>
    <row r="13" spans="2:33" x14ac:dyDescent="0.25">
      <c r="B13" s="31" t="s">
        <v>119</v>
      </c>
      <c r="C13" s="32">
        <v>-0.13500000000000001</v>
      </c>
      <c r="D13" s="32">
        <v>-0.14499999999999999</v>
      </c>
      <c r="E13" s="32">
        <v>-0.14199999999999999</v>
      </c>
      <c r="F13" s="32">
        <v>0.123</v>
      </c>
      <c r="G13" s="56">
        <f>G12/G6</f>
        <v>-0.13522076860179885</v>
      </c>
      <c r="H13" s="32">
        <v>-0.152</v>
      </c>
      <c r="I13" s="32">
        <v>-0.153</v>
      </c>
      <c r="J13" s="32">
        <v>-0.14499999999999999</v>
      </c>
      <c r="K13" s="32">
        <v>-0.129</v>
      </c>
      <c r="L13" s="56">
        <f>L12/L6</f>
        <v>-0.1435462259937472</v>
      </c>
      <c r="M13" s="32">
        <v>-0.17799999999999999</v>
      </c>
      <c r="N13" s="32">
        <v>-0.16200000000000001</v>
      </c>
      <c r="O13" s="32">
        <v>-0.159</v>
      </c>
      <c r="P13" s="32">
        <v>-0.13</v>
      </c>
      <c r="Q13" s="56">
        <f>Q12/Q6</f>
        <v>-0.15381079341730255</v>
      </c>
      <c r="R13" s="32">
        <v>0.18099999999999999</v>
      </c>
      <c r="S13" s="32"/>
      <c r="T13" s="32"/>
      <c r="U13" s="32"/>
      <c r="V13" s="54"/>
    </row>
    <row r="14" spans="2:33" x14ac:dyDescent="0.25">
      <c r="B14" s="1" t="s">
        <v>23</v>
      </c>
      <c r="C14" s="1">
        <v>6</v>
      </c>
      <c r="D14" s="1">
        <v>-21</v>
      </c>
      <c r="E14" s="1">
        <v>-24</v>
      </c>
      <c r="F14" s="1">
        <v>51</v>
      </c>
      <c r="G14" s="52">
        <f>SUM(C14:F14)</f>
        <v>12</v>
      </c>
      <c r="H14" s="1">
        <v>12</v>
      </c>
      <c r="I14" s="1">
        <v>9</v>
      </c>
      <c r="J14" s="1">
        <v>35</v>
      </c>
      <c r="K14" s="1">
        <v>94</v>
      </c>
      <c r="L14" s="52">
        <f>SUM(H14:K14)</f>
        <v>150</v>
      </c>
      <c r="M14" s="1">
        <v>-17</v>
      </c>
      <c r="N14" s="1">
        <v>-38</v>
      </c>
      <c r="O14" s="1">
        <v>-28</v>
      </c>
      <c r="P14" s="1">
        <v>87</v>
      </c>
      <c r="Q14" s="52">
        <f>SUM(M14:P14)</f>
        <v>4</v>
      </c>
      <c r="R14" s="1">
        <v>-25</v>
      </c>
      <c r="V14" s="52"/>
    </row>
    <row r="15" spans="2:33" x14ac:dyDescent="0.25">
      <c r="B15" s="36" t="s">
        <v>24</v>
      </c>
      <c r="C15" s="37">
        <v>4.0000000000000001E-3</v>
      </c>
      <c r="D15" s="37">
        <v>-8.0000000000000002E-3</v>
      </c>
      <c r="E15" s="37">
        <v>-8.9999999999999993E-3</v>
      </c>
      <c r="F15" s="37">
        <v>1.4999999999999999E-2</v>
      </c>
      <c r="G15" s="57">
        <f>G14/G6</f>
        <v>1.2264922322158627E-3</v>
      </c>
      <c r="H15" s="37">
        <v>5.0000000000000001E-3</v>
      </c>
      <c r="I15" s="37">
        <v>4.0000000000000001E-3</v>
      </c>
      <c r="J15" s="37">
        <v>1.2999999999999999E-2</v>
      </c>
      <c r="K15" s="37">
        <v>2.7E-2</v>
      </c>
      <c r="L15" s="57">
        <f>L14/L6</f>
        <v>1.3398838767306834E-2</v>
      </c>
      <c r="M15" s="37">
        <v>-7.0000000000000001E-3</v>
      </c>
      <c r="N15" s="37">
        <v>-1.6E-2</v>
      </c>
      <c r="O15" s="37">
        <v>-1.0999999999999999E-2</v>
      </c>
      <c r="P15" s="37">
        <v>2.4E-2</v>
      </c>
      <c r="Q15" s="57">
        <f>Q14/Q6</f>
        <v>3.6774846005332355E-4</v>
      </c>
      <c r="R15" s="37">
        <v>-1.0999999999999999E-2</v>
      </c>
      <c r="S15" s="37"/>
      <c r="T15" s="37"/>
      <c r="U15" s="37"/>
      <c r="V15" s="58"/>
    </row>
    <row r="16" spans="2:33" x14ac:dyDescent="0.25">
      <c r="B16" s="6" t="s">
        <v>29</v>
      </c>
      <c r="G16" s="52"/>
      <c r="L16" s="52"/>
      <c r="Q16" s="52"/>
      <c r="V16" s="52"/>
    </row>
    <row r="17" spans="2:22" x14ac:dyDescent="0.25">
      <c r="B17" s="30" t="s">
        <v>114</v>
      </c>
      <c r="C17" s="30">
        <v>435</v>
      </c>
      <c r="D17" s="30">
        <v>351</v>
      </c>
      <c r="E17" s="30">
        <v>416</v>
      </c>
      <c r="F17" s="30">
        <v>413</v>
      </c>
      <c r="G17" s="54">
        <f>SUM(C17:F17)</f>
        <v>1615</v>
      </c>
      <c r="H17" s="30">
        <v>379</v>
      </c>
      <c r="I17" s="30">
        <v>352</v>
      </c>
      <c r="J17" s="30">
        <v>457</v>
      </c>
      <c r="K17" s="30">
        <v>395</v>
      </c>
      <c r="L17" s="54">
        <f>SUM(H17:K17)</f>
        <v>1583</v>
      </c>
      <c r="M17" s="30">
        <v>351</v>
      </c>
      <c r="N17" s="30">
        <v>330</v>
      </c>
      <c r="O17" s="30">
        <v>417</v>
      </c>
      <c r="P17" s="30">
        <v>422</v>
      </c>
      <c r="Q17" s="54">
        <f>SUM(M17:P17)</f>
        <v>1520</v>
      </c>
      <c r="R17" s="30">
        <v>366</v>
      </c>
      <c r="S17" s="30"/>
      <c r="T17" s="30"/>
      <c r="U17" s="30"/>
      <c r="V17" s="54"/>
    </row>
    <row r="18" spans="2:22" x14ac:dyDescent="0.25">
      <c r="B18" s="2" t="s">
        <v>115</v>
      </c>
      <c r="C18" s="33">
        <v>0.20499999999999999</v>
      </c>
      <c r="D18" s="33">
        <v>6.2E-2</v>
      </c>
      <c r="E18" s="33">
        <v>0.04</v>
      </c>
      <c r="F18" s="33">
        <v>-5.2999999999999999E-2</v>
      </c>
      <c r="G18" s="55"/>
      <c r="H18" s="33">
        <v>-0.13</v>
      </c>
      <c r="I18" s="33">
        <v>3.0000000000000001E-3</v>
      </c>
      <c r="J18" s="33">
        <v>9.8000000000000004E-2</v>
      </c>
      <c r="K18" s="33">
        <v>-4.3999999999999997E-2</v>
      </c>
      <c r="L18" s="55">
        <f>(L17-G17)/G17</f>
        <v>-1.9814241486068113E-2</v>
      </c>
      <c r="M18" s="33">
        <v>-7.4999999999999997E-2</v>
      </c>
      <c r="N18" s="33">
        <v>-6.2E-2</v>
      </c>
      <c r="O18" s="33">
        <v>-8.8999999999999996E-2</v>
      </c>
      <c r="P18" s="33">
        <v>6.9000000000000006E-2</v>
      </c>
      <c r="Q18" s="55">
        <f>(Q17-L17)/L17</f>
        <v>-3.9797852179406193E-2</v>
      </c>
      <c r="R18" s="33">
        <v>4.3999999999999997E-2</v>
      </c>
      <c r="S18" s="33"/>
      <c r="T18" s="33"/>
      <c r="U18" s="33"/>
      <c r="V18" s="52"/>
    </row>
    <row r="19" spans="2:22" x14ac:dyDescent="0.25">
      <c r="B19" s="1" t="s">
        <v>116</v>
      </c>
      <c r="C19" s="1">
        <v>73</v>
      </c>
      <c r="D19" s="1">
        <v>58</v>
      </c>
      <c r="E19" s="1">
        <v>67</v>
      </c>
      <c r="F19" s="1">
        <v>78</v>
      </c>
      <c r="G19" s="52">
        <f>SUM(C19:F19)</f>
        <v>276</v>
      </c>
      <c r="H19" s="1">
        <v>72</v>
      </c>
      <c r="I19" s="1">
        <v>66</v>
      </c>
      <c r="J19" s="1">
        <v>71</v>
      </c>
      <c r="K19" s="1">
        <v>72</v>
      </c>
      <c r="L19" s="52">
        <f>SUM(H19:K19)</f>
        <v>281</v>
      </c>
      <c r="M19" s="1">
        <v>65</v>
      </c>
      <c r="N19" s="1">
        <v>59</v>
      </c>
      <c r="O19" s="1">
        <v>63</v>
      </c>
      <c r="P19" s="1">
        <v>73</v>
      </c>
      <c r="Q19" s="52">
        <f>SUM(M19:P19)</f>
        <v>260</v>
      </c>
      <c r="R19" s="1">
        <v>67</v>
      </c>
      <c r="V19" s="52"/>
    </row>
    <row r="20" spans="2:22" x14ac:dyDescent="0.25">
      <c r="B20" s="31" t="s">
        <v>21</v>
      </c>
      <c r="C20" s="32">
        <v>0.16700000000000001</v>
      </c>
      <c r="D20" s="32">
        <v>0.16600000000000001</v>
      </c>
      <c r="E20" s="32">
        <v>0.161</v>
      </c>
      <c r="F20" s="32">
        <v>0.19</v>
      </c>
      <c r="G20" s="56">
        <f>G19/G17</f>
        <v>0.17089783281733747</v>
      </c>
      <c r="H20" s="32">
        <v>0.189</v>
      </c>
      <c r="I20" s="32">
        <v>0.188</v>
      </c>
      <c r="J20" s="32">
        <v>0.155</v>
      </c>
      <c r="K20" s="32">
        <v>0.183</v>
      </c>
      <c r="L20" s="56">
        <f>L19/L17</f>
        <v>0.17751105495893874</v>
      </c>
      <c r="M20" s="32">
        <v>0.187</v>
      </c>
      <c r="N20" s="32">
        <v>0.17799999999999999</v>
      </c>
      <c r="O20" s="32">
        <v>0.15</v>
      </c>
      <c r="P20" s="32">
        <v>0.17399999999999999</v>
      </c>
      <c r="Q20" s="56">
        <f>Q19/Q17</f>
        <v>0.17105263157894737</v>
      </c>
      <c r="R20" s="32">
        <v>0.183</v>
      </c>
      <c r="S20" s="32"/>
      <c r="T20" s="32"/>
      <c r="U20" s="32"/>
      <c r="V20" s="54"/>
    </row>
    <row r="21" spans="2:22" x14ac:dyDescent="0.25">
      <c r="B21" s="1" t="s">
        <v>117</v>
      </c>
      <c r="C21" s="1">
        <v>-38</v>
      </c>
      <c r="D21" s="1">
        <v>-35</v>
      </c>
      <c r="E21" s="1">
        <v>-40</v>
      </c>
      <c r="F21" s="1">
        <v>-39</v>
      </c>
      <c r="G21" s="52">
        <f>SUM(C21:F21)</f>
        <v>-152</v>
      </c>
      <c r="H21" s="1">
        <v>-45</v>
      </c>
      <c r="I21" s="1">
        <v>-42</v>
      </c>
      <c r="J21" s="1">
        <v>-40</v>
      </c>
      <c r="K21" s="1">
        <v>-44</v>
      </c>
      <c r="L21" s="52">
        <f>SUM(H21:K21)</f>
        <v>-171</v>
      </c>
      <c r="M21" s="1">
        <v>-45</v>
      </c>
      <c r="N21" s="1">
        <v>-36</v>
      </c>
      <c r="O21" s="1">
        <v>-45</v>
      </c>
      <c r="P21" s="1">
        <v>-46</v>
      </c>
      <c r="Q21" s="52">
        <f>SUM(M21:P21)</f>
        <v>-172</v>
      </c>
      <c r="R21" s="1">
        <v>-43</v>
      </c>
      <c r="V21" s="52"/>
    </row>
    <row r="22" spans="2:22" x14ac:dyDescent="0.25">
      <c r="B22" s="1" t="s">
        <v>22</v>
      </c>
      <c r="C22" s="1">
        <v>-2</v>
      </c>
      <c r="D22" s="1">
        <v>-2</v>
      </c>
      <c r="E22" s="1">
        <v>-2</v>
      </c>
      <c r="F22" s="1">
        <v>-2</v>
      </c>
      <c r="G22" s="52">
        <f>SUM(C22:F22)</f>
        <v>-8</v>
      </c>
      <c r="H22" s="1">
        <v>-2</v>
      </c>
      <c r="I22" s="1">
        <v>-2</v>
      </c>
      <c r="J22" s="1">
        <v>-2</v>
      </c>
      <c r="K22" s="1">
        <v>-2</v>
      </c>
      <c r="L22" s="52">
        <f>SUM(H22:K22)</f>
        <v>-8</v>
      </c>
      <c r="M22" s="1">
        <v>-4</v>
      </c>
      <c r="N22" s="1">
        <v>-4</v>
      </c>
      <c r="O22" s="1">
        <v>-4</v>
      </c>
      <c r="P22" s="1">
        <v>-3</v>
      </c>
      <c r="Q22" s="52">
        <f>SUM(M22:P22)</f>
        <v>-15</v>
      </c>
      <c r="R22" s="1">
        <v>-4</v>
      </c>
      <c r="V22" s="52"/>
    </row>
    <row r="23" spans="2:22" x14ac:dyDescent="0.25">
      <c r="B23" s="1" t="s">
        <v>118</v>
      </c>
      <c r="C23" s="1">
        <f t="shared" ref="C23" si="1">SUM(C21:C22)</f>
        <v>-40</v>
      </c>
      <c r="D23" s="1">
        <f t="shared" ref="D23" si="2">SUM(D21:D22)</f>
        <v>-37</v>
      </c>
      <c r="E23" s="1">
        <f t="shared" ref="E23" si="3">SUM(E21:E22)</f>
        <v>-42</v>
      </c>
      <c r="F23" s="1">
        <f t="shared" ref="F23" si="4">SUM(F21:F22)</f>
        <v>-41</v>
      </c>
      <c r="G23" s="52">
        <f>SUM(C23:F23)</f>
        <v>-160</v>
      </c>
      <c r="H23" s="1">
        <f t="shared" ref="H23" si="5">SUM(H21:H22)</f>
        <v>-47</v>
      </c>
      <c r="I23" s="1">
        <f t="shared" ref="I23" si="6">SUM(I21:I22)</f>
        <v>-44</v>
      </c>
      <c r="J23" s="1">
        <f t="shared" ref="J23" si="7">SUM(J21:J22)</f>
        <v>-42</v>
      </c>
      <c r="K23" s="1">
        <f t="shared" ref="K23" si="8">SUM(K21:K22)</f>
        <v>-46</v>
      </c>
      <c r="L23" s="52">
        <f>SUM(H23:K23)</f>
        <v>-179</v>
      </c>
      <c r="M23" s="1">
        <f t="shared" ref="M23" si="9">SUM(M21:M22)</f>
        <v>-49</v>
      </c>
      <c r="N23" s="1">
        <f t="shared" ref="N23" si="10">SUM(N21:N22)</f>
        <v>-40</v>
      </c>
      <c r="O23" s="1">
        <f>SUM(O21:O22)</f>
        <v>-49</v>
      </c>
      <c r="P23" s="1">
        <v>-50</v>
      </c>
      <c r="Q23" s="52">
        <f>SUM(M23:P23)</f>
        <v>-188</v>
      </c>
      <c r="R23" s="1">
        <v>-48</v>
      </c>
      <c r="V23" s="52"/>
    </row>
    <row r="24" spans="2:22" x14ac:dyDescent="0.25">
      <c r="B24" s="31" t="s">
        <v>119</v>
      </c>
      <c r="C24" s="32">
        <v>-9.1999999999999998E-2</v>
      </c>
      <c r="D24" s="32">
        <v>-0.105</v>
      </c>
      <c r="E24" s="32">
        <v>-0.10100000000000001</v>
      </c>
      <c r="F24" s="32">
        <v>-0.1</v>
      </c>
      <c r="G24" s="56">
        <f>G23/G17</f>
        <v>-9.9071207430340563E-2</v>
      </c>
      <c r="H24" s="32">
        <v>-0.125</v>
      </c>
      <c r="I24" s="32">
        <v>-0.126</v>
      </c>
      <c r="J24" s="32">
        <v>-9.1999999999999998E-2</v>
      </c>
      <c r="K24" s="32">
        <v>-0.11799999999999999</v>
      </c>
      <c r="L24" s="56">
        <f>L23/L17</f>
        <v>-0.11307643714466203</v>
      </c>
      <c r="M24" s="32">
        <v>-0.13700000000000001</v>
      </c>
      <c r="N24" s="32">
        <v>-0.121</v>
      </c>
      <c r="O24" s="32">
        <v>-0.115</v>
      </c>
      <c r="P24" s="32">
        <v>-0.11799999999999999</v>
      </c>
      <c r="Q24" s="56">
        <f>Q23/Q17</f>
        <v>-0.12368421052631579</v>
      </c>
      <c r="R24" s="32">
        <v>-0.13</v>
      </c>
      <c r="S24" s="32"/>
      <c r="T24" s="32"/>
      <c r="U24" s="32"/>
      <c r="V24" s="54"/>
    </row>
    <row r="25" spans="2:22" x14ac:dyDescent="0.25">
      <c r="B25" s="1" t="s">
        <v>23</v>
      </c>
      <c r="C25" s="1">
        <v>33</v>
      </c>
      <c r="D25" s="1">
        <v>22</v>
      </c>
      <c r="E25" s="1">
        <v>25</v>
      </c>
      <c r="F25" s="1">
        <v>37</v>
      </c>
      <c r="G25" s="52">
        <f>SUM(C25:F25)</f>
        <v>117</v>
      </c>
      <c r="H25" s="1">
        <v>24</v>
      </c>
      <c r="I25" s="1">
        <v>22</v>
      </c>
      <c r="J25" s="1">
        <v>29</v>
      </c>
      <c r="K25" s="1">
        <v>26</v>
      </c>
      <c r="L25" s="52">
        <f>SUM(H25:K25)</f>
        <v>101</v>
      </c>
      <c r="M25" s="1">
        <v>17</v>
      </c>
      <c r="N25" s="1">
        <v>19</v>
      </c>
      <c r="O25" s="1">
        <v>14</v>
      </c>
      <c r="P25" s="1">
        <v>24</v>
      </c>
      <c r="Q25" s="52">
        <f>SUM(M25:P25)</f>
        <v>74</v>
      </c>
      <c r="R25" s="1">
        <v>19</v>
      </c>
      <c r="V25" s="52"/>
    </row>
    <row r="26" spans="2:22" x14ac:dyDescent="0.25">
      <c r="B26" s="36" t="s">
        <v>24</v>
      </c>
      <c r="C26" s="37">
        <v>7.4999999999999997E-2</v>
      </c>
      <c r="D26" s="37">
        <v>6.0999999999999999E-2</v>
      </c>
      <c r="E26" s="37">
        <v>0.06</v>
      </c>
      <c r="F26" s="37">
        <v>0.09</v>
      </c>
      <c r="G26" s="57">
        <f>G25/G17</f>
        <v>7.2445820433436531E-2</v>
      </c>
      <c r="H26" s="37">
        <v>6.4000000000000001E-2</v>
      </c>
      <c r="I26" s="37">
        <v>6.2E-2</v>
      </c>
      <c r="J26" s="37">
        <v>6.2E-2</v>
      </c>
      <c r="K26" s="37">
        <v>6.5000000000000002E-2</v>
      </c>
      <c r="L26" s="57">
        <f>L25/L17</f>
        <v>6.3802905874921031E-2</v>
      </c>
      <c r="M26" s="37">
        <v>0.05</v>
      </c>
      <c r="N26" s="37">
        <v>5.7000000000000002E-2</v>
      </c>
      <c r="O26" s="37">
        <v>3.5000000000000003E-2</v>
      </c>
      <c r="P26" s="37">
        <v>5.6000000000000001E-2</v>
      </c>
      <c r="Q26" s="57">
        <f>Q25/Q17</f>
        <v>4.8684210526315788E-2</v>
      </c>
      <c r="R26" s="37">
        <v>5.2999999999999999E-2</v>
      </c>
      <c r="S26" s="37"/>
      <c r="T26" s="37"/>
      <c r="U26" s="37"/>
      <c r="V26" s="58"/>
    </row>
    <row r="27" spans="2:22" x14ac:dyDescent="0.25">
      <c r="B27" s="6" t="s">
        <v>69</v>
      </c>
      <c r="G27" s="52"/>
      <c r="L27" s="52"/>
      <c r="Q27" s="52"/>
      <c r="V27" s="52"/>
    </row>
    <row r="28" spans="2:22" x14ac:dyDescent="0.25">
      <c r="B28" s="30" t="s">
        <v>114</v>
      </c>
      <c r="C28" s="30">
        <v>825</v>
      </c>
      <c r="D28" s="30">
        <v>713</v>
      </c>
      <c r="E28" s="30">
        <v>837</v>
      </c>
      <c r="F28" s="30">
        <v>832</v>
      </c>
      <c r="G28" s="54">
        <f>SUM(C28:F28)</f>
        <v>3207</v>
      </c>
      <c r="H28" s="30">
        <v>734</v>
      </c>
      <c r="I28" s="30">
        <v>695</v>
      </c>
      <c r="J28" s="30">
        <v>823</v>
      </c>
      <c r="K28" s="30">
        <v>826</v>
      </c>
      <c r="L28" s="54">
        <f>SUM(H28:K28)</f>
        <v>3078</v>
      </c>
      <c r="M28" s="30">
        <v>630</v>
      </c>
      <c r="N28" s="30">
        <v>696</v>
      </c>
      <c r="O28" s="30">
        <v>795</v>
      </c>
      <c r="P28" s="30">
        <v>786</v>
      </c>
      <c r="Q28" s="54">
        <f>SUM(M28:P28)</f>
        <v>2907</v>
      </c>
      <c r="R28" s="30">
        <v>660</v>
      </c>
      <c r="S28" s="30"/>
      <c r="T28" s="30"/>
      <c r="U28" s="30"/>
      <c r="V28" s="54"/>
    </row>
    <row r="29" spans="2:22" x14ac:dyDescent="0.25">
      <c r="B29" s="2" t="s">
        <v>115</v>
      </c>
      <c r="C29" s="33">
        <v>0.19800000000000001</v>
      </c>
      <c r="D29" s="33">
        <v>7.0000000000000001E-3</v>
      </c>
      <c r="E29" s="33">
        <v>7.0000000000000001E-3</v>
      </c>
      <c r="F29" s="33">
        <v>-7.0999999999999994E-2</v>
      </c>
      <c r="G29" s="55"/>
      <c r="H29" s="33">
        <v>-0.111</v>
      </c>
      <c r="I29" s="33">
        <v>-2.4E-2</v>
      </c>
      <c r="J29" s="33">
        <v>-1.7000000000000001E-2</v>
      </c>
      <c r="K29" s="33">
        <v>-7.0000000000000001E-3</v>
      </c>
      <c r="L29" s="55">
        <f>(L28-G28)/G28</f>
        <v>-4.0224508886810104E-2</v>
      </c>
      <c r="M29" s="33">
        <v>-0.14199999999999999</v>
      </c>
      <c r="N29" s="33">
        <v>1E-3</v>
      </c>
      <c r="O29" s="33">
        <v>-3.3000000000000002E-2</v>
      </c>
      <c r="P29" s="33">
        <v>-4.9000000000000002E-2</v>
      </c>
      <c r="Q29" s="55">
        <f>(Q28-L28)/L28</f>
        <v>-5.5555555555555552E-2</v>
      </c>
      <c r="R29" s="33">
        <v>4.9000000000000002E-2</v>
      </c>
      <c r="S29" s="33"/>
      <c r="T29" s="33"/>
      <c r="U29" s="33"/>
      <c r="V29" s="52"/>
    </row>
    <row r="30" spans="2:22" x14ac:dyDescent="0.25">
      <c r="B30" s="1" t="s">
        <v>116</v>
      </c>
      <c r="C30" s="1">
        <v>46</v>
      </c>
      <c r="D30" s="1">
        <v>37</v>
      </c>
      <c r="E30" s="1">
        <v>41</v>
      </c>
      <c r="F30" s="1">
        <v>47</v>
      </c>
      <c r="G30" s="52">
        <f>SUM(C30:F30)</f>
        <v>171</v>
      </c>
      <c r="H30" s="1">
        <v>44</v>
      </c>
      <c r="I30" s="1">
        <v>38</v>
      </c>
      <c r="J30" s="1">
        <v>41</v>
      </c>
      <c r="K30" s="1">
        <v>45</v>
      </c>
      <c r="L30" s="52">
        <f>SUM(H30:K30)</f>
        <v>168</v>
      </c>
      <c r="M30" s="1">
        <v>35</v>
      </c>
      <c r="N30" s="1">
        <v>39</v>
      </c>
      <c r="O30" s="1">
        <v>37</v>
      </c>
      <c r="P30" s="1">
        <v>44</v>
      </c>
      <c r="Q30" s="52">
        <f>SUM(M30:P30)</f>
        <v>155</v>
      </c>
      <c r="R30" s="1">
        <v>37</v>
      </c>
      <c r="V30" s="52"/>
    </row>
    <row r="31" spans="2:22" x14ac:dyDescent="0.25">
      <c r="B31" s="31" t="s">
        <v>21</v>
      </c>
      <c r="C31" s="32">
        <v>5.6000000000000001E-2</v>
      </c>
      <c r="D31" s="32">
        <v>5.1999999999999998E-2</v>
      </c>
      <c r="E31" s="32">
        <v>4.9000000000000002E-2</v>
      </c>
      <c r="F31" s="32">
        <v>5.7000000000000002E-2</v>
      </c>
      <c r="G31" s="56">
        <f>G30/G28</f>
        <v>5.3320860617399442E-2</v>
      </c>
      <c r="H31" s="32">
        <v>0.06</v>
      </c>
      <c r="I31" s="32">
        <v>5.5E-2</v>
      </c>
      <c r="J31" s="32">
        <v>0.05</v>
      </c>
      <c r="K31" s="32">
        <v>5.5E-2</v>
      </c>
      <c r="L31" s="56">
        <f>L30/L28</f>
        <v>5.4580896686159841E-2</v>
      </c>
      <c r="M31" s="32">
        <v>5.5E-2</v>
      </c>
      <c r="N31" s="32">
        <v>5.6000000000000001E-2</v>
      </c>
      <c r="O31" s="32">
        <v>4.5999999999999999E-2</v>
      </c>
      <c r="P31" s="32">
        <v>5.5E-2</v>
      </c>
      <c r="Q31" s="56">
        <f>Q30/Q28</f>
        <v>5.3319573443412455E-2</v>
      </c>
      <c r="R31" s="32">
        <v>5.7000000000000002E-2</v>
      </c>
      <c r="S31" s="32"/>
      <c r="T31" s="32"/>
      <c r="U31" s="32"/>
      <c r="V31" s="54"/>
    </row>
    <row r="32" spans="2:22" x14ac:dyDescent="0.25">
      <c r="B32" s="1" t="s">
        <v>117</v>
      </c>
      <c r="C32" s="1">
        <v>-28</v>
      </c>
      <c r="D32" s="1">
        <v>-22</v>
      </c>
      <c r="E32" s="1">
        <v>-26</v>
      </c>
      <c r="F32" s="1">
        <v>-27</v>
      </c>
      <c r="G32" s="52">
        <f>SUM(C32:F32)</f>
        <v>-103</v>
      </c>
      <c r="H32" s="1">
        <v>-29</v>
      </c>
      <c r="I32" s="1">
        <v>-25</v>
      </c>
      <c r="J32" s="1">
        <v>-28</v>
      </c>
      <c r="K32" s="1">
        <v>-29</v>
      </c>
      <c r="L32" s="52">
        <f>SUM(H32:K32)</f>
        <v>-111</v>
      </c>
      <c r="M32" s="1">
        <v>-31</v>
      </c>
      <c r="N32" s="1">
        <v>-25</v>
      </c>
      <c r="O32" s="1">
        <v>-30</v>
      </c>
      <c r="P32" s="1">
        <v>-31</v>
      </c>
      <c r="Q32" s="52">
        <f>SUM(M32:P32)</f>
        <v>-117</v>
      </c>
      <c r="R32" s="1">
        <v>-28</v>
      </c>
      <c r="V32" s="52"/>
    </row>
    <row r="33" spans="2:22" x14ac:dyDescent="0.25">
      <c r="B33" s="1" t="s">
        <v>22</v>
      </c>
      <c r="C33" s="1">
        <v>-2</v>
      </c>
      <c r="D33" s="1">
        <v>-2</v>
      </c>
      <c r="E33" s="1">
        <v>-1</v>
      </c>
      <c r="F33" s="1">
        <v>-1</v>
      </c>
      <c r="G33" s="52">
        <f>SUM(C33:F33)</f>
        <v>-6</v>
      </c>
      <c r="H33" s="1">
        <v>-2</v>
      </c>
      <c r="I33" s="1">
        <v>-2</v>
      </c>
      <c r="J33" s="1">
        <v>-2</v>
      </c>
      <c r="K33" s="1">
        <v>-2</v>
      </c>
      <c r="L33" s="52">
        <f>SUM(H33:K33)</f>
        <v>-8</v>
      </c>
      <c r="M33" s="1">
        <v>-3</v>
      </c>
      <c r="N33" s="1">
        <v>-3</v>
      </c>
      <c r="O33" s="1">
        <v>-3</v>
      </c>
      <c r="P33" s="1">
        <v>-3</v>
      </c>
      <c r="Q33" s="52">
        <f>SUM(M33:P33)</f>
        <v>-12</v>
      </c>
      <c r="R33" s="1">
        <v>-4</v>
      </c>
      <c r="V33" s="52"/>
    </row>
    <row r="34" spans="2:22" x14ac:dyDescent="0.25">
      <c r="B34" s="1" t="s">
        <v>118</v>
      </c>
      <c r="C34" s="1">
        <f t="shared" ref="C34" si="11">SUM(C32:C33)</f>
        <v>-30</v>
      </c>
      <c r="D34" s="1">
        <f t="shared" ref="D34" si="12">SUM(D32:D33)</f>
        <v>-24</v>
      </c>
      <c r="E34" s="1">
        <f t="shared" ref="E34" si="13">SUM(E32:E33)</f>
        <v>-27</v>
      </c>
      <c r="F34" s="1">
        <f t="shared" ref="F34" si="14">SUM(F32:F33)</f>
        <v>-28</v>
      </c>
      <c r="G34" s="52">
        <f>SUM(C34:F34)</f>
        <v>-109</v>
      </c>
      <c r="H34" s="1">
        <f t="shared" ref="H34" si="15">SUM(H32:H33)</f>
        <v>-31</v>
      </c>
      <c r="I34" s="1">
        <f t="shared" ref="I34" si="16">SUM(I32:I33)</f>
        <v>-27</v>
      </c>
      <c r="J34" s="1">
        <f t="shared" ref="J34" si="17">SUM(J32:J33)</f>
        <v>-30</v>
      </c>
      <c r="K34" s="1">
        <f t="shared" ref="K34" si="18">SUM(K32:K33)</f>
        <v>-31</v>
      </c>
      <c r="L34" s="52">
        <f>SUM(H34:K34)</f>
        <v>-119</v>
      </c>
      <c r="M34" s="1">
        <f t="shared" ref="M34" si="19">SUM(M32:M33)</f>
        <v>-34</v>
      </c>
      <c r="N34" s="1">
        <f t="shared" ref="N34" si="20">SUM(N32:N33)</f>
        <v>-28</v>
      </c>
      <c r="O34" s="1">
        <f>SUM(O32:O33)</f>
        <v>-33</v>
      </c>
      <c r="P34" s="1">
        <v>-34</v>
      </c>
      <c r="Q34" s="52">
        <f>SUM(M34:P34)</f>
        <v>-129</v>
      </c>
      <c r="R34" s="1">
        <v>-32</v>
      </c>
      <c r="V34" s="52"/>
    </row>
    <row r="35" spans="2:22" x14ac:dyDescent="0.25">
      <c r="B35" s="31" t="s">
        <v>119</v>
      </c>
      <c r="C35" s="32">
        <v>-3.5999999999999997E-2</v>
      </c>
      <c r="D35" s="32">
        <v>-3.3000000000000002E-2</v>
      </c>
      <c r="E35" s="32">
        <v>-3.3000000000000002E-2</v>
      </c>
      <c r="F35" s="32">
        <v>-3.4000000000000002E-2</v>
      </c>
      <c r="G35" s="56">
        <f>G34/G28</f>
        <v>-3.3988150919862799E-2</v>
      </c>
      <c r="H35" s="32">
        <v>-4.2000000000000003E-2</v>
      </c>
      <c r="I35" s="32">
        <v>-3.9E-2</v>
      </c>
      <c r="J35" s="32">
        <v>-3.6999999999999998E-2</v>
      </c>
      <c r="K35" s="32">
        <v>-3.7999999999999999E-2</v>
      </c>
      <c r="L35" s="56">
        <f>L34/L28</f>
        <v>-3.8661468486029887E-2</v>
      </c>
      <c r="M35" s="32">
        <v>-5.3999999999999999E-2</v>
      </c>
      <c r="N35" s="32">
        <v>-0.04</v>
      </c>
      <c r="O35" s="32">
        <v>-4.1000000000000002E-2</v>
      </c>
      <c r="P35" s="32">
        <v>-4.2999999999999997E-2</v>
      </c>
      <c r="Q35" s="56">
        <f>Q34/Q28</f>
        <v>-4.4375644994840042E-2</v>
      </c>
      <c r="R35" s="32">
        <v>-4.8000000000000001E-2</v>
      </c>
      <c r="S35" s="32"/>
      <c r="T35" s="32"/>
      <c r="U35" s="32"/>
      <c r="V35" s="54"/>
    </row>
    <row r="36" spans="2:22" x14ac:dyDescent="0.25">
      <c r="B36" s="1" t="s">
        <v>23</v>
      </c>
      <c r="C36" s="1">
        <v>17</v>
      </c>
      <c r="D36" s="1">
        <v>14</v>
      </c>
      <c r="E36" s="1">
        <v>14</v>
      </c>
      <c r="F36" s="1">
        <v>19</v>
      </c>
      <c r="G36" s="52">
        <f>SUM(C36:F36)</f>
        <v>64</v>
      </c>
      <c r="H36" s="1">
        <v>13</v>
      </c>
      <c r="I36" s="1">
        <v>11</v>
      </c>
      <c r="J36" s="1">
        <v>11</v>
      </c>
      <c r="K36" s="1">
        <v>14</v>
      </c>
      <c r="L36" s="52">
        <f>SUM(H36:K36)</f>
        <v>49</v>
      </c>
      <c r="M36" s="1">
        <v>1</v>
      </c>
      <c r="N36" s="1">
        <v>12</v>
      </c>
      <c r="O36" s="1">
        <v>4</v>
      </c>
      <c r="P36" s="1">
        <v>9</v>
      </c>
      <c r="Q36" s="52">
        <f>SUM(M36:P36)</f>
        <v>26</v>
      </c>
      <c r="R36" s="1">
        <v>6</v>
      </c>
      <c r="V36" s="52"/>
    </row>
    <row r="37" spans="2:22" x14ac:dyDescent="0.25">
      <c r="B37" s="36" t="s">
        <v>24</v>
      </c>
      <c r="C37" s="37">
        <v>0.02</v>
      </c>
      <c r="D37" s="37">
        <v>1.9E-2</v>
      </c>
      <c r="E37" s="37">
        <v>1.6E-2</v>
      </c>
      <c r="F37" s="37">
        <v>2.3E-2</v>
      </c>
      <c r="G37" s="57">
        <f>G36/G28</f>
        <v>1.9956345494231368E-2</v>
      </c>
      <c r="H37" s="37">
        <v>1.7999999999999999E-2</v>
      </c>
      <c r="I37" s="37">
        <v>1.6E-2</v>
      </c>
      <c r="J37" s="37">
        <v>1.4E-2</v>
      </c>
      <c r="K37" s="37">
        <v>1.7000000000000001E-2</v>
      </c>
      <c r="L37" s="57">
        <f>L36/L28</f>
        <v>1.5919428200129954E-2</v>
      </c>
      <c r="M37" s="37">
        <v>2E-3</v>
      </c>
      <c r="N37" s="37">
        <v>1.7000000000000001E-2</v>
      </c>
      <c r="O37" s="37">
        <v>5.0000000000000001E-3</v>
      </c>
      <c r="P37" s="37">
        <v>1.2E-2</v>
      </c>
      <c r="Q37" s="57">
        <f>Q36/Q28</f>
        <v>8.9439284485724121E-3</v>
      </c>
      <c r="R37" s="37">
        <v>8.9999999999999993E-3</v>
      </c>
      <c r="S37" s="37"/>
      <c r="T37" s="37"/>
      <c r="U37" s="37"/>
      <c r="V37" s="58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53C43-FE11-6145-8778-82B739ECADCE}">
  <dimension ref="C3:F5"/>
  <sheetViews>
    <sheetView showGridLines="0" tabSelected="1" workbookViewId="0">
      <selection activeCell="F16" sqref="F16"/>
    </sheetView>
  </sheetViews>
  <sheetFormatPr baseColWidth="10" defaultRowHeight="16" x14ac:dyDescent="0.2"/>
  <cols>
    <col min="3" max="3" width="42.83203125" bestFit="1" customWidth="1"/>
    <col min="4" max="4" width="28.5" bestFit="1" customWidth="1"/>
    <col min="5" max="6" width="27.83203125" bestFit="1" customWidth="1"/>
    <col min="7" max="7" width="11" bestFit="1" customWidth="1"/>
  </cols>
  <sheetData>
    <row r="3" spans="3:6" ht="92" x14ac:dyDescent="1">
      <c r="C3" s="27"/>
      <c r="D3" s="29">
        <v>2025</v>
      </c>
      <c r="E3" s="29">
        <v>2026</v>
      </c>
      <c r="F3" s="29">
        <v>2027</v>
      </c>
    </row>
    <row r="4" spans="3:6" ht="92" x14ac:dyDescent="1">
      <c r="C4" s="29" t="s">
        <v>105</v>
      </c>
      <c r="D4" s="28">
        <f>Modell!$B$10/Modell!AA15</f>
        <v>8.5910309388599053</v>
      </c>
      <c r="E4" s="28">
        <f>Modell!$B$10/Modell!AB15</f>
        <v>5.4491714514178593</v>
      </c>
      <c r="F4" s="28">
        <f>Modell!$B$10/Modell!AC15</f>
        <v>4.7972339100177299</v>
      </c>
    </row>
    <row r="5" spans="3:6" ht="92" x14ac:dyDescent="1">
      <c r="C5" s="29" t="s">
        <v>106</v>
      </c>
      <c r="D5" s="28">
        <f>Modell!B5/Modell!AA20</f>
        <v>23.390549636234347</v>
      </c>
      <c r="E5" s="28">
        <f>Modell!B5/Modell!AB20</f>
        <v>9.3097428116558572</v>
      </c>
      <c r="F5" s="28">
        <f>Modell!B5/Modell!AC20</f>
        <v>7.607880515714287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Info</vt:lpstr>
      <vt:lpstr>Modell</vt:lpstr>
      <vt:lpstr>Land</vt:lpstr>
      <vt:lpstr>Segment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2024-12-12T11:54:48Z</dcterms:created>
  <dcterms:modified xsi:type="dcterms:W3CDTF">2025-06-19T07:14:11Z</dcterms:modified>
</cp:coreProperties>
</file>