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60591EAE-8DB3-EC49-BBBE-614AF90BBFE6}" xr6:coauthVersionLast="47" xr6:coauthVersionMax="47" xr10:uidLastSave="{00000000-0000-0000-0000-000000000000}"/>
  <bookViews>
    <workbookView xWindow="24580" yWindow="540" windowWidth="26620" windowHeight="26700" activeTab="1" xr2:uid="{6F97247D-DFFC-694E-BCA1-1702AEAD64F0}"/>
  </bookViews>
  <sheets>
    <sheet name="Info" sheetId="1" r:id="rId1"/>
    <sheet name="Modell" sheetId="2" r:id="rId2"/>
    <sheet name="Seg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2" l="1"/>
  <c r="R21" i="2"/>
  <c r="S21" i="2"/>
  <c r="Q22" i="2"/>
  <c r="R22" i="2"/>
  <c r="S22" i="2"/>
  <c r="Q23" i="2"/>
  <c r="R23" i="2"/>
  <c r="S23" i="2"/>
  <c r="Q24" i="2"/>
  <c r="R24" i="2"/>
  <c r="S24" i="2"/>
  <c r="P24" i="2"/>
  <c r="V24" i="4"/>
  <c r="V21" i="4"/>
  <c r="V18" i="4"/>
  <c r="V11" i="4"/>
  <c r="V8" i="4"/>
  <c r="V5" i="4"/>
  <c r="V25" i="4"/>
  <c r="V22" i="4"/>
  <c r="V19" i="4"/>
  <c r="V6" i="4"/>
  <c r="V12" i="4"/>
  <c r="V9" i="4"/>
  <c r="L19" i="4"/>
  <c r="L25" i="4"/>
  <c r="L22" i="4"/>
  <c r="Q25" i="4"/>
  <c r="Q22" i="4"/>
  <c r="Q19" i="4"/>
  <c r="L12" i="4"/>
  <c r="L9" i="4"/>
  <c r="L6" i="4"/>
  <c r="Q12" i="4"/>
  <c r="Q9" i="4"/>
  <c r="Q6" i="4"/>
  <c r="G24" i="4"/>
  <c r="G21" i="4"/>
  <c r="G18" i="4"/>
  <c r="L24" i="4"/>
  <c r="L21" i="4"/>
  <c r="L18" i="4"/>
  <c r="Q24" i="4"/>
  <c r="Q21" i="4"/>
  <c r="Q18" i="4"/>
  <c r="Q11" i="4"/>
  <c r="Q8" i="4"/>
  <c r="Q5" i="4"/>
  <c r="L11" i="4"/>
  <c r="L8" i="4"/>
  <c r="L5" i="4"/>
  <c r="G11" i="4"/>
  <c r="G8" i="4"/>
  <c r="G5" i="4"/>
  <c r="D21" i="4" l="1"/>
  <c r="D8" i="4"/>
  <c r="E21" i="4"/>
  <c r="E8" i="4"/>
  <c r="F21" i="4"/>
  <c r="F8" i="4" l="1"/>
  <c r="C21" i="4"/>
  <c r="H21" i="4"/>
  <c r="C8" i="4"/>
  <c r="H8" i="4"/>
  <c r="H9" i="4" s="1"/>
  <c r="I21" i="4"/>
  <c r="N21" i="4"/>
  <c r="I8" i="4"/>
  <c r="N8" i="4"/>
  <c r="J21" i="4"/>
  <c r="O21" i="4"/>
  <c r="O8" i="4"/>
  <c r="K21" i="4"/>
  <c r="P21" i="4"/>
  <c r="K8" i="4"/>
  <c r="U25" i="4"/>
  <c r="T25" i="4"/>
  <c r="S25" i="4"/>
  <c r="R25" i="4"/>
  <c r="P25" i="4"/>
  <c r="O25" i="4"/>
  <c r="N25" i="4"/>
  <c r="M25" i="4"/>
  <c r="K25" i="4"/>
  <c r="J25" i="4"/>
  <c r="I25" i="4"/>
  <c r="H25" i="4"/>
  <c r="U22" i="4"/>
  <c r="T22" i="4"/>
  <c r="S22" i="4"/>
  <c r="R22" i="4"/>
  <c r="P22" i="4"/>
  <c r="O22" i="4"/>
  <c r="N22" i="4"/>
  <c r="M22" i="4"/>
  <c r="K22" i="4"/>
  <c r="J22" i="4"/>
  <c r="I22" i="4"/>
  <c r="H22" i="4"/>
  <c r="U19" i="4"/>
  <c r="T19" i="4"/>
  <c r="S19" i="4"/>
  <c r="R19" i="4"/>
  <c r="P19" i="4"/>
  <c r="O19" i="4"/>
  <c r="N19" i="4"/>
  <c r="M19" i="4"/>
  <c r="K19" i="4"/>
  <c r="J19" i="4"/>
  <c r="I19" i="4"/>
  <c r="H19" i="4"/>
  <c r="K12" i="4"/>
  <c r="J12" i="4"/>
  <c r="I12" i="4"/>
  <c r="K9" i="4"/>
  <c r="J9" i="4"/>
  <c r="I9" i="4"/>
  <c r="I6" i="4"/>
  <c r="H6" i="4"/>
  <c r="J6" i="4"/>
  <c r="K6" i="4"/>
  <c r="M6" i="4"/>
  <c r="P9" i="4"/>
  <c r="O9" i="4"/>
  <c r="N9" i="4"/>
  <c r="P12" i="4"/>
  <c r="O12" i="4"/>
  <c r="N12" i="4"/>
  <c r="U12" i="4"/>
  <c r="T12" i="4"/>
  <c r="S12" i="4"/>
  <c r="U9" i="4"/>
  <c r="T9" i="4"/>
  <c r="S9" i="4"/>
  <c r="U6" i="4"/>
  <c r="T6" i="4"/>
  <c r="S6" i="4"/>
  <c r="P6" i="4"/>
  <c r="O6" i="4"/>
  <c r="N6" i="4"/>
  <c r="M9" i="4"/>
  <c r="M12" i="4"/>
  <c r="R12" i="4"/>
  <c r="R9" i="4"/>
  <c r="R6" i="4"/>
  <c r="E8" i="3"/>
  <c r="F8" i="3"/>
  <c r="D8" i="3"/>
  <c r="E7" i="3"/>
  <c r="F7" i="3"/>
  <c r="D7" i="3"/>
  <c r="F6" i="3"/>
  <c r="E6" i="3"/>
  <c r="D6" i="3"/>
  <c r="AF4" i="2"/>
  <c r="AG4" i="2"/>
  <c r="AH4" i="2"/>
  <c r="AI4" i="2"/>
  <c r="AJ4" i="2"/>
  <c r="AK4" i="2"/>
  <c r="AL4" i="2"/>
  <c r="AE4" i="2"/>
  <c r="AB18" i="2"/>
  <c r="AC16" i="2"/>
  <c r="AD16" i="2"/>
  <c r="AB16" i="2"/>
  <c r="AH7" i="2"/>
  <c r="AI7" i="2"/>
  <c r="AJ7" i="2"/>
  <c r="AK7" i="2"/>
  <c r="AL7" i="2"/>
  <c r="AG7" i="2"/>
  <c r="AF7" i="2"/>
  <c r="AE7" i="2"/>
  <c r="AD7" i="2"/>
  <c r="AC7" i="2"/>
  <c r="AB7" i="2"/>
  <c r="AB8" i="2"/>
  <c r="AC8" i="2"/>
  <c r="AD8" i="2"/>
  <c r="AE8" i="2" s="1"/>
  <c r="AF8" i="2" s="1"/>
  <c r="AG8" i="2" s="1"/>
  <c r="AH8" i="2" s="1"/>
  <c r="AI8" i="2" s="1"/>
  <c r="AJ8" i="2" s="1"/>
  <c r="AK8" i="2" s="1"/>
  <c r="AL8" i="2" s="1"/>
  <c r="W24" i="2"/>
  <c r="X24" i="2"/>
  <c r="Y24" i="2"/>
  <c r="Z24" i="2"/>
  <c r="AA24" i="2"/>
  <c r="V24" i="2"/>
  <c r="E24" i="2"/>
  <c r="F24" i="2"/>
  <c r="G24" i="2"/>
  <c r="H24" i="2"/>
  <c r="I24" i="2"/>
  <c r="J24" i="2"/>
  <c r="K24" i="2"/>
  <c r="L24" i="2"/>
  <c r="M24" i="2"/>
  <c r="N24" i="2"/>
  <c r="O24" i="2"/>
  <c r="D24" i="2"/>
  <c r="AC5" i="2"/>
  <c r="AD5" i="2"/>
  <c r="AE5" i="2"/>
  <c r="AB5" i="2"/>
  <c r="AB6" i="2"/>
  <c r="AC6" i="2"/>
  <c r="AD6" i="2"/>
  <c r="AE6" i="2"/>
  <c r="AE23" i="2" s="1"/>
  <c r="AB9" i="2"/>
  <c r="AB11" i="2" s="1"/>
  <c r="AC9" i="2"/>
  <c r="AC11" i="2" s="1"/>
  <c r="AD4" i="2"/>
  <c r="AC4" i="2"/>
  <c r="AB23" i="2"/>
  <c r="AC23" i="2"/>
  <c r="AD23" i="2"/>
  <c r="AB21" i="2"/>
  <c r="AC21" i="2"/>
  <c r="AD21" i="2"/>
  <c r="AE21" i="2"/>
  <c r="AB4" i="2"/>
  <c r="AG5" i="2" l="1"/>
  <c r="AG6" i="2" s="1"/>
  <c r="AG9" i="2" s="1"/>
  <c r="AG21" i="2"/>
  <c r="AF21" i="2"/>
  <c r="AF5" i="2"/>
  <c r="AF6" i="2" s="1"/>
  <c r="AD9" i="2"/>
  <c r="AC24" i="2"/>
  <c r="AB24" i="2"/>
  <c r="AE9" i="2"/>
  <c r="AC15" i="2"/>
  <c r="AC17" i="2" s="1"/>
  <c r="AC18" i="2" s="1"/>
  <c r="AB15" i="2"/>
  <c r="AB17" i="2" s="1"/>
  <c r="AG23" i="2"/>
  <c r="AF9" i="2" l="1"/>
  <c r="AF23" i="2"/>
  <c r="AH5" i="2"/>
  <c r="AH6" i="2" s="1"/>
  <c r="AH21" i="2"/>
  <c r="AE11" i="2"/>
  <c r="AE15" i="2" s="1"/>
  <c r="AE24" i="2"/>
  <c r="AF11" i="2"/>
  <c r="AF15" i="2" s="1"/>
  <c r="AF24" i="2"/>
  <c r="AG11" i="2"/>
  <c r="AG15" i="2" s="1"/>
  <c r="AG24" i="2"/>
  <c r="AD11" i="2"/>
  <c r="AD15" i="2" s="1"/>
  <c r="AD17" i="2" s="1"/>
  <c r="AD18" i="2" s="1"/>
  <c r="AD24" i="2"/>
  <c r="AE16" i="2" l="1"/>
  <c r="AE17" i="2" s="1"/>
  <c r="AE18" i="2" s="1"/>
  <c r="AH9" i="2"/>
  <c r="AH23" i="2"/>
  <c r="AI5" i="2"/>
  <c r="AI6" i="2" s="1"/>
  <c r="AI21" i="2"/>
  <c r="AF16" i="2"/>
  <c r="AF17" i="2" s="1"/>
  <c r="AF18" i="2" s="1"/>
  <c r="AG16" i="2"/>
  <c r="AG17" i="2" s="1"/>
  <c r="AI23" i="2" l="1"/>
  <c r="AI9" i="2"/>
  <c r="AJ5" i="2"/>
  <c r="AJ6" i="2" s="1"/>
  <c r="AJ21" i="2"/>
  <c r="AH24" i="2"/>
  <c r="AH11" i="2"/>
  <c r="AH15" i="2" s="1"/>
  <c r="AH16" i="2" s="1"/>
  <c r="AH17" i="2" s="1"/>
  <c r="AH18" i="2" s="1"/>
  <c r="AG18" i="2"/>
  <c r="AK21" i="2" l="1"/>
  <c r="AK5" i="2"/>
  <c r="AK6" i="2"/>
  <c r="AJ9" i="2"/>
  <c r="AJ23" i="2"/>
  <c r="AI24" i="2"/>
  <c r="AI11" i="2"/>
  <c r="AI15" i="2" s="1"/>
  <c r="AI16" i="2" s="1"/>
  <c r="AI17" i="2" s="1"/>
  <c r="AI18" i="2" s="1"/>
  <c r="AJ11" i="2" l="1"/>
  <c r="AJ15" i="2" s="1"/>
  <c r="AJ16" i="2" s="1"/>
  <c r="AJ17" i="2" s="1"/>
  <c r="AJ18" i="2" s="1"/>
  <c r="AJ24" i="2"/>
  <c r="AK9" i="2"/>
  <c r="AK23" i="2"/>
  <c r="AL21" i="2"/>
  <c r="AL5" i="2"/>
  <c r="AL6" i="2"/>
  <c r="AL9" i="2" l="1"/>
  <c r="AL23" i="2"/>
  <c r="AK11" i="2"/>
  <c r="AK15" i="2" s="1"/>
  <c r="AK16" i="2" s="1"/>
  <c r="AK17" i="2" s="1"/>
  <c r="AK18" i="2" s="1"/>
  <c r="AK24" i="2"/>
  <c r="AL24" i="2" l="1"/>
  <c r="AL11" i="2"/>
  <c r="AL15" i="2" s="1"/>
  <c r="AL16" i="2" s="1"/>
  <c r="AL17" i="2" s="1"/>
  <c r="AM17" i="2" l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FD17" i="2" s="1"/>
  <c r="FE17" i="2" s="1"/>
  <c r="FF17" i="2" s="1"/>
  <c r="FG17" i="2" s="1"/>
  <c r="FH17" i="2" s="1"/>
  <c r="FI17" i="2" s="1"/>
  <c r="FJ17" i="2" s="1"/>
  <c r="FK17" i="2" s="1"/>
  <c r="FL17" i="2" s="1"/>
  <c r="FM17" i="2" s="1"/>
  <c r="FN17" i="2" s="1"/>
  <c r="FO17" i="2" s="1"/>
  <c r="FP17" i="2" s="1"/>
  <c r="FQ17" i="2" s="1"/>
  <c r="FR17" i="2" s="1"/>
  <c r="FS17" i="2" s="1"/>
  <c r="FT17" i="2" s="1"/>
  <c r="FU17" i="2" s="1"/>
  <c r="FV17" i="2" s="1"/>
  <c r="FW17" i="2" s="1"/>
  <c r="FX17" i="2" s="1"/>
  <c r="FY17" i="2" s="1"/>
  <c r="FZ17" i="2" s="1"/>
  <c r="GA17" i="2" s="1"/>
  <c r="GB17" i="2" s="1"/>
  <c r="GC17" i="2" s="1"/>
  <c r="GD17" i="2" s="1"/>
  <c r="GE17" i="2" s="1"/>
  <c r="GF17" i="2" s="1"/>
  <c r="GG17" i="2" s="1"/>
  <c r="GH17" i="2" s="1"/>
  <c r="GI17" i="2" s="1"/>
  <c r="GJ17" i="2" s="1"/>
  <c r="GK17" i="2" s="1"/>
  <c r="GL17" i="2" s="1"/>
  <c r="GM17" i="2" s="1"/>
  <c r="GN17" i="2" s="1"/>
  <c r="GO17" i="2" s="1"/>
  <c r="GP17" i="2" s="1"/>
  <c r="GQ17" i="2" s="1"/>
  <c r="GR17" i="2" s="1"/>
  <c r="GS17" i="2" s="1"/>
  <c r="GT17" i="2" s="1"/>
  <c r="GU17" i="2" s="1"/>
  <c r="GV17" i="2" s="1"/>
  <c r="GW17" i="2" s="1"/>
  <c r="GX17" i="2" s="1"/>
  <c r="GY17" i="2" s="1"/>
  <c r="GZ17" i="2" s="1"/>
  <c r="HA17" i="2" s="1"/>
  <c r="HB17" i="2" s="1"/>
  <c r="HC17" i="2" s="1"/>
  <c r="HD17" i="2" s="1"/>
  <c r="HE17" i="2" s="1"/>
  <c r="HF17" i="2" s="1"/>
  <c r="HG17" i="2" s="1"/>
  <c r="HH17" i="2" s="1"/>
  <c r="HI17" i="2" s="1"/>
  <c r="HJ17" i="2" s="1"/>
  <c r="HK17" i="2" s="1"/>
  <c r="HL17" i="2" s="1"/>
  <c r="HM17" i="2" s="1"/>
  <c r="HN17" i="2" s="1"/>
  <c r="HO17" i="2" s="1"/>
  <c r="HP17" i="2" s="1"/>
  <c r="HQ17" i="2" s="1"/>
  <c r="HR17" i="2" s="1"/>
  <c r="HS17" i="2" s="1"/>
  <c r="HT17" i="2" s="1"/>
  <c r="HU17" i="2" s="1"/>
  <c r="HV17" i="2" s="1"/>
  <c r="HW17" i="2" s="1"/>
  <c r="HX17" i="2" s="1"/>
  <c r="HY17" i="2" s="1"/>
  <c r="HZ17" i="2" s="1"/>
  <c r="IA17" i="2" s="1"/>
  <c r="IB17" i="2" s="1"/>
  <c r="IC17" i="2" s="1"/>
  <c r="ID17" i="2" s="1"/>
  <c r="IE17" i="2" s="1"/>
  <c r="IF17" i="2" s="1"/>
  <c r="IG17" i="2" s="1"/>
  <c r="IH17" i="2" s="1"/>
  <c r="II17" i="2" s="1"/>
  <c r="IJ17" i="2" s="1"/>
  <c r="IK17" i="2" s="1"/>
  <c r="IL17" i="2" s="1"/>
  <c r="IM17" i="2" s="1"/>
  <c r="IN17" i="2" s="1"/>
  <c r="IO17" i="2" s="1"/>
  <c r="IP17" i="2" s="1"/>
  <c r="IQ17" i="2" s="1"/>
  <c r="IR17" i="2" s="1"/>
  <c r="IS17" i="2" s="1"/>
  <c r="IT17" i="2" s="1"/>
  <c r="IU17" i="2" s="1"/>
  <c r="IV17" i="2" s="1"/>
  <c r="IW17" i="2" s="1"/>
  <c r="IX17" i="2" s="1"/>
  <c r="IY17" i="2" s="1"/>
  <c r="IZ17" i="2" s="1"/>
  <c r="JA17" i="2" s="1"/>
  <c r="JB17" i="2" s="1"/>
  <c r="JC17" i="2" s="1"/>
  <c r="JD17" i="2" s="1"/>
  <c r="JE17" i="2" s="1"/>
  <c r="JF17" i="2" s="1"/>
  <c r="JG17" i="2" s="1"/>
  <c r="JH17" i="2" s="1"/>
  <c r="JI17" i="2" s="1"/>
  <c r="JJ17" i="2" s="1"/>
  <c r="JK17" i="2" s="1"/>
  <c r="JL17" i="2" s="1"/>
  <c r="AL18" i="2"/>
  <c r="AO24" i="2" l="1"/>
  <c r="AO25" i="2" s="1"/>
  <c r="AO27" i="2" s="1"/>
  <c r="AO28" i="2" s="1"/>
  <c r="W70" i="2" l="1"/>
  <c r="V13" i="2"/>
  <c r="W13" i="2"/>
  <c r="W12" i="2"/>
  <c r="V6" i="2"/>
  <c r="V9" i="2" s="1"/>
  <c r="V11" i="2" s="1"/>
  <c r="W6" i="2"/>
  <c r="W9" i="2" s="1"/>
  <c r="W11" i="2" s="1"/>
  <c r="X13" i="2"/>
  <c r="X21" i="2"/>
  <c r="W21" i="2"/>
  <c r="X70" i="2"/>
  <c r="X71" i="2" s="1"/>
  <c r="Y70" i="2"/>
  <c r="Z83" i="2"/>
  <c r="Z84" i="2" s="1"/>
  <c r="Z75" i="2"/>
  <c r="Z70" i="2"/>
  <c r="Z71" i="2" s="1"/>
  <c r="Y84" i="2"/>
  <c r="X84" i="2"/>
  <c r="W84" i="2"/>
  <c r="V84" i="2"/>
  <c r="AA84" i="2"/>
  <c r="V76" i="2"/>
  <c r="W76" i="2"/>
  <c r="X76" i="2"/>
  <c r="Y76" i="2"/>
  <c r="Z76" i="2"/>
  <c r="AA76" i="2"/>
  <c r="V71" i="2"/>
  <c r="W71" i="2"/>
  <c r="Y71" i="2"/>
  <c r="AA70" i="2"/>
  <c r="AA71" i="2" s="1"/>
  <c r="E22" i="2"/>
  <c r="F22" i="2"/>
  <c r="G22" i="2"/>
  <c r="H22" i="2"/>
  <c r="I22" i="2"/>
  <c r="J22" i="2"/>
  <c r="K22" i="2"/>
  <c r="L22" i="2"/>
  <c r="M22" i="2"/>
  <c r="N22" i="2"/>
  <c r="O22" i="2"/>
  <c r="P22" i="2"/>
  <c r="G71" i="2"/>
  <c r="H70" i="2"/>
  <c r="H71" i="2" s="1"/>
  <c r="M70" i="2"/>
  <c r="N70" i="2"/>
  <c r="N71" i="2" s="1"/>
  <c r="K83" i="2"/>
  <c r="K70" i="2"/>
  <c r="O70" i="2"/>
  <c r="O71" i="2" s="1"/>
  <c r="L71" i="2"/>
  <c r="D57" i="2"/>
  <c r="E57" i="2"/>
  <c r="F57" i="2"/>
  <c r="G57" i="2"/>
  <c r="H57" i="2"/>
  <c r="I57" i="2"/>
  <c r="J57" i="2"/>
  <c r="K57" i="2"/>
  <c r="L57" i="2"/>
  <c r="M57" i="2"/>
  <c r="D51" i="2"/>
  <c r="E51" i="2"/>
  <c r="F51" i="2"/>
  <c r="G51" i="2"/>
  <c r="H51" i="2"/>
  <c r="I51" i="2"/>
  <c r="J51" i="2"/>
  <c r="K51" i="2"/>
  <c r="L51" i="2"/>
  <c r="M51" i="2"/>
  <c r="D47" i="2"/>
  <c r="E47" i="2"/>
  <c r="F47" i="2"/>
  <c r="G47" i="2"/>
  <c r="H47" i="2"/>
  <c r="I47" i="2"/>
  <c r="J47" i="2"/>
  <c r="K47" i="2"/>
  <c r="L47" i="2"/>
  <c r="M47" i="2"/>
  <c r="D41" i="2"/>
  <c r="E41" i="2"/>
  <c r="F41" i="2"/>
  <c r="G41" i="2"/>
  <c r="H41" i="2"/>
  <c r="I41" i="2"/>
  <c r="J41" i="2"/>
  <c r="K41" i="2"/>
  <c r="L41" i="2"/>
  <c r="M41" i="2"/>
  <c r="D36" i="2"/>
  <c r="E36" i="2"/>
  <c r="F36" i="2"/>
  <c r="G36" i="2"/>
  <c r="H36" i="2"/>
  <c r="I36" i="2"/>
  <c r="J36" i="2"/>
  <c r="K36" i="2"/>
  <c r="L36" i="2"/>
  <c r="M36" i="2"/>
  <c r="L21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D71" i="2"/>
  <c r="E71" i="2"/>
  <c r="F71" i="2"/>
  <c r="I71" i="2"/>
  <c r="J71" i="2"/>
  <c r="K71" i="2"/>
  <c r="M71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P71" i="2"/>
  <c r="P51" i="2"/>
  <c r="P41" i="2"/>
  <c r="P36" i="2"/>
  <c r="P6" i="2"/>
  <c r="P23" i="2" s="1"/>
  <c r="P57" i="2"/>
  <c r="P47" i="2"/>
  <c r="P21" i="2"/>
  <c r="O51" i="2"/>
  <c r="O57" i="2"/>
  <c r="O47" i="2"/>
  <c r="O41" i="2"/>
  <c r="O36" i="2"/>
  <c r="V88" i="2" l="1"/>
  <c r="AA88" i="2"/>
  <c r="AA90" i="2"/>
  <c r="V90" i="2"/>
  <c r="X88" i="2"/>
  <c r="J58" i="2"/>
  <c r="P42" i="2"/>
  <c r="L58" i="2"/>
  <c r="L59" i="2" s="1"/>
  <c r="W88" i="2"/>
  <c r="W90" i="2"/>
  <c r="V23" i="2"/>
  <c r="W23" i="2"/>
  <c r="V15" i="2"/>
  <c r="W15" i="2"/>
  <c r="X6" i="2"/>
  <c r="X90" i="2"/>
  <c r="Y90" i="2"/>
  <c r="Y88" i="2"/>
  <c r="Z90" i="2"/>
  <c r="Z88" i="2"/>
  <c r="I42" i="2"/>
  <c r="L42" i="2"/>
  <c r="E58" i="2"/>
  <c r="E59" i="2"/>
  <c r="E42" i="2"/>
  <c r="G58" i="2"/>
  <c r="G59" i="2" s="1"/>
  <c r="H90" i="2"/>
  <c r="D58" i="2"/>
  <c r="D59" i="2" s="1"/>
  <c r="D42" i="2"/>
  <c r="H58" i="2"/>
  <c r="H59" i="2" s="1"/>
  <c r="H42" i="2"/>
  <c r="G90" i="2"/>
  <c r="F58" i="2"/>
  <c r="F59" i="2"/>
  <c r="F42" i="2"/>
  <c r="G42" i="2"/>
  <c r="I58" i="2"/>
  <c r="I59" i="2" s="1"/>
  <c r="M58" i="2"/>
  <c r="M59" i="2"/>
  <c r="M42" i="2"/>
  <c r="O88" i="2"/>
  <c r="D88" i="2"/>
  <c r="K90" i="2"/>
  <c r="J59" i="2"/>
  <c r="K42" i="2"/>
  <c r="J42" i="2"/>
  <c r="K58" i="2"/>
  <c r="K59" i="2" s="1"/>
  <c r="L90" i="2"/>
  <c r="J90" i="2"/>
  <c r="P88" i="2"/>
  <c r="M88" i="2"/>
  <c r="I88" i="2"/>
  <c r="O90" i="2"/>
  <c r="I90" i="2"/>
  <c r="H88" i="2"/>
  <c r="L88" i="2"/>
  <c r="G88" i="2"/>
  <c r="K88" i="2"/>
  <c r="P9" i="2"/>
  <c r="P11" i="2" s="1"/>
  <c r="N88" i="2"/>
  <c r="F88" i="2"/>
  <c r="J88" i="2"/>
  <c r="P90" i="2"/>
  <c r="M90" i="2"/>
  <c r="E88" i="2"/>
  <c r="D90" i="2"/>
  <c r="N90" i="2"/>
  <c r="F90" i="2"/>
  <c r="E90" i="2"/>
  <c r="P58" i="2"/>
  <c r="P59" i="2" s="1"/>
  <c r="O58" i="2"/>
  <c r="O59" i="2" s="1"/>
  <c r="O42" i="2"/>
  <c r="O21" i="2"/>
  <c r="V17" i="2" l="1"/>
  <c r="V18" i="2" s="1"/>
  <c r="V62" i="2"/>
  <c r="W17" i="2"/>
  <c r="W18" i="2" s="1"/>
  <c r="W62" i="2"/>
  <c r="X23" i="2"/>
  <c r="X9" i="2"/>
  <c r="X11" i="2" s="1"/>
  <c r="P15" i="2"/>
  <c r="P62" i="2" s="1"/>
  <c r="P17" i="2"/>
  <c r="P18" i="2" s="1"/>
  <c r="O6" i="2"/>
  <c r="AA16" i="2"/>
  <c r="AA14" i="2"/>
  <c r="AA13" i="2"/>
  <c r="AA10" i="2"/>
  <c r="AA8" i="2"/>
  <c r="AA7" i="2"/>
  <c r="AA5" i="2"/>
  <c r="AA4" i="2"/>
  <c r="X15" i="2" l="1"/>
  <c r="O9" i="2"/>
  <c r="O11" i="2" s="1"/>
  <c r="O23" i="2"/>
  <c r="AA6" i="2"/>
  <c r="AA9" i="2" s="1"/>
  <c r="AA11" i="2" s="1"/>
  <c r="Z16" i="2"/>
  <c r="Z14" i="2"/>
  <c r="Z13" i="2"/>
  <c r="Z10" i="2"/>
  <c r="Z8" i="2"/>
  <c r="Z7" i="2"/>
  <c r="Z5" i="2"/>
  <c r="Z4" i="2"/>
  <c r="AA21" i="2" s="1"/>
  <c r="Y16" i="2"/>
  <c r="Y14" i="2"/>
  <c r="Y13" i="2"/>
  <c r="Y10" i="2"/>
  <c r="Y8" i="2"/>
  <c r="Y7" i="2"/>
  <c r="Y5" i="2"/>
  <c r="Y4" i="2"/>
  <c r="Y21" i="2" s="1"/>
  <c r="X17" i="2" l="1"/>
  <c r="X18" i="2" s="1"/>
  <c r="X62" i="2"/>
  <c r="Z6" i="2"/>
  <c r="Z9" i="2" s="1"/>
  <c r="Z11" i="2" s="1"/>
  <c r="Z21" i="2"/>
  <c r="AA15" i="2"/>
  <c r="O15" i="2"/>
  <c r="AA23" i="2"/>
  <c r="Y6" i="2"/>
  <c r="AA17" i="2" l="1"/>
  <c r="AA18" i="2" s="1"/>
  <c r="AA62" i="2"/>
  <c r="O17" i="2"/>
  <c r="O18" i="2" s="1"/>
  <c r="O62" i="2"/>
  <c r="Z23" i="2"/>
  <c r="Y9" i="2"/>
  <c r="Y11" i="2" s="1"/>
  <c r="Y15" i="2" s="1"/>
  <c r="Y23" i="2"/>
  <c r="Z15" i="2"/>
  <c r="Z17" i="2" l="1"/>
  <c r="Z18" i="2" s="1"/>
  <c r="Z62" i="2"/>
  <c r="Y17" i="2"/>
  <c r="Y18" i="2" s="1"/>
  <c r="Y62" i="2"/>
  <c r="M21" i="2"/>
  <c r="H21" i="2"/>
  <c r="I21" i="2"/>
  <c r="J21" i="2"/>
  <c r="K21" i="2"/>
  <c r="N21" i="2"/>
  <c r="D6" i="2"/>
  <c r="D23" i="2" s="1"/>
  <c r="E6" i="2"/>
  <c r="E9" i="2" s="1"/>
  <c r="F6" i="2"/>
  <c r="F9" i="2" s="1"/>
  <c r="F11" i="2" s="1"/>
  <c r="F15" i="2" s="1"/>
  <c r="G6" i="2"/>
  <c r="G23" i="2" s="1"/>
  <c r="K6" i="2"/>
  <c r="K23" i="2" s="1"/>
  <c r="H6" i="2"/>
  <c r="H23" i="2" s="1"/>
  <c r="L6" i="2"/>
  <c r="L23" i="2" s="1"/>
  <c r="I6" i="2"/>
  <c r="I23" i="2" s="1"/>
  <c r="M6" i="2"/>
  <c r="M9" i="2" s="1"/>
  <c r="M11" i="2" s="1"/>
  <c r="N51" i="2"/>
  <c r="N47" i="2"/>
  <c r="N57" i="2"/>
  <c r="N41" i="2"/>
  <c r="N36" i="2"/>
  <c r="J6" i="2"/>
  <c r="J23" i="2" s="1"/>
  <c r="N6" i="2"/>
  <c r="N23" i="2" s="1"/>
  <c r="B6" i="2"/>
  <c r="B9" i="2" s="1"/>
  <c r="F17" i="2" l="1"/>
  <c r="F62" i="2"/>
  <c r="D9" i="2"/>
  <c r="D11" i="2" s="1"/>
  <c r="E11" i="2"/>
  <c r="E23" i="2"/>
  <c r="F18" i="2"/>
  <c r="F23" i="2"/>
  <c r="G9" i="2"/>
  <c r="G11" i="2" s="1"/>
  <c r="K9" i="2"/>
  <c r="K11" i="2" s="1"/>
  <c r="H9" i="2"/>
  <c r="H11" i="2" s="1"/>
  <c r="L9" i="2"/>
  <c r="L11" i="2" s="1"/>
  <c r="I9" i="2"/>
  <c r="I11" i="2" s="1"/>
  <c r="M23" i="2"/>
  <c r="M15" i="2"/>
  <c r="N9" i="2"/>
  <c r="N11" i="2" s="1"/>
  <c r="N58" i="2"/>
  <c r="N59" i="2" s="1"/>
  <c r="N42" i="2"/>
  <c r="J9" i="2"/>
  <c r="J11" i="2" s="1"/>
  <c r="M17" i="2" l="1"/>
  <c r="M18" i="2" s="1"/>
  <c r="M62" i="2"/>
  <c r="D15" i="2"/>
  <c r="E15" i="2"/>
  <c r="G15" i="2"/>
  <c r="K15" i="2"/>
  <c r="H15" i="2"/>
  <c r="L15" i="2"/>
  <c r="I15" i="2"/>
  <c r="N15" i="2"/>
  <c r="J15" i="2"/>
  <c r="K17" i="2" l="1"/>
  <c r="K18" i="2" s="1"/>
  <c r="K62" i="2"/>
  <c r="G17" i="2"/>
  <c r="G18" i="2" s="1"/>
  <c r="G62" i="2"/>
  <c r="E17" i="2"/>
  <c r="E18" i="2" s="1"/>
  <c r="E62" i="2"/>
  <c r="N17" i="2"/>
  <c r="N18" i="2" s="1"/>
  <c r="N62" i="2"/>
  <c r="I17" i="2"/>
  <c r="I18" i="2" s="1"/>
  <c r="I62" i="2"/>
  <c r="L17" i="2"/>
  <c r="L18" i="2" s="1"/>
  <c r="L62" i="2"/>
  <c r="D17" i="2"/>
  <c r="D18" i="2" s="1"/>
  <c r="D62" i="2"/>
  <c r="J17" i="2"/>
  <c r="J18" i="2" s="1"/>
  <c r="J62" i="2"/>
  <c r="H17" i="2"/>
  <c r="H18" i="2" s="1"/>
  <c r="H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tc={81E0ACE4-52C2-C946-80C9-DA74EDFC062E}</author>
  </authors>
  <commentList>
    <comment ref="B10" authorId="0" shapeId="0" xr:uid="{81E0ACE4-52C2-C946-80C9-DA74EDFC062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Wi-Fi og PMIC</t>
      </text>
    </comment>
  </commentList>
</comments>
</file>

<file path=xl/sharedStrings.xml><?xml version="1.0" encoding="utf-8"?>
<sst xmlns="http://schemas.openxmlformats.org/spreadsheetml/2006/main" count="231" uniqueCount="183">
  <si>
    <t>Kapitalstruktur</t>
  </si>
  <si>
    <t>price</t>
  </si>
  <si>
    <t>Cash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</si>
  <si>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</si>
  <si>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</si>
  <si>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</si>
  <si>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</si>
  <si>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</si>
  <si>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</si>
  <si>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</si>
  <si>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</si>
  <si>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</si>
  <si>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</si>
  <si>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</si>
  <si>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</si>
  <si>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S/O (m)</t>
  </si>
  <si>
    <t>MC (NOKm)</t>
  </si>
  <si>
    <t>Er markedsleder innenfor produksjon av halvledere for bluetooth - komponenter</t>
  </si>
  <si>
    <t>Nordic Semiconductor er et norsk "fabless" halvlederselskap som spesialiserer seg på trådløs kommunikasjonsteknologi som driver tingenes internett (IoT)</t>
  </si>
  <si>
    <t>Revenue</t>
  </si>
  <si>
    <t>COGS</t>
  </si>
  <si>
    <t>Gross profit</t>
  </si>
  <si>
    <t>Payroll expense</t>
  </si>
  <si>
    <t>Other opex</t>
  </si>
  <si>
    <t>EBITDA</t>
  </si>
  <si>
    <t>D/A</t>
  </si>
  <si>
    <t>operating profit (EBIT)</t>
  </si>
  <si>
    <t>Share of profit from associates</t>
  </si>
  <si>
    <t>Net interest income</t>
  </si>
  <si>
    <t>Net foreign exhange</t>
  </si>
  <si>
    <t>PTP</t>
  </si>
  <si>
    <t>tax</t>
  </si>
  <si>
    <t>Net income</t>
  </si>
  <si>
    <t>Shares</t>
  </si>
  <si>
    <t>USD/NOK</t>
  </si>
  <si>
    <t>EPS (NOK)</t>
  </si>
  <si>
    <t>Revenue y/y</t>
  </si>
  <si>
    <t>Goodwill</t>
  </si>
  <si>
    <t>Capitalized dev expenses</t>
  </si>
  <si>
    <t>Software</t>
  </si>
  <si>
    <t>Deferred tax assets</t>
  </si>
  <si>
    <t>fixed assets</t>
  </si>
  <si>
    <t>Right-of-use assets</t>
  </si>
  <si>
    <t>Investments in JV</t>
  </si>
  <si>
    <t>Other long term assets</t>
  </si>
  <si>
    <t>Total non-current assets</t>
  </si>
  <si>
    <t>Inventory</t>
  </si>
  <si>
    <t>AR</t>
  </si>
  <si>
    <t>Other Current receivables</t>
  </si>
  <si>
    <t>Total current assets</t>
  </si>
  <si>
    <t>Total Assets</t>
  </si>
  <si>
    <t>Share capital</t>
  </si>
  <si>
    <t>Treasury shares</t>
  </si>
  <si>
    <t>share premium</t>
  </si>
  <si>
    <t>Other equity</t>
  </si>
  <si>
    <t>Total equity</t>
  </si>
  <si>
    <t>AP</t>
  </si>
  <si>
    <t>Income tax payable</t>
  </si>
  <si>
    <t>Public duties</t>
  </si>
  <si>
    <t>Current lease lia</t>
  </si>
  <si>
    <t>Other current lia</t>
  </si>
  <si>
    <t>Pension liability</t>
  </si>
  <si>
    <t>Borrowings</t>
  </si>
  <si>
    <t>Non-current lease lia</t>
  </si>
  <si>
    <t>Total -non-current liabilities</t>
  </si>
  <si>
    <t>Total current Liabilities</t>
  </si>
  <si>
    <t>Total liabilities</t>
  </si>
  <si>
    <t>Total E&amp;L</t>
  </si>
  <si>
    <t>CFFO</t>
  </si>
  <si>
    <t>CFFI</t>
  </si>
  <si>
    <t>CFFF</t>
  </si>
  <si>
    <t>Cash (NOKm)</t>
  </si>
  <si>
    <t>Debt (NOKm)</t>
  </si>
  <si>
    <t>EV (NOKm)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</si>
  <si>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</si>
  <si>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</si>
  <si>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</si>
  <si>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</si>
  <si>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</si>
  <si>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</si>
  <si>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</si>
  <si>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</si>
  <si>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</si>
  <si>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</si>
  <si>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</si>
  <si>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</si>
  <si>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</si>
  <si>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</si>
  <si>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P/E</t>
  </si>
  <si>
    <t>EV/EBIT</t>
  </si>
  <si>
    <t>Q125</t>
  </si>
  <si>
    <t>Q225</t>
  </si>
  <si>
    <t>Q325</t>
  </si>
  <si>
    <t>Q425</t>
  </si>
  <si>
    <t>USD Million</t>
  </si>
  <si>
    <t>Cash flow USD Million</t>
  </si>
  <si>
    <t>Balanse (USD million)</t>
  </si>
  <si>
    <t>Model PTP</t>
  </si>
  <si>
    <t>Reported PTP</t>
  </si>
  <si>
    <t>Taxes paid</t>
  </si>
  <si>
    <t>D/A/I</t>
  </si>
  <si>
    <t>Net interest</t>
  </si>
  <si>
    <t>Interest received</t>
  </si>
  <si>
    <t>WC</t>
  </si>
  <si>
    <t>Share-based comp</t>
  </si>
  <si>
    <t xml:space="preserve">Other </t>
  </si>
  <si>
    <t>Capex</t>
  </si>
  <si>
    <t>Investment in associated comp</t>
  </si>
  <si>
    <t>Buybacks</t>
  </si>
  <si>
    <t>Payment of interest</t>
  </si>
  <si>
    <t>Payment of principal</t>
  </si>
  <si>
    <t>Payment of interest of lease</t>
  </si>
  <si>
    <t>Credit facility</t>
  </si>
  <si>
    <t>FX</t>
  </si>
  <si>
    <t>CIC</t>
  </si>
  <si>
    <t>FCF</t>
  </si>
  <si>
    <t>FY 2019</t>
  </si>
  <si>
    <t>FY 2020</t>
  </si>
  <si>
    <t>FY 2021</t>
  </si>
  <si>
    <t>Revenue Q/Q</t>
  </si>
  <si>
    <t>Capital increase</t>
  </si>
  <si>
    <t>EV/EBITDA</t>
  </si>
  <si>
    <t>Discount</t>
  </si>
  <si>
    <t>TV</t>
  </si>
  <si>
    <t>NPV USD</t>
  </si>
  <si>
    <t>NPV NOK</t>
  </si>
  <si>
    <t>S/O</t>
  </si>
  <si>
    <t>NPV/Share</t>
  </si>
  <si>
    <t>Opp-/nedside</t>
  </si>
  <si>
    <t>USD million</t>
  </si>
  <si>
    <t>EBITDA margin</t>
  </si>
  <si>
    <t>Short range</t>
  </si>
  <si>
    <t>Long-range</t>
  </si>
  <si>
    <t>Growth %</t>
  </si>
  <si>
    <t>Revenue by end-user market</t>
  </si>
  <si>
    <t>Consumer</t>
  </si>
  <si>
    <t>Industrial and healthcare</t>
  </si>
  <si>
    <t>Press releases:</t>
  </si>
  <si>
    <t xml:space="preserve">Porteføljen deres inkluderer Bluetooth low energy, ANT+, Thread Wi-Fi og Zigbee. </t>
  </si>
  <si>
    <t>Topp 10 største kunder står for 57% av inntektene</t>
  </si>
  <si>
    <t xml:space="preserve">nRF52 - serie: </t>
  </si>
  <si>
    <t>Lansert: 2015</t>
  </si>
  <si>
    <t>Teknlogi: Bluetooth low energy (BLE), ANT, Thread, Zigbee, 2.4 GHz</t>
  </si>
  <si>
    <t>Bruksområder: Smarthus (lysbrytrere, sensorer), Wearables (fitnessklokker (Garmin), sportenheter), HID (Mus, Tastatur, fjernkontroller)</t>
  </si>
  <si>
    <t>Funkjson: Balanse mellom ytelse og lavt strømforbruk.</t>
  </si>
  <si>
    <t xml:space="preserve">nRF53 - serie: </t>
  </si>
  <si>
    <t>Lansert: 2020</t>
  </si>
  <si>
    <t>Teknlogi: BLE 5.2/5.3, LE audio, Thread, Zigbee</t>
  </si>
  <si>
    <t>Bruksområder: Avansert lyd (LE audio, høreapparater), Mesh-nettverker (Matter, Zigbee)</t>
  </si>
  <si>
    <t>Funksjon: Første dual-core fra Nordic. Høy ytelse, større for ny lydstandard (LE audio)</t>
  </si>
  <si>
    <t>nRF54 - serie:</t>
  </si>
  <si>
    <t>lansert 2023 (54H), 24/25 (54L)</t>
  </si>
  <si>
    <t>Teknologier: BLE 6.0, Thread, Zigbee, Matter, sidewalk, Wi-Fi</t>
  </si>
  <si>
    <t>Bruksomårder: Fremtidens wearables, smarthelse, AI/ML på enhet, Kompleks trådløs kommunikasjon med lavt strømforbuk</t>
  </si>
  <si>
    <t>Funksjon: Ny 22nm arkitektur. Kombinerere Arm Cortex-m33 + RISC-V. Svært lavt strømforbuk, fremtidens serie</t>
  </si>
  <si>
    <t xml:space="preserve">nRF91 - serie: </t>
  </si>
  <si>
    <t>Lansert 2019</t>
  </si>
  <si>
    <t>Teknlogi: LTE-M, NB- IoT, GPS</t>
  </si>
  <si>
    <t>Bruksområder: Asset tracking, smarte byer (måling, gatebelysning), fjernovervåking</t>
  </si>
  <si>
    <t>nRF70 - serie:</t>
  </si>
  <si>
    <t>lansert: 2022</t>
  </si>
  <si>
    <t>Teknologi: Wi-Fi 6 (2.4 GHz)</t>
  </si>
  <si>
    <t>Bruksområder: Smarthus, industrielle gateways, IoT-enheter med behov for høy båndbredde</t>
  </si>
  <si>
    <t xml:space="preserve">Funksjon: Companion chip som kobles sammen med nRF52/53/54 for å gi Wi-Fi-tilgang. Ikke en SoC alene. </t>
  </si>
  <si>
    <t>Funksjon: Fullstendig system med LTE-modem + GPS + MCU i en pakke. For mobilnettverk og global dekning</t>
  </si>
  <si>
    <t>nPM Family:</t>
  </si>
  <si>
    <t>Lansert: 2021 og fremover</t>
  </si>
  <si>
    <t>Teknologi: Strømstyring</t>
  </si>
  <si>
    <t>Bruksområder: Lading av Li-ion/Li-Po batterier, Strømregulering for nRF SoC-er</t>
  </si>
  <si>
    <t>Funksjon: Gir bedre strømstyring, batteristyring og stgabil spenning i systemdesign. Typisk brukt sammen med nRF/52/53/54</t>
  </si>
  <si>
    <t>Fagtermonologier:</t>
  </si>
  <si>
    <r>
      <rPr>
        <b/>
        <sz val="16"/>
        <color theme="1"/>
        <rFont val="Calibri"/>
        <family val="2"/>
        <scheme val="minor"/>
      </rPr>
      <t>Mesh:</t>
    </r>
    <r>
      <rPr>
        <sz val="16"/>
        <color theme="1"/>
        <rFont val="Calibri"/>
        <family val="2"/>
        <scheme val="minor"/>
      </rPr>
      <t xml:space="preserve"> Organisere trådløs kommunikasjon mellom enheter slik at de kobles sammen i et desentralisert nettverk, i stedet for å kommunisere kun via en sentral enhet (Tenk en sensor som ikke rekker til huben, men som sender via en lyspære)</t>
    </r>
  </si>
  <si>
    <r>
      <rPr>
        <b/>
        <sz val="16"/>
        <color theme="1"/>
        <rFont val="Calibri"/>
        <family val="2"/>
        <scheme val="minor"/>
      </rPr>
      <t>ANT:</t>
    </r>
    <r>
      <rPr>
        <sz val="16"/>
        <color theme="1"/>
        <rFont val="Calibri"/>
        <family val="2"/>
        <scheme val="minor"/>
      </rPr>
      <t xml:space="preserve"> Proprietær trådløs protokoll utviklet for lavt strømbruk og enkel trådløs kommunikasjon over korte distander (Bluetooth)</t>
    </r>
  </si>
  <si>
    <r>
      <rPr>
        <b/>
        <sz val="16"/>
        <color theme="1"/>
        <rFont val="Calibri"/>
        <family val="2"/>
        <scheme val="minor"/>
      </rPr>
      <t>Thread:</t>
    </r>
    <r>
      <rPr>
        <sz val="16"/>
        <color theme="1"/>
        <rFont val="Calibri"/>
        <family val="2"/>
        <scheme val="minor"/>
      </rPr>
      <t xml:space="preserve"> IPv6-basert mesh-nettverk laget for smarthus og IoT-enheter, med lavt strømforbruk og høy sikkerhet. Alle deltkaende enheter i et nettverk og kan rute trafikk. </t>
    </r>
  </si>
  <si>
    <r>
      <rPr>
        <b/>
        <sz val="16"/>
        <color theme="1"/>
        <rFont val="Calibri"/>
        <family val="2"/>
        <scheme val="minor"/>
      </rPr>
      <t>Zigbee:</t>
    </r>
    <r>
      <rPr>
        <sz val="16"/>
        <color theme="1"/>
        <rFont val="Calibri"/>
        <family val="2"/>
        <scheme val="minor"/>
      </rPr>
      <t xml:space="preserve"> Er en moden mesh-protokoll for smarthus og lavbåndbredde-enheter som trenger stabil kommunikasjon. En "Koordinator" setter opp nettverket, og andre enheter kobles til. Alle kan sende og videresende meldinger. </t>
    </r>
  </si>
  <si>
    <r>
      <rPr>
        <b/>
        <sz val="16"/>
        <color theme="1"/>
        <rFont val="Calibri"/>
        <family val="2"/>
        <scheme val="minor"/>
      </rPr>
      <t>LE Audio:</t>
    </r>
    <r>
      <rPr>
        <sz val="16"/>
        <color theme="1"/>
        <rFont val="Calibri"/>
        <family val="2"/>
        <scheme val="minor"/>
      </rPr>
      <t xml:space="preserve"> Neste generasjon trådløs lyd, bygget på BLE, og etterfølgeleren til klassisk audio (A2DP), bruker LC3 codec for bedre lydkvalitet ved lavere bitrate. Kan strømme en lydstrøm til flere enheter samtidig.</t>
    </r>
  </si>
  <si>
    <r>
      <rPr>
        <b/>
        <sz val="16"/>
        <color theme="1"/>
        <rFont val="Calibri"/>
        <family val="2"/>
        <scheme val="minor"/>
      </rPr>
      <t>Matter:</t>
    </r>
    <r>
      <rPr>
        <sz val="16"/>
        <color theme="1"/>
        <rFont val="Calibri"/>
        <family val="2"/>
        <scheme val="minor"/>
      </rPr>
      <t xml:space="preserve"> Åpen applikasjonsprotokoll for smarthus - designet for å gjøre enheter kompatible på tvers av plattformer. Matter kjører over thread eller Wi-Fi, og bruker kryptering, standarisert modell og automatisk onboarding</t>
    </r>
  </si>
  <si>
    <r>
      <t xml:space="preserve">SoC: </t>
    </r>
    <r>
      <rPr>
        <sz val="16"/>
        <color theme="1"/>
        <rFont val="Calibri"/>
        <family val="2"/>
        <scheme val="minor"/>
      </rPr>
      <t>System-on-chip</t>
    </r>
  </si>
  <si>
    <t>Modest growth in 25, set to accelerate from 26 onwards (CMD)</t>
  </si>
  <si>
    <r>
      <rPr>
        <b/>
        <sz val="16"/>
        <color theme="1"/>
        <rFont val="Calibri"/>
        <family val="2"/>
        <scheme val="minor"/>
      </rPr>
      <t xml:space="preserve">Short-range: </t>
    </r>
    <r>
      <rPr>
        <sz val="16"/>
        <color theme="1"/>
        <rFont val="Calibri"/>
        <family val="2"/>
        <scheme val="minor"/>
      </rPr>
      <t>Bluetooth og Zigbee</t>
    </r>
  </si>
  <si>
    <r>
      <rPr>
        <b/>
        <sz val="16"/>
        <color theme="1"/>
        <rFont val="Calibri"/>
        <family val="2"/>
        <scheme val="minor"/>
      </rPr>
      <t>Long-range</t>
    </r>
    <r>
      <rPr>
        <sz val="16"/>
        <color theme="1"/>
        <rFont val="Calibri"/>
        <family val="2"/>
        <scheme val="minor"/>
      </rPr>
      <t>: Trådløs kommunikasjon over lange distanser, hovedsaklig via mobielneett (Cellular IoT) (Satser på lønnsomhet ila 28)</t>
    </r>
  </si>
  <si>
    <r>
      <t xml:space="preserve">Wi-Fi, PMIC: </t>
    </r>
    <r>
      <rPr>
        <sz val="16"/>
        <color theme="1"/>
        <rFont val="Calibri"/>
        <family val="2"/>
        <scheme val="minor"/>
      </rPr>
      <t>Wi-Fi innebærer companion chips som gir Wi-Fi når de kobles sammen med en hovedprosessor (nRF52/53/54)</t>
    </r>
    <r>
      <rPr>
        <b/>
        <sz val="16"/>
        <color theme="1"/>
        <rFont val="Calibri"/>
        <family val="2"/>
        <scheme val="minor"/>
      </rPr>
      <t xml:space="preserve">. </t>
    </r>
  </si>
  <si>
    <t>PMIC (Power management integrated circuit styrer strømforsyning, lading og batteridrift i IoT-enheter. (Satser på lønnsomhet ila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</si>
</sst>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kr&quot;\ #,##0.00_);[Red]\(&quot;kr&quot;\ #,##0.00\)"/>
    <numFmt numFmtId="164" formatCode="#,##0.0"/>
    <numFmt numFmtId="165" formatCode="0.0\ %"/>
    <numFmt numFmtId="166" formatCode="#,##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0"/>
      <color rgb="FF000000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1" fillId="0" borderId="0" xfId="0" applyNumberFormat="1" applyFont="1"/>
    <xf numFmtId="164" fontId="1" fillId="0" borderId="1" xfId="0" applyNumberFormat="1" applyFont="1" applyBorder="1"/>
    <xf numFmtId="2" fontId="1" fillId="0" borderId="1" xfId="0" applyNumberFormat="1" applyFont="1" applyBorder="1"/>
    <xf numFmtId="2" fontId="1" fillId="0" borderId="0" xfId="0" applyNumberFormat="1" applyFont="1"/>
    <xf numFmtId="10" fontId="1" fillId="0" borderId="0" xfId="0" applyNumberFormat="1" applyFont="1"/>
    <xf numFmtId="165" fontId="2" fillId="0" borderId="0" xfId="0" applyNumberFormat="1" applyFont="1"/>
    <xf numFmtId="165" fontId="2" fillId="0" borderId="1" xfId="0" applyNumberFormat="1" applyFont="1" applyBorder="1"/>
    <xf numFmtId="165" fontId="1" fillId="0" borderId="0" xfId="0" applyNumberFormat="1" applyFont="1"/>
    <xf numFmtId="165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166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3" fontId="4" fillId="0" borderId="0" xfId="0" applyNumberFormat="1" applyFont="1"/>
    <xf numFmtId="3" fontId="4" fillId="0" borderId="1" xfId="0" applyNumberFormat="1" applyFont="1" applyBorder="1"/>
    <xf numFmtId="10" fontId="1" fillId="0" borderId="1" xfId="0" applyNumberFormat="1" applyFont="1" applyBorder="1"/>
    <xf numFmtId="167" fontId="1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0" fontId="1" fillId="0" borderId="3" xfId="0" applyFont="1" applyBorder="1"/>
    <xf numFmtId="9" fontId="1" fillId="0" borderId="0" xfId="0" applyNumberFormat="1" applyFont="1"/>
    <xf numFmtId="8" fontId="1" fillId="0" borderId="0" xfId="0" applyNumberFormat="1" applyFont="1"/>
    <xf numFmtId="164" fontId="1" fillId="0" borderId="3" xfId="0" applyNumberFormat="1" applyFont="1" applyBorder="1"/>
    <xf numFmtId="0" fontId="1" fillId="0" borderId="0" xfId="0" applyFont="1" applyBorder="1"/>
    <xf numFmtId="0" fontId="4" fillId="0" borderId="3" xfId="0" applyFont="1" applyBorder="1"/>
    <xf numFmtId="0" fontId="1" fillId="0" borderId="5" xfId="0" applyFont="1" applyBorder="1"/>
    <xf numFmtId="0" fontId="4" fillId="0" borderId="4" xfId="0" applyFont="1" applyBorder="1"/>
    <xf numFmtId="0" fontId="2" fillId="0" borderId="5" xfId="0" applyFont="1" applyBorder="1"/>
    <xf numFmtId="1" fontId="1" fillId="0" borderId="0" xfId="0" applyNumberFormat="1" applyFont="1" applyBorder="1"/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165" fontId="4" fillId="0" borderId="3" xfId="0" applyNumberFormat="1" applyFont="1" applyBorder="1"/>
    <xf numFmtId="1" fontId="2" fillId="0" borderId="5" xfId="0" applyNumberFormat="1" applyFont="1" applyBorder="1"/>
    <xf numFmtId="0" fontId="3" fillId="0" borderId="4" xfId="0" applyFont="1" applyBorder="1"/>
    <xf numFmtId="165" fontId="3" fillId="0" borderId="4" xfId="0" applyNumberFormat="1" applyFont="1" applyBorder="1"/>
    <xf numFmtId="165" fontId="2" fillId="0" borderId="0" xfId="0" applyNumberFormat="1" applyFont="1" applyBorder="1"/>
    <xf numFmtId="10" fontId="1" fillId="0" borderId="0" xfId="0" applyNumberFormat="1" applyFont="1" applyBorder="1"/>
    <xf numFmtId="165" fontId="1" fillId="0" borderId="0" xfId="0" applyNumberFormat="1" applyFont="1" applyBorder="1"/>
    <xf numFmtId="0" fontId="9" fillId="0" borderId="0" xfId="0" applyFont="1"/>
    <xf numFmtId="0" fontId="10" fillId="0" borderId="0" xfId="0" applyFont="1"/>
    <xf numFmtId="164" fontId="9" fillId="0" borderId="0" xfId="0" applyNumberFormat="1" applyFont="1"/>
    <xf numFmtId="164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108656</xdr:rowOff>
    </xdr:from>
    <xdr:to>
      <xdr:col>4</xdr:col>
      <xdr:colOff>620888</xdr:colOff>
      <xdr:row>21</xdr:row>
      <xdr:rowOff>23928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D3500AC-35C2-9516-303C-32967F388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53545"/>
          <a:ext cx="4374444" cy="3400716"/>
        </a:xfrm>
        <a:prstGeom prst="rect">
          <a:avLst/>
        </a:prstGeom>
      </xdr:spPr>
    </xdr:pic>
    <xdr:clientData/>
  </xdr:twoCellAnchor>
  <xdr:twoCellAnchor editAs="oneCell">
    <xdr:from>
      <xdr:col>18</xdr:col>
      <xdr:colOff>451556</xdr:colOff>
      <xdr:row>0</xdr:row>
      <xdr:rowOff>67734</xdr:rowOff>
    </xdr:from>
    <xdr:to>
      <xdr:col>28</xdr:col>
      <xdr:colOff>423615</xdr:colOff>
      <xdr:row>15</xdr:row>
      <xdr:rowOff>232833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BCEAA45-D1AE-8226-B507-347106812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60889" y="67734"/>
          <a:ext cx="8297615" cy="4186766"/>
        </a:xfrm>
        <a:prstGeom prst="rect">
          <a:avLst/>
        </a:prstGeom>
      </xdr:spPr>
    </xdr:pic>
    <xdr:clientData/>
  </xdr:twoCellAnchor>
  <xdr:twoCellAnchor editAs="oneCell">
    <xdr:from>
      <xdr:col>18</xdr:col>
      <xdr:colOff>592666</xdr:colOff>
      <xdr:row>16</xdr:row>
      <xdr:rowOff>126999</xdr:rowOff>
    </xdr:from>
    <xdr:to>
      <xdr:col>28</xdr:col>
      <xdr:colOff>380999</xdr:colOff>
      <xdr:row>33</xdr:row>
      <xdr:rowOff>59099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7F8BA86-3483-EFC5-CEED-2FDD68E3A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1999" y="4416777"/>
          <a:ext cx="8113889" cy="44899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gust hodt" id="{5FDE49D1-A79D-D045-9A2E-7E4A896E15B4}" userId="a530012ce760c12d" providerId="Windows Live"/>
</personList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5-06-06T07:13:59.87" personId="{5FDE49D1-A79D-D045-9A2E-7E4A896E15B4}" id="{81E0ACE4-52C2-C946-80C9-DA74EDFC062E}">
    <text>Wi-Fi og PMIC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7890-E153-2247-802B-A6B31C2C3895}">
  <dimension ref="A2:T65"/>
  <sheetViews>
    <sheetView showGridLines="0" topLeftCell="A9" zoomScale="90" zoomScaleNormal="90" workbookViewId="0">
      <selection activeCell="M54" sqref="M54"/>
    </sheetView>
  </sheetViews>
  <sheetFormatPr baseColWidth="10" defaultRowHeight="21" x14ac:dyDescent="0.25"/>
  <cols>
    <col min="1" max="1" width="16.33203125" style="51" bestFit="1" customWidth="1"/>
    <col min="2" max="2" width="11.1640625" style="51" bestFit="1" customWidth="1"/>
    <col min="3" max="16384" width="10.83203125" style="51"/>
  </cols>
  <sheetData>
    <row r="2" spans="1:14" x14ac:dyDescent="0.25">
      <c r="A2" s="51" t="s">
        <v>17</v>
      </c>
    </row>
    <row r="3" spans="1:14" x14ac:dyDescent="0.25">
      <c r="A3" s="51" t="s">
        <v>18</v>
      </c>
    </row>
    <row r="4" spans="1:14" x14ac:dyDescent="0.25">
      <c r="A4" s="51" t="s">
        <v>138</v>
      </c>
      <c r="B4" s="53"/>
    </row>
    <row r="5" spans="1:14" x14ac:dyDescent="0.25">
      <c r="A5" s="51" t="s">
        <v>179</v>
      </c>
      <c r="B5" s="53"/>
    </row>
    <row r="6" spans="1:14" x14ac:dyDescent="0.25">
      <c r="A6" s="51" t="s">
        <v>180</v>
      </c>
      <c r="B6" s="53"/>
    </row>
    <row r="7" spans="1:14" x14ac:dyDescent="0.25">
      <c r="A7" s="52" t="s">
        <v>181</v>
      </c>
      <c r="B7" s="53"/>
    </row>
    <row r="8" spans="1:14" x14ac:dyDescent="0.25">
      <c r="A8" s="51" t="s">
        <v>182</v>
      </c>
      <c r="B8" s="53"/>
    </row>
    <row r="9" spans="1:14" x14ac:dyDescent="0.25">
      <c r="A9" s="52"/>
      <c r="B9" s="54"/>
      <c r="N9" s="52" t="s">
        <v>137</v>
      </c>
    </row>
    <row r="22" spans="1:1" x14ac:dyDescent="0.25">
      <c r="A22" s="52" t="s">
        <v>140</v>
      </c>
    </row>
    <row r="23" spans="1:1" x14ac:dyDescent="0.25">
      <c r="A23" s="51" t="s">
        <v>141</v>
      </c>
    </row>
    <row r="24" spans="1:1" x14ac:dyDescent="0.25">
      <c r="A24" s="51" t="s">
        <v>142</v>
      </c>
    </row>
    <row r="25" spans="1:1" x14ac:dyDescent="0.25">
      <c r="A25" s="51" t="s">
        <v>143</v>
      </c>
    </row>
    <row r="26" spans="1:1" x14ac:dyDescent="0.25">
      <c r="A26" s="51" t="s">
        <v>144</v>
      </c>
    </row>
    <row r="28" spans="1:1" x14ac:dyDescent="0.25">
      <c r="A28" s="52" t="s">
        <v>145</v>
      </c>
    </row>
    <row r="29" spans="1:1" x14ac:dyDescent="0.25">
      <c r="A29" s="51" t="s">
        <v>146</v>
      </c>
    </row>
    <row r="30" spans="1:1" x14ac:dyDescent="0.25">
      <c r="A30" s="51" t="s">
        <v>147</v>
      </c>
    </row>
    <row r="31" spans="1:1" x14ac:dyDescent="0.25">
      <c r="A31" s="51" t="s">
        <v>148</v>
      </c>
    </row>
    <row r="32" spans="1:1" x14ac:dyDescent="0.25">
      <c r="A32" s="51" t="s">
        <v>149</v>
      </c>
    </row>
    <row r="34" spans="1:20" x14ac:dyDescent="0.25">
      <c r="A34" s="52" t="s">
        <v>150</v>
      </c>
      <c r="B34" s="51" t="s">
        <v>178</v>
      </c>
    </row>
    <row r="35" spans="1:20" x14ac:dyDescent="0.25">
      <c r="A35" s="51" t="s">
        <v>151</v>
      </c>
      <c r="T35" s="51" t="s">
        <v>139</v>
      </c>
    </row>
    <row r="36" spans="1:20" x14ac:dyDescent="0.25">
      <c r="A36" s="51" t="s">
        <v>152</v>
      </c>
    </row>
    <row r="37" spans="1:20" x14ac:dyDescent="0.25">
      <c r="A37" s="51" t="s">
        <v>153</v>
      </c>
    </row>
    <row r="38" spans="1:20" x14ac:dyDescent="0.25">
      <c r="A38" s="51" t="s">
        <v>154</v>
      </c>
    </row>
    <row r="40" spans="1:20" x14ac:dyDescent="0.25">
      <c r="A40" s="52" t="s">
        <v>159</v>
      </c>
    </row>
    <row r="41" spans="1:20" x14ac:dyDescent="0.25">
      <c r="A41" s="51" t="s">
        <v>160</v>
      </c>
    </row>
    <row r="42" spans="1:20" x14ac:dyDescent="0.25">
      <c r="A42" s="51" t="s">
        <v>161</v>
      </c>
    </row>
    <row r="43" spans="1:20" x14ac:dyDescent="0.25">
      <c r="A43" s="51" t="s">
        <v>162</v>
      </c>
    </row>
    <row r="44" spans="1:20" x14ac:dyDescent="0.25">
      <c r="A44" s="51" t="s">
        <v>163</v>
      </c>
    </row>
    <row r="46" spans="1:20" x14ac:dyDescent="0.25">
      <c r="A46" s="52" t="s">
        <v>155</v>
      </c>
    </row>
    <row r="47" spans="1:20" x14ac:dyDescent="0.25">
      <c r="A47" s="51" t="s">
        <v>156</v>
      </c>
    </row>
    <row r="48" spans="1:20" x14ac:dyDescent="0.25">
      <c r="A48" s="51" t="s">
        <v>157</v>
      </c>
    </row>
    <row r="49" spans="1:1" x14ac:dyDescent="0.25">
      <c r="A49" s="51" t="s">
        <v>158</v>
      </c>
    </row>
    <row r="50" spans="1:1" x14ac:dyDescent="0.25">
      <c r="A50" s="51" t="s">
        <v>164</v>
      </c>
    </row>
    <row r="52" spans="1:1" x14ac:dyDescent="0.25">
      <c r="A52" s="52" t="s">
        <v>165</v>
      </c>
    </row>
    <row r="53" spans="1:1" x14ac:dyDescent="0.25">
      <c r="A53" s="51" t="s">
        <v>166</v>
      </c>
    </row>
    <row r="54" spans="1:1" x14ac:dyDescent="0.25">
      <c r="A54" s="51" t="s">
        <v>167</v>
      </c>
    </row>
    <row r="55" spans="1:1" x14ac:dyDescent="0.25">
      <c r="A55" s="51" t="s">
        <v>168</v>
      </c>
    </row>
    <row r="56" spans="1:1" x14ac:dyDescent="0.25">
      <c r="A56" s="51" t="s">
        <v>169</v>
      </c>
    </row>
    <row r="58" spans="1:1" x14ac:dyDescent="0.25">
      <c r="A58" s="52" t="s">
        <v>170</v>
      </c>
    </row>
    <row r="59" spans="1:1" x14ac:dyDescent="0.25">
      <c r="A59" s="52" t="s">
        <v>177</v>
      </c>
    </row>
    <row r="60" spans="1:1" x14ac:dyDescent="0.25">
      <c r="A60" s="51" t="s">
        <v>171</v>
      </c>
    </row>
    <row r="61" spans="1:1" x14ac:dyDescent="0.25">
      <c r="A61" s="51" t="s">
        <v>172</v>
      </c>
    </row>
    <row r="62" spans="1:1" x14ac:dyDescent="0.25">
      <c r="A62" s="51" t="s">
        <v>173</v>
      </c>
    </row>
    <row r="63" spans="1:1" x14ac:dyDescent="0.25">
      <c r="A63" s="51" t="s">
        <v>174</v>
      </c>
    </row>
    <row r="64" spans="1:1" x14ac:dyDescent="0.25">
      <c r="A64" s="51" t="s">
        <v>175</v>
      </c>
    </row>
    <row r="65" spans="1:1" x14ac:dyDescent="0.25">
      <c r="A65" s="51" t="s">
        <v>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E332-FE01-F14B-86CF-4F8B00B123C4}">
  <dimension ref="A3:JL110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D28" sqref="AD28"/>
    </sheetView>
  </sheetViews>
  <sheetFormatPr baseColWidth="10" defaultRowHeight="19" x14ac:dyDescent="0.25"/>
  <cols>
    <col min="1" max="1" width="16.33203125" style="1" bestFit="1" customWidth="1"/>
    <col min="2" max="2" width="12.6640625" style="5" bestFit="1" customWidth="1"/>
    <col min="3" max="3" width="30" style="1" bestFit="1" customWidth="1"/>
    <col min="4" max="15" width="10.83203125" style="1"/>
    <col min="16" max="16" width="10.83203125" style="5"/>
    <col min="17" max="27" width="10.83203125" style="1"/>
    <col min="28" max="28" width="10.83203125" style="5"/>
    <col min="29" max="39" width="10.83203125" style="1"/>
    <col min="40" max="40" width="14.83203125" style="1" bestFit="1" customWidth="1"/>
    <col min="41" max="41" width="12.1640625" style="1" bestFit="1" customWidth="1"/>
    <col min="42" max="16384" width="10.83203125" style="1"/>
  </cols>
  <sheetData>
    <row r="3" spans="1:38" x14ac:dyDescent="0.25">
      <c r="A3" s="2" t="s">
        <v>0</v>
      </c>
      <c r="C3" s="4" t="s">
        <v>94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4" t="s">
        <v>90</v>
      </c>
      <c r="Q3" s="23" t="s">
        <v>91</v>
      </c>
      <c r="R3" s="23" t="s">
        <v>92</v>
      </c>
      <c r="S3" s="23" t="s">
        <v>93</v>
      </c>
      <c r="T3" s="23"/>
      <c r="U3" s="23"/>
      <c r="V3" s="23" t="s">
        <v>116</v>
      </c>
      <c r="W3" s="23" t="s">
        <v>117</v>
      </c>
      <c r="X3" s="23" t="s">
        <v>118</v>
      </c>
      <c r="Y3" s="23" t="s">
        <v>74</v>
      </c>
      <c r="Z3" s="23" t="s">
        <v>75</v>
      </c>
      <c r="AA3" s="23" t="s">
        <v>76</v>
      </c>
      <c r="AB3" s="24" t="s">
        <v>77</v>
      </c>
      <c r="AC3" s="23" t="s">
        <v>78</v>
      </c>
      <c r="AD3" s="23" t="s">
        <v>79</v>
      </c>
      <c r="AE3" s="23" t="s">
        <v>80</v>
      </c>
      <c r="AF3" s="23" t="s">
        <v>81</v>
      </c>
      <c r="AG3" s="23" t="s">
        <v>82</v>
      </c>
      <c r="AH3" s="23" t="s">
        <v>83</v>
      </c>
      <c r="AI3" s="23" t="s">
        <v>84</v>
      </c>
      <c r="AJ3" s="23" t="s">
        <v>85</v>
      </c>
      <c r="AK3" s="23" t="s">
        <v>86</v>
      </c>
      <c r="AL3" s="23" t="s">
        <v>87</v>
      </c>
    </row>
    <row r="4" spans="1:38" x14ac:dyDescent="0.25">
      <c r="A4" s="4" t="s">
        <v>1</v>
      </c>
      <c r="B4" s="7">
        <v>125</v>
      </c>
      <c r="C4" s="2" t="s">
        <v>19</v>
      </c>
      <c r="D4" s="18">
        <v>183.08600000000001</v>
      </c>
      <c r="E4" s="18">
        <v>200.18700000000001</v>
      </c>
      <c r="F4" s="18">
        <v>202.08699999999999</v>
      </c>
      <c r="G4" s="18">
        <v>191.374</v>
      </c>
      <c r="H4" s="18">
        <v>145.428</v>
      </c>
      <c r="I4" s="18">
        <v>154.21700000000001</v>
      </c>
      <c r="J4" s="18">
        <v>135.03100000000001</v>
      </c>
      <c r="K4" s="18">
        <v>108.193</v>
      </c>
      <c r="L4" s="18">
        <v>74.498000000000005</v>
      </c>
      <c r="M4" s="18">
        <v>127.949</v>
      </c>
      <c r="N4" s="18">
        <v>158.773</v>
      </c>
      <c r="O4" s="18">
        <v>150.19999999999999</v>
      </c>
      <c r="P4" s="19">
        <v>155.06800000000001</v>
      </c>
      <c r="Q4" s="18">
        <v>155</v>
      </c>
      <c r="R4" s="18"/>
      <c r="S4" s="18"/>
      <c r="T4" s="18"/>
      <c r="U4" s="18"/>
      <c r="V4" s="18">
        <v>288.39499999999998</v>
      </c>
      <c r="W4" s="18">
        <v>405.21699999999998</v>
      </c>
      <c r="X4" s="18">
        <v>610.52800000000002</v>
      </c>
      <c r="Y4" s="18">
        <f>SUM(D4:G4)</f>
        <v>776.73400000000004</v>
      </c>
      <c r="Z4" s="18">
        <f>SUM(H4:K4)</f>
        <v>542.86900000000003</v>
      </c>
      <c r="AA4" s="18">
        <f>SUM(L4:O4)</f>
        <v>511.42</v>
      </c>
      <c r="AB4" s="19">
        <f>AA4*1.26</f>
        <v>644.38920000000007</v>
      </c>
      <c r="AC4" s="18">
        <f>AB4*1.2</f>
        <v>773.26704000000007</v>
      </c>
      <c r="AD4" s="18">
        <f>AC4*1.2</f>
        <v>927.92044800000008</v>
      </c>
      <c r="AE4" s="18">
        <f>AD4*1.2</f>
        <v>1113.5045376</v>
      </c>
      <c r="AF4" s="18">
        <f t="shared" ref="AF4:AL4" si="0">AE4*1.2</f>
        <v>1336.2054451199999</v>
      </c>
      <c r="AG4" s="18">
        <f t="shared" si="0"/>
        <v>1603.4465341439998</v>
      </c>
      <c r="AH4" s="18">
        <f t="shared" si="0"/>
        <v>1924.1358409727995</v>
      </c>
      <c r="AI4" s="18">
        <f t="shared" si="0"/>
        <v>2308.9630091673594</v>
      </c>
      <c r="AJ4" s="18">
        <f t="shared" si="0"/>
        <v>2770.7556110008313</v>
      </c>
      <c r="AK4" s="18">
        <f t="shared" si="0"/>
        <v>3324.9067332009977</v>
      </c>
      <c r="AL4" s="18">
        <f t="shared" si="0"/>
        <v>3989.8880798411969</v>
      </c>
    </row>
    <row r="5" spans="1:38" x14ac:dyDescent="0.25">
      <c r="A5" s="4" t="s">
        <v>15</v>
      </c>
      <c r="B5" s="7">
        <v>192.7816</v>
      </c>
      <c r="C5" s="1" t="s">
        <v>20</v>
      </c>
      <c r="D5" s="20">
        <v>-73.763000000000005</v>
      </c>
      <c r="E5" s="20">
        <v>-89.346999999999994</v>
      </c>
      <c r="F5" s="20">
        <v>-86.35</v>
      </c>
      <c r="G5" s="20">
        <v>-90.48</v>
      </c>
      <c r="H5" s="20">
        <v>-67.873999999999995</v>
      </c>
      <c r="I5" s="20">
        <v>-72.472999999999999</v>
      </c>
      <c r="J5" s="20">
        <v>-66.875</v>
      </c>
      <c r="K5" s="20">
        <v>-51.936</v>
      </c>
      <c r="L5" s="20">
        <v>-38.747999999999998</v>
      </c>
      <c r="M5" s="20">
        <v>-74.177999999999997</v>
      </c>
      <c r="N5" s="20">
        <v>-80.114999999999995</v>
      </c>
      <c r="O5" s="20">
        <v>-76.406000000000006</v>
      </c>
      <c r="P5" s="21">
        <v>-78.233999999999995</v>
      </c>
      <c r="Q5" s="20"/>
      <c r="R5" s="20"/>
      <c r="S5" s="20"/>
      <c r="T5" s="20"/>
      <c r="U5" s="20"/>
      <c r="V5" s="20">
        <v>-141.29</v>
      </c>
      <c r="W5" s="20">
        <v>-190.69</v>
      </c>
      <c r="X5" s="20">
        <v>-283.41500000000002</v>
      </c>
      <c r="Y5" s="20">
        <f>SUM(D5:G5)</f>
        <v>-339.94</v>
      </c>
      <c r="Z5" s="20">
        <f>SUM(H5:K5)</f>
        <v>-259.15799999999996</v>
      </c>
      <c r="AA5" s="20">
        <f>SUM(L5:O5)</f>
        <v>-269.447</v>
      </c>
      <c r="AB5" s="21">
        <f>AB4*-0.5</f>
        <v>-322.19460000000004</v>
      </c>
      <c r="AC5" s="20">
        <f t="shared" ref="AC5:AL5" si="1">AC4*-0.5</f>
        <v>-386.63352000000003</v>
      </c>
      <c r="AD5" s="20">
        <f t="shared" si="1"/>
        <v>-463.96022400000004</v>
      </c>
      <c r="AE5" s="20">
        <f t="shared" si="1"/>
        <v>-556.75226880000002</v>
      </c>
      <c r="AF5" s="20">
        <f t="shared" si="1"/>
        <v>-668.10272255999996</v>
      </c>
      <c r="AG5" s="20">
        <f t="shared" si="1"/>
        <v>-801.72326707199989</v>
      </c>
      <c r="AH5" s="20">
        <f t="shared" si="1"/>
        <v>-962.06792048639977</v>
      </c>
      <c r="AI5" s="20">
        <f t="shared" si="1"/>
        <v>-1154.4815045836797</v>
      </c>
      <c r="AJ5" s="20">
        <f t="shared" si="1"/>
        <v>-1385.3778055004157</v>
      </c>
      <c r="AK5" s="20">
        <f t="shared" si="1"/>
        <v>-1662.4533666004988</v>
      </c>
      <c r="AL5" s="20">
        <f t="shared" si="1"/>
        <v>-1994.9440399205985</v>
      </c>
    </row>
    <row r="6" spans="1:38" x14ac:dyDescent="0.25">
      <c r="A6" s="4" t="s">
        <v>16</v>
      </c>
      <c r="B6" s="7">
        <f>B4*B5</f>
        <v>24097.7</v>
      </c>
      <c r="C6" s="1" t="s">
        <v>21</v>
      </c>
      <c r="D6" s="20">
        <f t="shared" ref="D6:P6" si="2">SUM(D4:D5)</f>
        <v>109.32300000000001</v>
      </c>
      <c r="E6" s="20">
        <f t="shared" si="2"/>
        <v>110.84000000000002</v>
      </c>
      <c r="F6" s="20">
        <f t="shared" si="2"/>
        <v>115.73699999999999</v>
      </c>
      <c r="G6" s="20">
        <f t="shared" si="2"/>
        <v>100.89399999999999</v>
      </c>
      <c r="H6" s="20">
        <f t="shared" si="2"/>
        <v>77.554000000000002</v>
      </c>
      <c r="I6" s="20">
        <f t="shared" si="2"/>
        <v>81.744000000000014</v>
      </c>
      <c r="J6" s="20">
        <f t="shared" si="2"/>
        <v>68.156000000000006</v>
      </c>
      <c r="K6" s="20">
        <f t="shared" si="2"/>
        <v>56.256999999999998</v>
      </c>
      <c r="L6" s="20">
        <f t="shared" si="2"/>
        <v>35.750000000000007</v>
      </c>
      <c r="M6" s="20">
        <f t="shared" si="2"/>
        <v>53.771000000000001</v>
      </c>
      <c r="N6" s="20">
        <f t="shared" si="2"/>
        <v>78.658000000000001</v>
      </c>
      <c r="O6" s="20">
        <f t="shared" si="2"/>
        <v>73.793999999999983</v>
      </c>
      <c r="P6" s="21">
        <f t="shared" si="2"/>
        <v>76.834000000000017</v>
      </c>
      <c r="Q6" s="20"/>
      <c r="R6" s="20"/>
      <c r="S6" s="20"/>
      <c r="T6" s="20"/>
      <c r="U6" s="20"/>
      <c r="V6" s="20">
        <f t="shared" ref="V6:AA6" si="3">SUM(V4:V5)</f>
        <v>147.10499999999999</v>
      </c>
      <c r="W6" s="20">
        <f t="shared" si="3"/>
        <v>214.52699999999999</v>
      </c>
      <c r="X6" s="20">
        <f t="shared" si="3"/>
        <v>327.113</v>
      </c>
      <c r="Y6" s="20">
        <f t="shared" si="3"/>
        <v>436.79400000000004</v>
      </c>
      <c r="Z6" s="20">
        <f t="shared" si="3"/>
        <v>283.71100000000007</v>
      </c>
      <c r="AA6" s="20">
        <f t="shared" si="3"/>
        <v>241.97300000000001</v>
      </c>
      <c r="AB6" s="21">
        <f t="shared" ref="AB6:AL6" si="4">SUM(AB4:AB5)</f>
        <v>322.19460000000004</v>
      </c>
      <c r="AC6" s="20">
        <f t="shared" si="4"/>
        <v>386.63352000000003</v>
      </c>
      <c r="AD6" s="20">
        <f t="shared" si="4"/>
        <v>463.96022400000004</v>
      </c>
      <c r="AE6" s="20">
        <f t="shared" si="4"/>
        <v>556.75226880000002</v>
      </c>
      <c r="AF6" s="20">
        <f t="shared" si="4"/>
        <v>668.10272255999996</v>
      </c>
      <c r="AG6" s="20">
        <f t="shared" si="4"/>
        <v>801.72326707199989</v>
      </c>
      <c r="AH6" s="20">
        <f t="shared" si="4"/>
        <v>962.06792048639977</v>
      </c>
      <c r="AI6" s="20">
        <f t="shared" si="4"/>
        <v>1154.4815045836797</v>
      </c>
      <c r="AJ6" s="20">
        <f t="shared" si="4"/>
        <v>1385.3778055004157</v>
      </c>
      <c r="AK6" s="20">
        <f t="shared" si="4"/>
        <v>1662.4533666004988</v>
      </c>
      <c r="AL6" s="20">
        <f t="shared" si="4"/>
        <v>1994.9440399205985</v>
      </c>
    </row>
    <row r="7" spans="1:38" x14ac:dyDescent="0.25">
      <c r="A7" s="4" t="s">
        <v>71</v>
      </c>
      <c r="B7" s="7">
        <v>3191.4</v>
      </c>
      <c r="C7" s="1" t="s">
        <v>22</v>
      </c>
      <c r="D7" s="20">
        <v>-40.084000000000003</v>
      </c>
      <c r="E7" s="20">
        <v>-39.070999999999998</v>
      </c>
      <c r="F7" s="20">
        <v>-39.478999999999999</v>
      </c>
      <c r="G7" s="20">
        <v>-42.805999999999997</v>
      </c>
      <c r="H7" s="20">
        <v>-43.7</v>
      </c>
      <c r="I7" s="20">
        <v>-33.451999999999998</v>
      </c>
      <c r="J7" s="20">
        <v>-35.447000000000003</v>
      </c>
      <c r="K7" s="20">
        <v>-40.390999999999998</v>
      </c>
      <c r="L7" s="20">
        <v>-40.432000000000002</v>
      </c>
      <c r="M7" s="20">
        <v>-42.207000000000001</v>
      </c>
      <c r="N7" s="20">
        <v>-43.933999999999997</v>
      </c>
      <c r="O7" s="20">
        <v>-43.749000000000002</v>
      </c>
      <c r="P7" s="21">
        <v>-43.137</v>
      </c>
      <c r="Q7" s="20"/>
      <c r="R7" s="20"/>
      <c r="S7" s="20"/>
      <c r="T7" s="20"/>
      <c r="U7" s="20"/>
      <c r="V7" s="20">
        <v>-80.281000000000006</v>
      </c>
      <c r="W7" s="20">
        <v>-101.211</v>
      </c>
      <c r="X7" s="20">
        <v>-149.82400000000001</v>
      </c>
      <c r="Y7" s="20">
        <f>SUM(D7:G7)</f>
        <v>-161.44</v>
      </c>
      <c r="Z7" s="20">
        <f>SUM(H7:K7)</f>
        <v>-152.99</v>
      </c>
      <c r="AA7" s="20">
        <f>SUM(L7:O7)</f>
        <v>-170.322</v>
      </c>
      <c r="AB7" s="21">
        <f>AA7*1.05</f>
        <v>-178.8381</v>
      </c>
      <c r="AC7" s="20">
        <f>AB7*1.08</f>
        <v>-193.14514800000001</v>
      </c>
      <c r="AD7" s="20">
        <f>AC7*1.15</f>
        <v>-222.11692019999998</v>
      </c>
      <c r="AE7" s="20">
        <f>AD7*1.15</f>
        <v>-255.43445822999996</v>
      </c>
      <c r="AF7" s="20">
        <f>AE7*1.15</f>
        <v>-293.74962696449995</v>
      </c>
      <c r="AG7" s="20">
        <f>AF7*1.1</f>
        <v>-323.12458966094999</v>
      </c>
      <c r="AH7" s="20">
        <f t="shared" ref="AH7:AL7" si="5">AG7*1.1</f>
        <v>-355.43704862704504</v>
      </c>
      <c r="AI7" s="20">
        <f t="shared" si="5"/>
        <v>-390.98075348974959</v>
      </c>
      <c r="AJ7" s="20">
        <f t="shared" si="5"/>
        <v>-430.07882883872458</v>
      </c>
      <c r="AK7" s="20">
        <f t="shared" si="5"/>
        <v>-473.08671172259704</v>
      </c>
      <c r="AL7" s="20">
        <f t="shared" si="5"/>
        <v>-520.39538289485677</v>
      </c>
    </row>
    <row r="8" spans="1:38" x14ac:dyDescent="0.25">
      <c r="A8" s="4" t="s">
        <v>72</v>
      </c>
      <c r="B8" s="7">
        <v>975.7</v>
      </c>
      <c r="C8" s="1" t="s">
        <v>23</v>
      </c>
      <c r="D8" s="20">
        <v>-14.506</v>
      </c>
      <c r="E8" s="20">
        <v>-19.84</v>
      </c>
      <c r="F8" s="20">
        <v>-16.123000000000001</v>
      </c>
      <c r="G8" s="20">
        <v>-19.215</v>
      </c>
      <c r="H8" s="20">
        <v>-19.297999999999998</v>
      </c>
      <c r="I8" s="20">
        <v>-19.774999999999999</v>
      </c>
      <c r="J8" s="20">
        <v>-19.863</v>
      </c>
      <c r="K8" s="20">
        <v>-22.754000000000001</v>
      </c>
      <c r="L8" s="20">
        <v>-18.149000000000001</v>
      </c>
      <c r="M8" s="20">
        <v>-18.795999999999999</v>
      </c>
      <c r="N8" s="20">
        <v>-18.559000000000001</v>
      </c>
      <c r="O8" s="20">
        <v>-21.376000000000001</v>
      </c>
      <c r="P8" s="21">
        <v>-18.954999999999998</v>
      </c>
      <c r="Q8" s="20"/>
      <c r="R8" s="20"/>
      <c r="S8" s="20"/>
      <c r="T8" s="20"/>
      <c r="U8" s="20"/>
      <c r="V8" s="20">
        <v>-33.664999999999999</v>
      </c>
      <c r="W8" s="20">
        <v>-35.954000000000001</v>
      </c>
      <c r="X8" s="20">
        <v>-52</v>
      </c>
      <c r="Y8" s="20">
        <f>SUM(D8:G8)</f>
        <v>-69.684000000000012</v>
      </c>
      <c r="Z8" s="20">
        <f>SUM(H8:K8)</f>
        <v>-81.69</v>
      </c>
      <c r="AA8" s="20">
        <f>SUM(L8:O8)</f>
        <v>-76.88000000000001</v>
      </c>
      <c r="AB8" s="21">
        <f>AA8*1</f>
        <v>-76.88000000000001</v>
      </c>
      <c r="AC8" s="20">
        <f t="shared" ref="AC8:AL8" si="6">AB8*1.05</f>
        <v>-80.724000000000018</v>
      </c>
      <c r="AD8" s="20">
        <f t="shared" si="6"/>
        <v>-84.760200000000026</v>
      </c>
      <c r="AE8" s="20">
        <f t="shared" si="6"/>
        <v>-88.998210000000029</v>
      </c>
      <c r="AF8" s="20">
        <f t="shared" si="6"/>
        <v>-93.44812050000003</v>
      </c>
      <c r="AG8" s="20">
        <f t="shared" si="6"/>
        <v>-98.120526525000031</v>
      </c>
      <c r="AH8" s="20">
        <f t="shared" si="6"/>
        <v>-103.02655285125003</v>
      </c>
      <c r="AI8" s="20">
        <f t="shared" si="6"/>
        <v>-108.17788049381254</v>
      </c>
      <c r="AJ8" s="20">
        <f t="shared" si="6"/>
        <v>-113.58677451850316</v>
      </c>
      <c r="AK8" s="20">
        <f t="shared" si="6"/>
        <v>-119.26611324442833</v>
      </c>
      <c r="AL8" s="20">
        <f t="shared" si="6"/>
        <v>-125.22941890664974</v>
      </c>
    </row>
    <row r="9" spans="1:38" x14ac:dyDescent="0.25">
      <c r="A9" s="3" t="s">
        <v>73</v>
      </c>
      <c r="B9" s="8">
        <f>B6-B7+B8</f>
        <v>21882</v>
      </c>
      <c r="C9" s="2" t="s">
        <v>24</v>
      </c>
      <c r="D9" s="18">
        <f t="shared" ref="D9:P9" si="7">SUM(D6:D8)</f>
        <v>54.733000000000004</v>
      </c>
      <c r="E9" s="18">
        <f t="shared" si="7"/>
        <v>51.929000000000016</v>
      </c>
      <c r="F9" s="18">
        <f t="shared" si="7"/>
        <v>60.134999999999991</v>
      </c>
      <c r="G9" s="18">
        <f t="shared" si="7"/>
        <v>38.87299999999999</v>
      </c>
      <c r="H9" s="18">
        <f t="shared" si="7"/>
        <v>14.556000000000001</v>
      </c>
      <c r="I9" s="18">
        <f t="shared" si="7"/>
        <v>28.517000000000017</v>
      </c>
      <c r="J9" s="18">
        <f t="shared" si="7"/>
        <v>12.846000000000004</v>
      </c>
      <c r="K9" s="18">
        <f t="shared" si="7"/>
        <v>-6.8880000000000017</v>
      </c>
      <c r="L9" s="18">
        <f t="shared" si="7"/>
        <v>-22.830999999999996</v>
      </c>
      <c r="M9" s="18">
        <f t="shared" si="7"/>
        <v>-7.2319999999999993</v>
      </c>
      <c r="N9" s="18">
        <f t="shared" si="7"/>
        <v>16.165000000000003</v>
      </c>
      <c r="O9" s="18">
        <f t="shared" si="7"/>
        <v>8.6689999999999792</v>
      </c>
      <c r="P9" s="19">
        <f t="shared" si="7"/>
        <v>14.742000000000019</v>
      </c>
      <c r="Q9" s="20"/>
      <c r="R9" s="20"/>
      <c r="S9" s="20"/>
      <c r="T9" s="20"/>
      <c r="U9" s="20"/>
      <c r="V9" s="18">
        <f t="shared" ref="V9:AA9" si="8">SUM(V6:V8)</f>
        <v>33.158999999999985</v>
      </c>
      <c r="W9" s="18">
        <f t="shared" si="8"/>
        <v>77.361999999999995</v>
      </c>
      <c r="X9" s="18">
        <f t="shared" si="8"/>
        <v>125.28899999999999</v>
      </c>
      <c r="Y9" s="18">
        <f t="shared" si="8"/>
        <v>205.67000000000002</v>
      </c>
      <c r="Z9" s="18">
        <f t="shared" si="8"/>
        <v>49.031000000000063</v>
      </c>
      <c r="AA9" s="18">
        <f t="shared" si="8"/>
        <v>-5.2289999999999992</v>
      </c>
      <c r="AB9" s="19">
        <f t="shared" ref="AB9:AL9" si="9">SUM(AB6:AB8)</f>
        <v>66.47650000000003</v>
      </c>
      <c r="AC9" s="18">
        <f t="shared" si="9"/>
        <v>112.76437200000001</v>
      </c>
      <c r="AD9" s="18">
        <f t="shared" si="9"/>
        <v>157.08310380000003</v>
      </c>
      <c r="AE9" s="18">
        <f t="shared" si="9"/>
        <v>212.31960057000003</v>
      </c>
      <c r="AF9" s="18">
        <f t="shared" si="9"/>
        <v>280.90497509549999</v>
      </c>
      <c r="AG9" s="18">
        <f t="shared" si="9"/>
        <v>380.47815088604989</v>
      </c>
      <c r="AH9" s="18">
        <f t="shared" si="9"/>
        <v>503.60431900810477</v>
      </c>
      <c r="AI9" s="18">
        <f t="shared" si="9"/>
        <v>655.32287060011765</v>
      </c>
      <c r="AJ9" s="18">
        <f t="shared" si="9"/>
        <v>841.71220214318794</v>
      </c>
      <c r="AK9" s="18">
        <f t="shared" si="9"/>
        <v>1070.1005416334733</v>
      </c>
      <c r="AL9" s="18">
        <f t="shared" si="9"/>
        <v>1349.319238119092</v>
      </c>
    </row>
    <row r="10" spans="1:38" x14ac:dyDescent="0.25">
      <c r="C10" s="1" t="s">
        <v>25</v>
      </c>
      <c r="D10" s="20">
        <v>-10.038</v>
      </c>
      <c r="E10" s="20">
        <v>-10.55</v>
      </c>
      <c r="F10" s="20">
        <v>-11.627000000000001</v>
      </c>
      <c r="G10" s="20">
        <v>-11.852</v>
      </c>
      <c r="H10" s="20">
        <v>-11.509</v>
      </c>
      <c r="I10" s="20">
        <v>-10.935</v>
      </c>
      <c r="J10" s="20">
        <v>-10.747</v>
      </c>
      <c r="K10" s="20">
        <v>-11.137</v>
      </c>
      <c r="L10" s="20">
        <v>-10.654999999999999</v>
      </c>
      <c r="M10" s="20">
        <v>-9.5619999999999994</v>
      </c>
      <c r="N10" s="20">
        <v>-9.98</v>
      </c>
      <c r="O10" s="20">
        <v>-10.377000000000001</v>
      </c>
      <c r="P10" s="21">
        <v>-9.0299999999999994</v>
      </c>
      <c r="Q10" s="20"/>
      <c r="R10" s="20"/>
      <c r="S10" s="20"/>
      <c r="T10" s="20"/>
      <c r="U10" s="20"/>
      <c r="V10" s="20">
        <v>-23.535</v>
      </c>
      <c r="W10" s="20">
        <v>-31</v>
      </c>
      <c r="X10" s="20">
        <v>-37.798000000000002</v>
      </c>
      <c r="Y10" s="20">
        <f>SUM(D10:G10)</f>
        <v>-44.067000000000007</v>
      </c>
      <c r="Z10" s="20">
        <f>SUM(H10:K10)</f>
        <v>-44.328000000000003</v>
      </c>
      <c r="AA10" s="20">
        <f>SUM(L10:O10)</f>
        <v>-40.573999999999998</v>
      </c>
      <c r="AB10" s="21">
        <v>-40</v>
      </c>
      <c r="AC10" s="20">
        <v>-40</v>
      </c>
      <c r="AD10" s="20">
        <v>-40</v>
      </c>
      <c r="AE10" s="20">
        <v>-40</v>
      </c>
      <c r="AF10" s="20">
        <v>-40</v>
      </c>
      <c r="AG10" s="20">
        <v>-40</v>
      </c>
      <c r="AH10" s="20">
        <v>-40</v>
      </c>
      <c r="AI10" s="20">
        <v>-40</v>
      </c>
      <c r="AJ10" s="20">
        <v>-40</v>
      </c>
      <c r="AK10" s="20">
        <v>-40</v>
      </c>
      <c r="AL10" s="20">
        <v>-40</v>
      </c>
    </row>
    <row r="11" spans="1:38" x14ac:dyDescent="0.25">
      <c r="A11" s="4" t="s">
        <v>34</v>
      </c>
      <c r="B11" s="6">
        <v>10.220000000000001</v>
      </c>
      <c r="C11" s="2" t="s">
        <v>26</v>
      </c>
      <c r="D11" s="18">
        <f t="shared" ref="D11:P11" si="10">SUM(D9:D10)</f>
        <v>44.695000000000007</v>
      </c>
      <c r="E11" s="18">
        <f t="shared" si="10"/>
        <v>41.379000000000019</v>
      </c>
      <c r="F11" s="18">
        <f t="shared" si="10"/>
        <v>48.507999999999988</v>
      </c>
      <c r="G11" s="18">
        <f t="shared" si="10"/>
        <v>27.02099999999999</v>
      </c>
      <c r="H11" s="18">
        <f t="shared" si="10"/>
        <v>3.0470000000000006</v>
      </c>
      <c r="I11" s="18">
        <f t="shared" si="10"/>
        <v>17.582000000000015</v>
      </c>
      <c r="J11" s="18">
        <f t="shared" si="10"/>
        <v>2.0990000000000038</v>
      </c>
      <c r="K11" s="18">
        <f t="shared" si="10"/>
        <v>-18.025000000000002</v>
      </c>
      <c r="L11" s="18">
        <f t="shared" si="10"/>
        <v>-33.485999999999997</v>
      </c>
      <c r="M11" s="18">
        <f t="shared" si="10"/>
        <v>-16.793999999999997</v>
      </c>
      <c r="N11" s="18">
        <f t="shared" si="10"/>
        <v>6.1850000000000023</v>
      </c>
      <c r="O11" s="18">
        <f t="shared" si="10"/>
        <v>-1.7080000000000215</v>
      </c>
      <c r="P11" s="19">
        <f t="shared" si="10"/>
        <v>5.7120000000000193</v>
      </c>
      <c r="Q11" s="20"/>
      <c r="R11" s="20"/>
      <c r="S11" s="20"/>
      <c r="T11" s="20"/>
      <c r="U11" s="20"/>
      <c r="V11" s="18">
        <f t="shared" ref="V11:AA11" si="11">SUM(V9:V10)</f>
        <v>9.6239999999999846</v>
      </c>
      <c r="W11" s="18">
        <f t="shared" si="11"/>
        <v>46.361999999999995</v>
      </c>
      <c r="X11" s="18">
        <f t="shared" si="11"/>
        <v>87.490999999999985</v>
      </c>
      <c r="Y11" s="18">
        <f t="shared" si="11"/>
        <v>161.60300000000001</v>
      </c>
      <c r="Z11" s="18">
        <f t="shared" si="11"/>
        <v>4.7030000000000598</v>
      </c>
      <c r="AA11" s="18">
        <f t="shared" si="11"/>
        <v>-45.802999999999997</v>
      </c>
      <c r="AB11" s="19">
        <f t="shared" ref="AB11:AL11" si="12">SUM(AB9:AB10)</f>
        <v>26.47650000000003</v>
      </c>
      <c r="AC11" s="18">
        <f t="shared" si="12"/>
        <v>72.764372000000009</v>
      </c>
      <c r="AD11" s="18">
        <f t="shared" si="12"/>
        <v>117.08310380000003</v>
      </c>
      <c r="AE11" s="18">
        <f t="shared" si="12"/>
        <v>172.31960057000003</v>
      </c>
      <c r="AF11" s="18">
        <f t="shared" si="12"/>
        <v>240.90497509549999</v>
      </c>
      <c r="AG11" s="18">
        <f t="shared" si="12"/>
        <v>340.47815088604989</v>
      </c>
      <c r="AH11" s="18">
        <f t="shared" si="12"/>
        <v>463.60431900810477</v>
      </c>
      <c r="AI11" s="18">
        <f t="shared" si="12"/>
        <v>615.32287060011765</v>
      </c>
      <c r="AJ11" s="18">
        <f t="shared" si="12"/>
        <v>801.71220214318794</v>
      </c>
      <c r="AK11" s="18">
        <f t="shared" si="12"/>
        <v>1030.1005416334733</v>
      </c>
      <c r="AL11" s="18">
        <f t="shared" si="12"/>
        <v>1309.319238119092</v>
      </c>
    </row>
    <row r="12" spans="1:38" x14ac:dyDescent="0.25">
      <c r="C12" s="1" t="s">
        <v>27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-0.11600000000000001</v>
      </c>
      <c r="N12" s="20">
        <v>-0.11600000000000001</v>
      </c>
      <c r="O12" s="20">
        <v>-2.8000000000000001E-2</v>
      </c>
      <c r="P12" s="21">
        <v>-0.13100000000000001</v>
      </c>
      <c r="Q12" s="20"/>
      <c r="R12" s="20"/>
      <c r="S12" s="20"/>
      <c r="T12" s="20"/>
      <c r="U12" s="20"/>
      <c r="V12" s="1">
        <v>0</v>
      </c>
      <c r="W12" s="20">
        <f>0</f>
        <v>0</v>
      </c>
      <c r="X12" s="20">
        <v>0</v>
      </c>
      <c r="Y12" s="20">
        <v>0</v>
      </c>
      <c r="Z12" s="20">
        <v>0</v>
      </c>
      <c r="AA12" s="20">
        <v>0</v>
      </c>
      <c r="AB12" s="21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</row>
    <row r="13" spans="1:38" x14ac:dyDescent="0.25">
      <c r="C13" s="1" t="s">
        <v>28</v>
      </c>
      <c r="D13" s="20">
        <v>-5.6000000000000001E-2</v>
      </c>
      <c r="E13" s="20">
        <v>0.158</v>
      </c>
      <c r="F13" s="20">
        <v>0.78200000000000003</v>
      </c>
      <c r="G13" s="20">
        <v>4.05</v>
      </c>
      <c r="H13" s="20">
        <v>1.494</v>
      </c>
      <c r="I13" s="20">
        <v>1.5780000000000001</v>
      </c>
      <c r="J13" s="20">
        <v>0.52100000000000002</v>
      </c>
      <c r="K13" s="20">
        <v>2.4430000000000001</v>
      </c>
      <c r="L13" s="20">
        <v>0.496</v>
      </c>
      <c r="M13" s="20">
        <v>0.433</v>
      </c>
      <c r="N13" s="20">
        <v>-1.143</v>
      </c>
      <c r="O13" s="20">
        <v>-0.72899999999999998</v>
      </c>
      <c r="P13" s="21">
        <v>-0.52500000000000002</v>
      </c>
      <c r="Q13" s="20"/>
      <c r="R13" s="20"/>
      <c r="S13" s="20"/>
      <c r="T13" s="20"/>
      <c r="U13" s="20"/>
      <c r="V13" s="20">
        <f>1.9-1.1</f>
        <v>0.79999999999999982</v>
      </c>
      <c r="W13" s="20">
        <f>0.642-1.416</f>
        <v>-0.77399999999999991</v>
      </c>
      <c r="X13" s="20">
        <f>0.73-1.129</f>
        <v>-0.39900000000000002</v>
      </c>
      <c r="Y13" s="20">
        <f>SUM(D13:G13)</f>
        <v>4.9340000000000002</v>
      </c>
      <c r="Z13" s="20">
        <f>SUM(H13:K13)</f>
        <v>6.0359999999999996</v>
      </c>
      <c r="AA13" s="20">
        <f>SUM(L13:O13)</f>
        <v>-0.94299999999999995</v>
      </c>
      <c r="AB13" s="21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</row>
    <row r="14" spans="1:38" x14ac:dyDescent="0.25">
      <c r="C14" s="1" t="s">
        <v>29</v>
      </c>
      <c r="D14" s="20">
        <v>-0.19</v>
      </c>
      <c r="E14" s="20">
        <v>5.1120000000000001</v>
      </c>
      <c r="F14" s="20">
        <v>1.9850000000000001</v>
      </c>
      <c r="G14" s="20">
        <v>-6.2869999999999999</v>
      </c>
      <c r="H14" s="20">
        <v>3.8530000000000002</v>
      </c>
      <c r="I14" s="20">
        <v>0.42</v>
      </c>
      <c r="J14" s="20">
        <v>-0.91500000000000004</v>
      </c>
      <c r="K14" s="20">
        <v>-2.0009999999999999</v>
      </c>
      <c r="L14" s="20">
        <v>2.3559999999999999</v>
      </c>
      <c r="M14" s="20">
        <v>-1.5009999999999999</v>
      </c>
      <c r="N14" s="20">
        <v>0.57499999999999996</v>
      </c>
      <c r="O14" s="20">
        <v>2.3889999999999998</v>
      </c>
      <c r="P14" s="21">
        <v>-3</v>
      </c>
      <c r="Q14" s="20"/>
      <c r="R14" s="20"/>
      <c r="S14" s="20"/>
      <c r="T14" s="20"/>
      <c r="U14" s="20"/>
      <c r="V14" s="20">
        <v>-0.375</v>
      </c>
      <c r="W14" s="20">
        <v>-2</v>
      </c>
      <c r="X14" s="20">
        <v>0.73899999999999999</v>
      </c>
      <c r="Y14" s="20">
        <f>SUM(D14:G14)</f>
        <v>0.62000000000000011</v>
      </c>
      <c r="Z14" s="20">
        <f>SUM(H14:K14)</f>
        <v>1.3570000000000007</v>
      </c>
      <c r="AA14" s="20">
        <f>SUM(L14:O14)</f>
        <v>3.819</v>
      </c>
      <c r="AB14" s="21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</row>
    <row r="15" spans="1:38" x14ac:dyDescent="0.25">
      <c r="C15" s="1" t="s">
        <v>30</v>
      </c>
      <c r="D15" s="20">
        <f t="shared" ref="D15:P15" si="13">SUM(D11:D14)</f>
        <v>44.449000000000012</v>
      </c>
      <c r="E15" s="20">
        <f t="shared" si="13"/>
        <v>46.649000000000022</v>
      </c>
      <c r="F15" s="20">
        <f t="shared" si="13"/>
        <v>51.274999999999991</v>
      </c>
      <c r="G15" s="20">
        <f t="shared" si="13"/>
        <v>24.783999999999992</v>
      </c>
      <c r="H15" s="20">
        <f t="shared" si="13"/>
        <v>8.3940000000000001</v>
      </c>
      <c r="I15" s="20">
        <f t="shared" si="13"/>
        <v>19.580000000000016</v>
      </c>
      <c r="J15" s="20">
        <f t="shared" si="13"/>
        <v>1.7050000000000036</v>
      </c>
      <c r="K15" s="20">
        <f t="shared" si="13"/>
        <v>-17.583000000000002</v>
      </c>
      <c r="L15" s="20">
        <f t="shared" si="13"/>
        <v>-30.633999999999993</v>
      </c>
      <c r="M15" s="20">
        <f t="shared" si="13"/>
        <v>-17.977999999999998</v>
      </c>
      <c r="N15" s="20">
        <f t="shared" si="13"/>
        <v>5.501000000000003</v>
      </c>
      <c r="O15" s="20">
        <f t="shared" si="13"/>
        <v>-7.6000000000021828E-2</v>
      </c>
      <c r="P15" s="21">
        <f t="shared" si="13"/>
        <v>2.0560000000000187</v>
      </c>
      <c r="Q15" s="20"/>
      <c r="R15" s="20"/>
      <c r="S15" s="20"/>
      <c r="T15" s="20"/>
      <c r="U15" s="20"/>
      <c r="V15" s="20">
        <f t="shared" ref="V15:AA15" si="14">SUM(V11:V14)</f>
        <v>10.048999999999985</v>
      </c>
      <c r="W15" s="20">
        <f t="shared" si="14"/>
        <v>43.587999999999994</v>
      </c>
      <c r="X15" s="20">
        <f t="shared" si="14"/>
        <v>87.830999999999989</v>
      </c>
      <c r="Y15" s="20">
        <f t="shared" si="14"/>
        <v>167.15700000000001</v>
      </c>
      <c r="Z15" s="20">
        <f t="shared" si="14"/>
        <v>12.09600000000006</v>
      </c>
      <c r="AA15" s="20">
        <f t="shared" si="14"/>
        <v>-42.926999999999992</v>
      </c>
      <c r="AB15" s="21">
        <f t="shared" ref="AB15:AL15" si="15">SUM(AB11:AB14)</f>
        <v>26.47650000000003</v>
      </c>
      <c r="AC15" s="20">
        <f t="shared" si="15"/>
        <v>72.764372000000009</v>
      </c>
      <c r="AD15" s="20">
        <f t="shared" si="15"/>
        <v>117.08310380000003</v>
      </c>
      <c r="AE15" s="20">
        <f t="shared" si="15"/>
        <v>172.31960057000003</v>
      </c>
      <c r="AF15" s="20">
        <f t="shared" si="15"/>
        <v>240.90497509549999</v>
      </c>
      <c r="AG15" s="20">
        <f t="shared" si="15"/>
        <v>340.47815088604989</v>
      </c>
      <c r="AH15" s="20">
        <f t="shared" si="15"/>
        <v>463.60431900810477</v>
      </c>
      <c r="AI15" s="20">
        <f t="shared" si="15"/>
        <v>615.32287060011765</v>
      </c>
      <c r="AJ15" s="20">
        <f t="shared" si="15"/>
        <v>801.71220214318794</v>
      </c>
      <c r="AK15" s="20">
        <f t="shared" si="15"/>
        <v>1030.1005416334733</v>
      </c>
      <c r="AL15" s="20">
        <f t="shared" si="15"/>
        <v>1309.319238119092</v>
      </c>
    </row>
    <row r="16" spans="1:38" x14ac:dyDescent="0.25">
      <c r="C16" s="1" t="s">
        <v>31</v>
      </c>
      <c r="D16" s="20">
        <v>-10.711</v>
      </c>
      <c r="E16" s="20">
        <v>-13.645</v>
      </c>
      <c r="F16" s="20">
        <v>-27.113</v>
      </c>
      <c r="G16" s="20">
        <v>6.6520000000000001</v>
      </c>
      <c r="H16" s="20">
        <v>-5.3540000000000001</v>
      </c>
      <c r="I16" s="20">
        <v>-3.726</v>
      </c>
      <c r="J16" s="20">
        <v>-0.52700000000000002</v>
      </c>
      <c r="K16" s="20">
        <v>5.16</v>
      </c>
      <c r="L16" s="20">
        <v>4.9020000000000001</v>
      </c>
      <c r="M16" s="20">
        <v>2.927</v>
      </c>
      <c r="N16" s="20">
        <v>0.67100000000000004</v>
      </c>
      <c r="O16" s="20">
        <v>-3.8149999999999999</v>
      </c>
      <c r="P16" s="21">
        <v>-0.88600000000000001</v>
      </c>
      <c r="Q16" s="20"/>
      <c r="R16" s="20"/>
      <c r="S16" s="20"/>
      <c r="T16" s="20"/>
      <c r="U16" s="20"/>
      <c r="V16" s="20">
        <v>-2.2999999999999998</v>
      </c>
      <c r="W16" s="20">
        <v>-4.5</v>
      </c>
      <c r="X16" s="20">
        <v>-16.088999999999999</v>
      </c>
      <c r="Y16" s="20">
        <f>SUM(D16:G16)</f>
        <v>-44.817</v>
      </c>
      <c r="Z16" s="20">
        <f>SUM(H16:K16)</f>
        <v>-4.4469999999999992</v>
      </c>
      <c r="AA16" s="20">
        <f>SUM(L16:O16)</f>
        <v>4.6850000000000005</v>
      </c>
      <c r="AB16" s="21">
        <f>AB15*-0.22</f>
        <v>-5.8248300000000066</v>
      </c>
      <c r="AC16" s="20">
        <f t="shared" ref="AC16:AL16" si="16">AC15*-0.22</f>
        <v>-16.008161840000003</v>
      </c>
      <c r="AD16" s="20">
        <f t="shared" si="16"/>
        <v>-25.758282836000006</v>
      </c>
      <c r="AE16" s="20">
        <f t="shared" si="16"/>
        <v>-37.910312125400004</v>
      </c>
      <c r="AF16" s="20">
        <f t="shared" si="16"/>
        <v>-52.999094521010001</v>
      </c>
      <c r="AG16" s="20">
        <f t="shared" si="16"/>
        <v>-74.905193194930973</v>
      </c>
      <c r="AH16" s="20">
        <f t="shared" si="16"/>
        <v>-101.99295018178304</v>
      </c>
      <c r="AI16" s="20">
        <f t="shared" si="16"/>
        <v>-135.37103153202588</v>
      </c>
      <c r="AJ16" s="20">
        <f t="shared" si="16"/>
        <v>-176.37668447150133</v>
      </c>
      <c r="AK16" s="20">
        <f t="shared" si="16"/>
        <v>-226.62211915936413</v>
      </c>
      <c r="AL16" s="20">
        <f t="shared" si="16"/>
        <v>-288.05023238620026</v>
      </c>
    </row>
    <row r="17" spans="3:272" x14ac:dyDescent="0.25">
      <c r="C17" s="2" t="s">
        <v>32</v>
      </c>
      <c r="D17" s="18">
        <f t="shared" ref="D17:P17" si="17">SUM(D15:D16)</f>
        <v>33.738000000000014</v>
      </c>
      <c r="E17" s="18">
        <f t="shared" si="17"/>
        <v>33.004000000000019</v>
      </c>
      <c r="F17" s="18">
        <f t="shared" si="17"/>
        <v>24.161999999999992</v>
      </c>
      <c r="G17" s="18">
        <f t="shared" si="17"/>
        <v>31.435999999999993</v>
      </c>
      <c r="H17" s="18">
        <f t="shared" si="17"/>
        <v>3.04</v>
      </c>
      <c r="I17" s="18">
        <f t="shared" si="17"/>
        <v>15.854000000000017</v>
      </c>
      <c r="J17" s="18">
        <f t="shared" si="17"/>
        <v>1.1780000000000035</v>
      </c>
      <c r="K17" s="18">
        <f t="shared" si="17"/>
        <v>-12.423000000000002</v>
      </c>
      <c r="L17" s="18">
        <f t="shared" si="17"/>
        <v>-25.731999999999992</v>
      </c>
      <c r="M17" s="18">
        <f t="shared" si="17"/>
        <v>-15.050999999999998</v>
      </c>
      <c r="N17" s="18">
        <f t="shared" si="17"/>
        <v>6.1720000000000033</v>
      </c>
      <c r="O17" s="18">
        <f t="shared" si="17"/>
        <v>-3.8910000000000218</v>
      </c>
      <c r="P17" s="19">
        <f t="shared" si="17"/>
        <v>1.1700000000000186</v>
      </c>
      <c r="Q17" s="20"/>
      <c r="R17" s="20"/>
      <c r="S17" s="20"/>
      <c r="T17" s="20"/>
      <c r="U17" s="20"/>
      <c r="V17" s="18">
        <f t="shared" ref="V17:AA17" si="18">SUM(V15:V16)</f>
        <v>7.7489999999999855</v>
      </c>
      <c r="W17" s="18">
        <f t="shared" si="18"/>
        <v>39.087999999999994</v>
      </c>
      <c r="X17" s="18">
        <f t="shared" si="18"/>
        <v>71.74199999999999</v>
      </c>
      <c r="Y17" s="18">
        <f t="shared" si="18"/>
        <v>122.34</v>
      </c>
      <c r="Z17" s="18">
        <f t="shared" si="18"/>
        <v>7.6490000000000613</v>
      </c>
      <c r="AA17" s="18">
        <f t="shared" si="18"/>
        <v>-38.24199999999999</v>
      </c>
      <c r="AB17" s="19">
        <f t="shared" ref="AB17:AL17" si="19">SUM(AB15:AB16)</f>
        <v>20.651670000000024</v>
      </c>
      <c r="AC17" s="18">
        <f t="shared" si="19"/>
        <v>56.756210160000009</v>
      </c>
      <c r="AD17" s="18">
        <f t="shared" si="19"/>
        <v>91.324820964000025</v>
      </c>
      <c r="AE17" s="18">
        <f t="shared" si="19"/>
        <v>134.40928844460004</v>
      </c>
      <c r="AF17" s="18">
        <f t="shared" si="19"/>
        <v>187.90588057449</v>
      </c>
      <c r="AG17" s="18">
        <f t="shared" si="19"/>
        <v>265.57295769111892</v>
      </c>
      <c r="AH17" s="18">
        <f t="shared" si="19"/>
        <v>361.61136882632172</v>
      </c>
      <c r="AI17" s="18">
        <f t="shared" si="19"/>
        <v>479.95183906809177</v>
      </c>
      <c r="AJ17" s="18">
        <f t="shared" si="19"/>
        <v>625.3355176716866</v>
      </c>
      <c r="AK17" s="18">
        <f t="shared" si="19"/>
        <v>803.47842247410915</v>
      </c>
      <c r="AL17" s="18">
        <f t="shared" si="19"/>
        <v>1021.2690057328917</v>
      </c>
      <c r="AM17" s="18">
        <f>AL17*(1+$AO$23)</f>
        <v>1011.0563156755628</v>
      </c>
      <c r="AN17" s="18">
        <f t="shared" ref="AN17:CY17" si="20">AM17*(1+$AO$23)</f>
        <v>1000.9457525188071</v>
      </c>
      <c r="AO17" s="18">
        <f t="shared" si="20"/>
        <v>990.93629499361907</v>
      </c>
      <c r="AP17" s="18">
        <f t="shared" si="20"/>
        <v>981.0269320436829</v>
      </c>
      <c r="AQ17" s="18">
        <f t="shared" si="20"/>
        <v>971.21666272324603</v>
      </c>
      <c r="AR17" s="18">
        <f t="shared" si="20"/>
        <v>961.50449609601355</v>
      </c>
      <c r="AS17" s="18">
        <f t="shared" si="20"/>
        <v>951.88945113505338</v>
      </c>
      <c r="AT17" s="18">
        <f t="shared" si="20"/>
        <v>942.37055662370278</v>
      </c>
      <c r="AU17" s="18">
        <f t="shared" si="20"/>
        <v>932.94685105746578</v>
      </c>
      <c r="AV17" s="18">
        <f t="shared" si="20"/>
        <v>923.61738254689112</v>
      </c>
      <c r="AW17" s="18">
        <f t="shared" si="20"/>
        <v>914.38120872142224</v>
      </c>
      <c r="AX17" s="18">
        <f t="shared" si="20"/>
        <v>905.23739663420804</v>
      </c>
      <c r="AY17" s="18">
        <f t="shared" si="20"/>
        <v>896.18502266786595</v>
      </c>
      <c r="AZ17" s="18">
        <f t="shared" si="20"/>
        <v>887.22317244118733</v>
      </c>
      <c r="BA17" s="18">
        <f t="shared" si="20"/>
        <v>878.35094071677543</v>
      </c>
      <c r="BB17" s="18">
        <f t="shared" si="20"/>
        <v>869.56743130960763</v>
      </c>
      <c r="BC17" s="18">
        <f t="shared" si="20"/>
        <v>860.87175699651152</v>
      </c>
      <c r="BD17" s="18">
        <f t="shared" si="20"/>
        <v>852.26303942654636</v>
      </c>
      <c r="BE17" s="18">
        <f t="shared" si="20"/>
        <v>843.74040903228092</v>
      </c>
      <c r="BF17" s="18">
        <f t="shared" si="20"/>
        <v>835.30300494195808</v>
      </c>
      <c r="BG17" s="18">
        <f t="shared" si="20"/>
        <v>826.94997489253853</v>
      </c>
      <c r="BH17" s="18">
        <f t="shared" si="20"/>
        <v>818.68047514361319</v>
      </c>
      <c r="BI17" s="18">
        <f t="shared" si="20"/>
        <v>810.49367039217702</v>
      </c>
      <c r="BJ17" s="18">
        <f t="shared" si="20"/>
        <v>802.38873368825523</v>
      </c>
      <c r="BK17" s="18">
        <f t="shared" si="20"/>
        <v>794.36484635137265</v>
      </c>
      <c r="BL17" s="18">
        <f t="shared" si="20"/>
        <v>786.42119788785897</v>
      </c>
      <c r="BM17" s="18">
        <f t="shared" si="20"/>
        <v>778.55698590898032</v>
      </c>
      <c r="BN17" s="18">
        <f t="shared" si="20"/>
        <v>770.77141604989049</v>
      </c>
      <c r="BO17" s="18">
        <f t="shared" si="20"/>
        <v>763.06370188939161</v>
      </c>
      <c r="BP17" s="18">
        <f t="shared" si="20"/>
        <v>755.43306487049767</v>
      </c>
      <c r="BQ17" s="18">
        <f t="shared" si="20"/>
        <v>747.87873422179268</v>
      </c>
      <c r="BR17" s="18">
        <f t="shared" si="20"/>
        <v>740.39994687957471</v>
      </c>
      <c r="BS17" s="18">
        <f t="shared" si="20"/>
        <v>732.99594741077897</v>
      </c>
      <c r="BT17" s="18">
        <f t="shared" si="20"/>
        <v>725.66598793667117</v>
      </c>
      <c r="BU17" s="18">
        <f t="shared" si="20"/>
        <v>718.40932805730449</v>
      </c>
      <c r="BV17" s="18">
        <f t="shared" si="20"/>
        <v>711.22523477673144</v>
      </c>
      <c r="BW17" s="18">
        <f t="shared" si="20"/>
        <v>704.11298242896407</v>
      </c>
      <c r="BX17" s="18">
        <f t="shared" si="20"/>
        <v>697.0718526046744</v>
      </c>
      <c r="BY17" s="18">
        <f t="shared" si="20"/>
        <v>690.10113407862764</v>
      </c>
      <c r="BZ17" s="18">
        <f t="shared" si="20"/>
        <v>683.20012273784141</v>
      </c>
      <c r="CA17" s="18">
        <f t="shared" si="20"/>
        <v>676.36812151046297</v>
      </c>
      <c r="CB17" s="18">
        <f t="shared" si="20"/>
        <v>669.60444029535836</v>
      </c>
      <c r="CC17" s="18">
        <f t="shared" si="20"/>
        <v>662.90839589240477</v>
      </c>
      <c r="CD17" s="18">
        <f t="shared" si="20"/>
        <v>656.2793119334807</v>
      </c>
      <c r="CE17" s="18">
        <f t="shared" si="20"/>
        <v>649.71651881414584</v>
      </c>
      <c r="CF17" s="18">
        <f t="shared" si="20"/>
        <v>643.21935362600436</v>
      </c>
      <c r="CG17" s="18">
        <f t="shared" si="20"/>
        <v>636.78716008974436</v>
      </c>
      <c r="CH17" s="18">
        <f t="shared" si="20"/>
        <v>630.41928848884686</v>
      </c>
      <c r="CI17" s="18">
        <f t="shared" si="20"/>
        <v>624.11509560395837</v>
      </c>
      <c r="CJ17" s="18">
        <f t="shared" si="20"/>
        <v>617.87394464791873</v>
      </c>
      <c r="CK17" s="18">
        <f t="shared" si="20"/>
        <v>611.69520520143953</v>
      </c>
      <c r="CL17" s="18">
        <f t="shared" si="20"/>
        <v>605.57825314942511</v>
      </c>
      <c r="CM17" s="18">
        <f t="shared" si="20"/>
        <v>599.52247061793082</v>
      </c>
      <c r="CN17" s="18">
        <f t="shared" si="20"/>
        <v>593.52724591175149</v>
      </c>
      <c r="CO17" s="18">
        <f t="shared" si="20"/>
        <v>587.59197345263397</v>
      </c>
      <c r="CP17" s="18">
        <f t="shared" si="20"/>
        <v>581.71605371810767</v>
      </c>
      <c r="CQ17" s="18">
        <f t="shared" si="20"/>
        <v>575.89889318092662</v>
      </c>
      <c r="CR17" s="18">
        <f t="shared" si="20"/>
        <v>570.13990424911731</v>
      </c>
      <c r="CS17" s="18">
        <f t="shared" si="20"/>
        <v>564.43850520662613</v>
      </c>
      <c r="CT17" s="18">
        <f t="shared" si="20"/>
        <v>558.79412015455989</v>
      </c>
      <c r="CU17" s="18">
        <f t="shared" si="20"/>
        <v>553.20617895301427</v>
      </c>
      <c r="CV17" s="18">
        <f t="shared" si="20"/>
        <v>547.67411716348408</v>
      </c>
      <c r="CW17" s="18">
        <f t="shared" si="20"/>
        <v>542.19737599184919</v>
      </c>
      <c r="CX17" s="18">
        <f t="shared" si="20"/>
        <v>536.77540223193068</v>
      </c>
      <c r="CY17" s="18">
        <f t="shared" si="20"/>
        <v>531.40764820961135</v>
      </c>
      <c r="CZ17" s="18">
        <f t="shared" ref="CZ17:FK17" si="21">CY17*(1+$AO$23)</f>
        <v>526.09357172751527</v>
      </c>
      <c r="DA17" s="18">
        <f t="shared" si="21"/>
        <v>520.83263601024009</v>
      </c>
      <c r="DB17" s="18">
        <f t="shared" si="21"/>
        <v>515.62430965013766</v>
      </c>
      <c r="DC17" s="18">
        <f t="shared" si="21"/>
        <v>510.46806655363628</v>
      </c>
      <c r="DD17" s="18">
        <f t="shared" si="21"/>
        <v>505.36338588809991</v>
      </c>
      <c r="DE17" s="18">
        <f t="shared" si="21"/>
        <v>500.30975202921888</v>
      </c>
      <c r="DF17" s="18">
        <f t="shared" si="21"/>
        <v>495.30665450892667</v>
      </c>
      <c r="DG17" s="18">
        <f t="shared" si="21"/>
        <v>490.35358796383741</v>
      </c>
      <c r="DH17" s="18">
        <f t="shared" si="21"/>
        <v>485.45005208419906</v>
      </c>
      <c r="DI17" s="18">
        <f t="shared" si="21"/>
        <v>480.59555156335705</v>
      </c>
      <c r="DJ17" s="18">
        <f t="shared" si="21"/>
        <v>475.78959604772348</v>
      </c>
      <c r="DK17" s="18">
        <f t="shared" si="21"/>
        <v>471.03170008724624</v>
      </c>
      <c r="DL17" s="18">
        <f t="shared" si="21"/>
        <v>466.32138308637377</v>
      </c>
      <c r="DM17" s="18">
        <f t="shared" si="21"/>
        <v>461.65816925551002</v>
      </c>
      <c r="DN17" s="18">
        <f t="shared" si="21"/>
        <v>457.04158756295493</v>
      </c>
      <c r="DO17" s="18">
        <f t="shared" si="21"/>
        <v>452.47117168732535</v>
      </c>
      <c r="DP17" s="18">
        <f t="shared" si="21"/>
        <v>447.94645997045211</v>
      </c>
      <c r="DQ17" s="18">
        <f t="shared" si="21"/>
        <v>443.46699537074761</v>
      </c>
      <c r="DR17" s="18">
        <f t="shared" si="21"/>
        <v>439.03232541704011</v>
      </c>
      <c r="DS17" s="18">
        <f t="shared" si="21"/>
        <v>434.64200216286969</v>
      </c>
      <c r="DT17" s="18">
        <f t="shared" si="21"/>
        <v>430.29558214124097</v>
      </c>
      <c r="DU17" s="18">
        <f t="shared" si="21"/>
        <v>425.99262631982856</v>
      </c>
      <c r="DV17" s="18">
        <f t="shared" si="21"/>
        <v>421.73270005663028</v>
      </c>
      <c r="DW17" s="18">
        <f t="shared" si="21"/>
        <v>417.51537305606399</v>
      </c>
      <c r="DX17" s="18">
        <f t="shared" si="21"/>
        <v>413.34021932550337</v>
      </c>
      <c r="DY17" s="18">
        <f t="shared" si="21"/>
        <v>409.20681713224832</v>
      </c>
      <c r="DZ17" s="18">
        <f t="shared" si="21"/>
        <v>405.11474896092585</v>
      </c>
      <c r="EA17" s="18">
        <f t="shared" si="21"/>
        <v>401.06360147131659</v>
      </c>
      <c r="EB17" s="18">
        <f t="shared" si="21"/>
        <v>397.05296545660343</v>
      </c>
      <c r="EC17" s="18">
        <f t="shared" si="21"/>
        <v>393.08243580203737</v>
      </c>
      <c r="ED17" s="18">
        <f t="shared" si="21"/>
        <v>389.15161144401696</v>
      </c>
      <c r="EE17" s="18">
        <f t="shared" si="21"/>
        <v>385.26009532957681</v>
      </c>
      <c r="EF17" s="18">
        <f t="shared" si="21"/>
        <v>381.40749437628102</v>
      </c>
      <c r="EG17" s="18">
        <f t="shared" si="21"/>
        <v>377.5934194325182</v>
      </c>
      <c r="EH17" s="18">
        <f t="shared" si="21"/>
        <v>373.817485238193</v>
      </c>
      <c r="EI17" s="18">
        <f t="shared" si="21"/>
        <v>370.07931038581108</v>
      </c>
      <c r="EJ17" s="18">
        <f t="shared" si="21"/>
        <v>366.37851728195295</v>
      </c>
      <c r="EK17" s="18">
        <f t="shared" si="21"/>
        <v>362.71473210913342</v>
      </c>
      <c r="EL17" s="18">
        <f t="shared" si="21"/>
        <v>359.08758478804208</v>
      </c>
      <c r="EM17" s="18">
        <f t="shared" si="21"/>
        <v>355.49670894016168</v>
      </c>
      <c r="EN17" s="18">
        <f t="shared" si="21"/>
        <v>351.94174185076008</v>
      </c>
      <c r="EO17" s="18">
        <f t="shared" si="21"/>
        <v>348.42232443225248</v>
      </c>
      <c r="EP17" s="18">
        <f t="shared" si="21"/>
        <v>344.93810118792993</v>
      </c>
      <c r="EQ17" s="18">
        <f t="shared" si="21"/>
        <v>341.48872017605061</v>
      </c>
      <c r="ER17" s="18">
        <f t="shared" si="21"/>
        <v>338.0738329742901</v>
      </c>
      <c r="ES17" s="18">
        <f t="shared" si="21"/>
        <v>334.69309464454722</v>
      </c>
      <c r="ET17" s="18">
        <f t="shared" si="21"/>
        <v>331.34616369810175</v>
      </c>
      <c r="EU17" s="18">
        <f t="shared" si="21"/>
        <v>328.03270206112074</v>
      </c>
      <c r="EV17" s="18">
        <f t="shared" si="21"/>
        <v>324.75237504050955</v>
      </c>
      <c r="EW17" s="18">
        <f t="shared" si="21"/>
        <v>321.50485129010445</v>
      </c>
      <c r="EX17" s="18">
        <f t="shared" si="21"/>
        <v>318.28980277720342</v>
      </c>
      <c r="EY17" s="18">
        <f t="shared" si="21"/>
        <v>315.10690474943141</v>
      </c>
      <c r="EZ17" s="18">
        <f t="shared" si="21"/>
        <v>311.95583570193708</v>
      </c>
      <c r="FA17" s="18">
        <f t="shared" si="21"/>
        <v>308.83627734491768</v>
      </c>
      <c r="FB17" s="18">
        <f t="shared" si="21"/>
        <v>305.74791457146847</v>
      </c>
      <c r="FC17" s="18">
        <f t="shared" si="21"/>
        <v>302.69043542575378</v>
      </c>
      <c r="FD17" s="18">
        <f t="shared" si="21"/>
        <v>299.66353107149621</v>
      </c>
      <c r="FE17" s="18">
        <f t="shared" si="21"/>
        <v>296.66689576078124</v>
      </c>
      <c r="FF17" s="18">
        <f t="shared" si="21"/>
        <v>293.70022680317345</v>
      </c>
      <c r="FG17" s="18">
        <f t="shared" si="21"/>
        <v>290.76322453514172</v>
      </c>
      <c r="FH17" s="18">
        <f t="shared" si="21"/>
        <v>287.85559228979031</v>
      </c>
      <c r="FI17" s="18">
        <f t="shared" si="21"/>
        <v>284.97703636689238</v>
      </c>
      <c r="FJ17" s="18">
        <f t="shared" si="21"/>
        <v>282.12726600322344</v>
      </c>
      <c r="FK17" s="18">
        <f t="shared" si="21"/>
        <v>279.30599334319118</v>
      </c>
      <c r="FL17" s="18">
        <f t="shared" ref="FL17:HW17" si="22">FK17*(1+$AO$23)</f>
        <v>276.51293340975928</v>
      </c>
      <c r="FM17" s="18">
        <f t="shared" si="22"/>
        <v>273.74780407566169</v>
      </c>
      <c r="FN17" s="18">
        <f t="shared" si="22"/>
        <v>271.01032603490506</v>
      </c>
      <c r="FO17" s="18">
        <f t="shared" si="22"/>
        <v>268.300222774556</v>
      </c>
      <c r="FP17" s="18">
        <f t="shared" si="22"/>
        <v>265.61722054681042</v>
      </c>
      <c r="FQ17" s="18">
        <f t="shared" si="22"/>
        <v>262.96104834134229</v>
      </c>
      <c r="FR17" s="18">
        <f t="shared" si="22"/>
        <v>260.33143785792885</v>
      </c>
      <c r="FS17" s="18">
        <f t="shared" si="22"/>
        <v>257.72812347934956</v>
      </c>
      <c r="FT17" s="18">
        <f t="shared" si="22"/>
        <v>255.15084224455606</v>
      </c>
      <c r="FU17" s="18">
        <f t="shared" si="22"/>
        <v>252.59933382211051</v>
      </c>
      <c r="FV17" s="18">
        <f t="shared" si="22"/>
        <v>250.07334048388941</v>
      </c>
      <c r="FW17" s="18">
        <f t="shared" si="22"/>
        <v>247.57260707905053</v>
      </c>
      <c r="FX17" s="18">
        <f t="shared" si="22"/>
        <v>245.09688100826003</v>
      </c>
      <c r="FY17" s="18">
        <f t="shared" si="22"/>
        <v>242.64591219817743</v>
      </c>
      <c r="FZ17" s="18">
        <f t="shared" si="22"/>
        <v>240.21945307619566</v>
      </c>
      <c r="GA17" s="18">
        <f t="shared" si="22"/>
        <v>237.8172585454337</v>
      </c>
      <c r="GB17" s="18">
        <f t="shared" si="22"/>
        <v>235.43908595997937</v>
      </c>
      <c r="GC17" s="18">
        <f t="shared" si="22"/>
        <v>233.08469510037958</v>
      </c>
      <c r="GD17" s="18">
        <f t="shared" si="22"/>
        <v>230.75384814937578</v>
      </c>
      <c r="GE17" s="18">
        <f t="shared" si="22"/>
        <v>228.44630966788202</v>
      </c>
      <c r="GF17" s="18">
        <f t="shared" si="22"/>
        <v>226.1618465712032</v>
      </c>
      <c r="GG17" s="18">
        <f t="shared" si="22"/>
        <v>223.90022810549115</v>
      </c>
      <c r="GH17" s="18">
        <f t="shared" si="22"/>
        <v>221.66122582443623</v>
      </c>
      <c r="GI17" s="18">
        <f t="shared" si="22"/>
        <v>219.44461356619186</v>
      </c>
      <c r="GJ17" s="18">
        <f t="shared" si="22"/>
        <v>217.25016743052993</v>
      </c>
      <c r="GK17" s="18">
        <f t="shared" si="22"/>
        <v>215.07766575622463</v>
      </c>
      <c r="GL17" s="18">
        <f t="shared" si="22"/>
        <v>212.92688909866237</v>
      </c>
      <c r="GM17" s="18">
        <f t="shared" si="22"/>
        <v>210.79762020767575</v>
      </c>
      <c r="GN17" s="18">
        <f t="shared" si="22"/>
        <v>208.68964400559898</v>
      </c>
      <c r="GO17" s="18">
        <f t="shared" si="22"/>
        <v>206.60274756554298</v>
      </c>
      <c r="GP17" s="18">
        <f t="shared" si="22"/>
        <v>204.53672008988755</v>
      </c>
      <c r="GQ17" s="18">
        <f t="shared" si="22"/>
        <v>202.49135288898867</v>
      </c>
      <c r="GR17" s="18">
        <f t="shared" si="22"/>
        <v>200.46643936009878</v>
      </c>
      <c r="GS17" s="18">
        <f t="shared" si="22"/>
        <v>198.46177496649779</v>
      </c>
      <c r="GT17" s="18">
        <f t="shared" si="22"/>
        <v>196.47715721683281</v>
      </c>
      <c r="GU17" s="18">
        <f t="shared" si="22"/>
        <v>194.51238564466448</v>
      </c>
      <c r="GV17" s="18">
        <f t="shared" si="22"/>
        <v>192.56726178821782</v>
      </c>
      <c r="GW17" s="18">
        <f t="shared" si="22"/>
        <v>190.64158917033564</v>
      </c>
      <c r="GX17" s="18">
        <f t="shared" si="22"/>
        <v>188.73517327863229</v>
      </c>
      <c r="GY17" s="18">
        <f t="shared" si="22"/>
        <v>186.84782154584596</v>
      </c>
      <c r="GZ17" s="18">
        <f t="shared" si="22"/>
        <v>184.97934333038751</v>
      </c>
      <c r="HA17" s="18">
        <f t="shared" si="22"/>
        <v>183.12954989708362</v>
      </c>
      <c r="HB17" s="18">
        <f t="shared" si="22"/>
        <v>181.29825439811279</v>
      </c>
      <c r="HC17" s="18">
        <f t="shared" si="22"/>
        <v>179.48527185413167</v>
      </c>
      <c r="HD17" s="18">
        <f t="shared" si="22"/>
        <v>177.69041913559036</v>
      </c>
      <c r="HE17" s="18">
        <f t="shared" si="22"/>
        <v>175.91351494423446</v>
      </c>
      <c r="HF17" s="18">
        <f t="shared" si="22"/>
        <v>174.15437979479211</v>
      </c>
      <c r="HG17" s="18">
        <f t="shared" si="22"/>
        <v>172.41283599684419</v>
      </c>
      <c r="HH17" s="18">
        <f t="shared" si="22"/>
        <v>170.68870763687576</v>
      </c>
      <c r="HI17" s="18">
        <f t="shared" si="22"/>
        <v>168.981820560507</v>
      </c>
      <c r="HJ17" s="18">
        <f t="shared" si="22"/>
        <v>167.29200235490194</v>
      </c>
      <c r="HK17" s="18">
        <f t="shared" si="22"/>
        <v>165.61908233135293</v>
      </c>
      <c r="HL17" s="18">
        <f t="shared" si="22"/>
        <v>163.96289150803941</v>
      </c>
      <c r="HM17" s="18">
        <f t="shared" si="22"/>
        <v>162.323262592959</v>
      </c>
      <c r="HN17" s="18">
        <f t="shared" si="22"/>
        <v>160.70002996702939</v>
      </c>
      <c r="HO17" s="18">
        <f t="shared" si="22"/>
        <v>159.0930296673591</v>
      </c>
      <c r="HP17" s="18">
        <f t="shared" si="22"/>
        <v>157.5020993706855</v>
      </c>
      <c r="HQ17" s="18">
        <f t="shared" si="22"/>
        <v>155.92707837697864</v>
      </c>
      <c r="HR17" s="18">
        <f t="shared" si="22"/>
        <v>154.36780759320885</v>
      </c>
      <c r="HS17" s="18">
        <f t="shared" si="22"/>
        <v>152.82412951727676</v>
      </c>
      <c r="HT17" s="18">
        <f t="shared" si="22"/>
        <v>151.295888222104</v>
      </c>
      <c r="HU17" s="18">
        <f t="shared" si="22"/>
        <v>149.78292933988297</v>
      </c>
      <c r="HV17" s="18">
        <f t="shared" si="22"/>
        <v>148.28510004648413</v>
      </c>
      <c r="HW17" s="18">
        <f t="shared" si="22"/>
        <v>146.80224904601928</v>
      </c>
      <c r="HX17" s="18">
        <f t="shared" ref="HX17:JL17" si="23">HW17*(1+$AO$23)</f>
        <v>145.3342265555591</v>
      </c>
      <c r="HY17" s="18">
        <f t="shared" si="23"/>
        <v>143.88088429000351</v>
      </c>
      <c r="HZ17" s="18">
        <f t="shared" si="23"/>
        <v>142.44207544710346</v>
      </c>
      <c r="IA17" s="18">
        <f t="shared" si="23"/>
        <v>141.01765469263242</v>
      </c>
      <c r="IB17" s="18">
        <f t="shared" si="23"/>
        <v>139.6074781457061</v>
      </c>
      <c r="IC17" s="18">
        <f t="shared" si="23"/>
        <v>138.21140336424904</v>
      </c>
      <c r="ID17" s="18">
        <f t="shared" si="23"/>
        <v>136.82928933060654</v>
      </c>
      <c r="IE17" s="18">
        <f t="shared" si="23"/>
        <v>135.46099643730048</v>
      </c>
      <c r="IF17" s="18">
        <f t="shared" si="23"/>
        <v>134.10638647292748</v>
      </c>
      <c r="IG17" s="18">
        <f t="shared" si="23"/>
        <v>132.7653226081982</v>
      </c>
      <c r="IH17" s="18">
        <f t="shared" si="23"/>
        <v>131.43766938211621</v>
      </c>
      <c r="II17" s="18">
        <f t="shared" si="23"/>
        <v>130.12329268829504</v>
      </c>
      <c r="IJ17" s="18">
        <f t="shared" si="23"/>
        <v>128.82205976141208</v>
      </c>
      <c r="IK17" s="18">
        <f t="shared" si="23"/>
        <v>127.53383916379795</v>
      </c>
      <c r="IL17" s="18">
        <f t="shared" si="23"/>
        <v>126.25850077215996</v>
      </c>
      <c r="IM17" s="18">
        <f t="shared" si="23"/>
        <v>124.99591576443837</v>
      </c>
      <c r="IN17" s="18">
        <f t="shared" si="23"/>
        <v>123.74595660679398</v>
      </c>
      <c r="IO17" s="18">
        <f t="shared" si="23"/>
        <v>122.50849704072604</v>
      </c>
      <c r="IP17" s="18">
        <f t="shared" si="23"/>
        <v>121.28341207031878</v>
      </c>
      <c r="IQ17" s="18">
        <f t="shared" si="23"/>
        <v>120.07057794961558</v>
      </c>
      <c r="IR17" s="18">
        <f t="shared" si="23"/>
        <v>118.86987217011942</v>
      </c>
      <c r="IS17" s="18">
        <f t="shared" si="23"/>
        <v>117.68117344841822</v>
      </c>
      <c r="IT17" s="18">
        <f t="shared" si="23"/>
        <v>116.50436171393403</v>
      </c>
      <c r="IU17" s="18">
        <f t="shared" si="23"/>
        <v>115.33931809679468</v>
      </c>
      <c r="IV17" s="18">
        <f t="shared" si="23"/>
        <v>114.18592491582673</v>
      </c>
      <c r="IW17" s="18">
        <f t="shared" si="23"/>
        <v>113.04406566666846</v>
      </c>
      <c r="IX17" s="18">
        <f t="shared" si="23"/>
        <v>111.91362501000177</v>
      </c>
      <c r="IY17" s="18">
        <f t="shared" si="23"/>
        <v>110.79448875990175</v>
      </c>
      <c r="IZ17" s="18">
        <f t="shared" si="23"/>
        <v>109.68654387230274</v>
      </c>
      <c r="JA17" s="18">
        <f t="shared" si="23"/>
        <v>108.58967843357971</v>
      </c>
      <c r="JB17" s="18">
        <f t="shared" si="23"/>
        <v>107.5037816492439</v>
      </c>
      <c r="JC17" s="18">
        <f t="shared" si="23"/>
        <v>106.42874383275146</v>
      </c>
      <c r="JD17" s="18">
        <f t="shared" si="23"/>
        <v>105.36445639442395</v>
      </c>
      <c r="JE17" s="18">
        <f t="shared" si="23"/>
        <v>104.31081183047971</v>
      </c>
      <c r="JF17" s="18">
        <f t="shared" si="23"/>
        <v>103.26770371217491</v>
      </c>
      <c r="JG17" s="18">
        <f t="shared" si="23"/>
        <v>102.23502667505316</v>
      </c>
      <c r="JH17" s="18">
        <f t="shared" si="23"/>
        <v>101.21267640830263</v>
      </c>
      <c r="JI17" s="18">
        <f t="shared" si="23"/>
        <v>100.20054964421961</v>
      </c>
      <c r="JJ17" s="18">
        <f t="shared" si="23"/>
        <v>99.198544147777412</v>
      </c>
      <c r="JK17" s="18">
        <f t="shared" si="23"/>
        <v>98.206558706299631</v>
      </c>
      <c r="JL17" s="18">
        <f t="shared" si="23"/>
        <v>97.224493119236641</v>
      </c>
    </row>
    <row r="18" spans="3:272" x14ac:dyDescent="0.25">
      <c r="C18" s="1" t="s">
        <v>35</v>
      </c>
      <c r="D18" s="12">
        <f t="shared" ref="D18:O18" si="24">(D17*$B$11)/D19</f>
        <v>1.788486747237928</v>
      </c>
      <c r="E18" s="12">
        <f t="shared" si="24"/>
        <v>1.749576637792418</v>
      </c>
      <c r="F18" s="12">
        <f t="shared" si="24"/>
        <v>1.2808529488043983</v>
      </c>
      <c r="G18" s="12">
        <f t="shared" si="24"/>
        <v>1.6664553140723064</v>
      </c>
      <c r="H18" s="12">
        <f t="shared" si="24"/>
        <v>0.16115358680429484</v>
      </c>
      <c r="I18" s="12">
        <f t="shared" si="24"/>
        <v>0.8404371596037149</v>
      </c>
      <c r="J18" s="12">
        <f t="shared" si="24"/>
        <v>6.2447014886664438E-2</v>
      </c>
      <c r="K18" s="12">
        <f t="shared" si="24"/>
        <v>-0.65855625291768261</v>
      </c>
      <c r="L18" s="12">
        <f t="shared" si="24"/>
        <v>-1.3640802946210902</v>
      </c>
      <c r="M18" s="12">
        <f t="shared" si="24"/>
        <v>-0.79786928782613198</v>
      </c>
      <c r="N18" s="12">
        <f>(N17*B11)/N19</f>
        <v>0.32718419005135141</v>
      </c>
      <c r="O18" s="12">
        <f t="shared" si="24"/>
        <v>-0.20626598889984038</v>
      </c>
      <c r="P18" s="11">
        <f>(P17*$B$11)/P19</f>
        <v>6.1702874245318076E-2</v>
      </c>
      <c r="V18" s="12">
        <f t="shared" ref="V18:X18" si="25">(V17*$B$11)/V19</f>
        <v>0.44896527092758171</v>
      </c>
      <c r="W18" s="12">
        <f t="shared" si="25"/>
        <v>2.0517265182019884</v>
      </c>
      <c r="X18" s="12">
        <f t="shared" si="25"/>
        <v>3.7981539768547772</v>
      </c>
      <c r="Y18" s="12">
        <f>(Y17*$B$11)/Y19</f>
        <v>6.5336649857601969</v>
      </c>
      <c r="Z18" s="12">
        <f>(Z17*$B$11)/Z19</f>
        <v>0.40149550086285141</v>
      </c>
      <c r="AA18" s="12">
        <f>(AA17*$B$11)/AA19</f>
        <v>-2.0073200345139286</v>
      </c>
      <c r="AB18" s="11">
        <f>(AB17*$B$11)/AB19</f>
        <v>1.084004783671626</v>
      </c>
      <c r="AC18" s="12">
        <f t="shared" ref="AC18:AL18" si="26">(AC17*$B$11)/AC19</f>
        <v>2.979129693458789</v>
      </c>
      <c r="AD18" s="12">
        <f t="shared" si="26"/>
        <v>4.7936337735849301</v>
      </c>
      <c r="AE18" s="12">
        <f t="shared" si="26"/>
        <v>7.0551346038284395</v>
      </c>
      <c r="AF18" s="12">
        <f t="shared" si="26"/>
        <v>9.8631671638553282</v>
      </c>
      <c r="AG18" s="12">
        <f t="shared" si="26"/>
        <v>13.939906871986377</v>
      </c>
      <c r="AH18" s="12">
        <f t="shared" si="26"/>
        <v>18.980956679909031</v>
      </c>
      <c r="AI18" s="12">
        <f t="shared" si="26"/>
        <v>25.192640085852872</v>
      </c>
      <c r="AJ18" s="12">
        <f t="shared" si="26"/>
        <v>32.823819698643263</v>
      </c>
      <c r="AK18" s="12">
        <f t="shared" si="26"/>
        <v>42.174528914071594</v>
      </c>
      <c r="AL18" s="12">
        <f t="shared" si="26"/>
        <v>53.606342132622615</v>
      </c>
    </row>
    <row r="19" spans="3:272" x14ac:dyDescent="0.25">
      <c r="C19" s="1" t="s">
        <v>33</v>
      </c>
      <c r="D19" s="9">
        <v>192.79</v>
      </c>
      <c r="E19" s="9">
        <v>192.79</v>
      </c>
      <c r="F19" s="9">
        <v>192.79</v>
      </c>
      <c r="G19" s="9">
        <v>192.79</v>
      </c>
      <c r="H19" s="9">
        <v>192.79</v>
      </c>
      <c r="I19" s="9">
        <v>192.79</v>
      </c>
      <c r="J19" s="9">
        <v>192.79</v>
      </c>
      <c r="K19" s="9">
        <v>192.79</v>
      </c>
      <c r="L19" s="9">
        <v>192.79</v>
      </c>
      <c r="M19" s="9">
        <v>192.79</v>
      </c>
      <c r="N19" s="9">
        <v>192.79</v>
      </c>
      <c r="O19" s="9">
        <v>192.79</v>
      </c>
      <c r="P19" s="10">
        <v>193.79</v>
      </c>
      <c r="V19" s="28">
        <v>176.39400000000001</v>
      </c>
      <c r="W19" s="28">
        <v>194.70400000000001</v>
      </c>
      <c r="X19" s="28">
        <v>193.042</v>
      </c>
      <c r="Y19" s="9">
        <v>191.36500000000001</v>
      </c>
      <c r="Z19" s="9">
        <v>194.70400000000001</v>
      </c>
      <c r="AA19" s="9">
        <v>194.70400000000001</v>
      </c>
      <c r="AB19" s="10">
        <v>194.70400000000001</v>
      </c>
      <c r="AC19" s="9">
        <v>194.70400000000001</v>
      </c>
      <c r="AD19" s="9">
        <v>194.70400000000001</v>
      </c>
      <c r="AE19" s="9">
        <v>194.70400000000001</v>
      </c>
      <c r="AF19" s="9">
        <v>194.70400000000001</v>
      </c>
      <c r="AG19" s="9">
        <v>194.70400000000001</v>
      </c>
      <c r="AH19" s="9">
        <v>194.70400000000001</v>
      </c>
      <c r="AI19" s="9">
        <v>194.70400000000001</v>
      </c>
      <c r="AJ19" s="9">
        <v>194.70400000000001</v>
      </c>
      <c r="AK19" s="9">
        <v>194.70400000000001</v>
      </c>
      <c r="AL19" s="9">
        <v>194.70400000000001</v>
      </c>
    </row>
    <row r="20" spans="3:272" x14ac:dyDescent="0.25"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3:272" x14ac:dyDescent="0.25">
      <c r="C21" s="2" t="s">
        <v>36</v>
      </c>
      <c r="D21" s="14"/>
      <c r="E21" s="14"/>
      <c r="F21" s="14"/>
      <c r="G21" s="14"/>
      <c r="H21" s="14">
        <f t="shared" ref="H21:K21" si="27">(H4-D4)/D4</f>
        <v>-0.20568476016735313</v>
      </c>
      <c r="I21" s="14">
        <f t="shared" si="27"/>
        <v>-0.22963529100291225</v>
      </c>
      <c r="J21" s="14">
        <f t="shared" si="27"/>
        <v>-0.33181748454873389</v>
      </c>
      <c r="K21" s="14">
        <f t="shared" si="27"/>
        <v>-0.43465152006019625</v>
      </c>
      <c r="L21" s="14">
        <f t="shared" ref="L21:Q21" si="28">(L4-H4)/H4</f>
        <v>-0.48773276122892423</v>
      </c>
      <c r="M21" s="14">
        <f t="shared" si="28"/>
        <v>-0.17033141612143934</v>
      </c>
      <c r="N21" s="14">
        <f t="shared" si="28"/>
        <v>0.17582629174041509</v>
      </c>
      <c r="O21" s="14">
        <f t="shared" si="28"/>
        <v>0.38825986893791642</v>
      </c>
      <c r="P21" s="15">
        <f t="shared" si="28"/>
        <v>1.0815055437729872</v>
      </c>
      <c r="Q21" s="48">
        <f t="shared" ref="Q21" si="29">(Q4-M4)/M4</f>
        <v>0.21142017522606665</v>
      </c>
      <c r="R21" s="48">
        <f t="shared" ref="R21" si="30">(R4-N4)/N4</f>
        <v>-1</v>
      </c>
      <c r="S21" s="48">
        <f t="shared" ref="S21" si="31">(S4-O4)/O4</f>
        <v>-1</v>
      </c>
      <c r="W21" s="14">
        <f t="shared" ref="W21:Y21" si="32">(W4-V4)/V4</f>
        <v>0.40507637094956572</v>
      </c>
      <c r="X21" s="14">
        <f t="shared" si="32"/>
        <v>0.50666926609693086</v>
      </c>
      <c r="Y21" s="14">
        <f t="shared" si="32"/>
        <v>0.27223321452906341</v>
      </c>
      <c r="Z21" s="14">
        <f>(Z4-Y4)/Y4</f>
        <v>-0.30108763102941288</v>
      </c>
      <c r="AA21" s="14">
        <f>(AA4-Z4)/Z4</f>
        <v>-5.7931103083801082E-2</v>
      </c>
      <c r="AB21" s="15">
        <f t="shared" ref="AB21:AL21" si="33">(AB4-AA4)/AA4</f>
        <v>0.26000000000000012</v>
      </c>
      <c r="AC21" s="14">
        <f t="shared" si="33"/>
        <v>0.19999999999999996</v>
      </c>
      <c r="AD21" s="14">
        <f t="shared" si="33"/>
        <v>0.2</v>
      </c>
      <c r="AE21" s="14">
        <f t="shared" si="33"/>
        <v>0.19999999999999996</v>
      </c>
      <c r="AF21" s="14">
        <f t="shared" si="33"/>
        <v>0.19999999999999987</v>
      </c>
      <c r="AG21" s="14">
        <f t="shared" si="33"/>
        <v>0.1999999999999999</v>
      </c>
      <c r="AH21" s="14">
        <f t="shared" si="33"/>
        <v>0.1999999999999999</v>
      </c>
      <c r="AI21" s="14">
        <f t="shared" si="33"/>
        <v>0.19999999999999996</v>
      </c>
      <c r="AJ21" s="14">
        <f t="shared" si="33"/>
        <v>0.20000000000000004</v>
      </c>
      <c r="AK21" s="14">
        <f t="shared" si="33"/>
        <v>0.20000000000000004</v>
      </c>
      <c r="AL21" s="14">
        <f t="shared" si="33"/>
        <v>0.19999999999999993</v>
      </c>
    </row>
    <row r="22" spans="3:272" x14ac:dyDescent="0.25">
      <c r="C22" s="1" t="s">
        <v>119</v>
      </c>
      <c r="D22" s="14"/>
      <c r="E22" s="13">
        <f t="shared" ref="E22:P22" si="34">(E4-D4)/D4</f>
        <v>9.3404192565242558E-2</v>
      </c>
      <c r="F22" s="13">
        <f t="shared" si="34"/>
        <v>9.4911257973793357E-3</v>
      </c>
      <c r="G22" s="13">
        <f t="shared" si="34"/>
        <v>-5.3011821641174316E-2</v>
      </c>
      <c r="H22" s="13">
        <f t="shared" si="34"/>
        <v>-0.24008486001233187</v>
      </c>
      <c r="I22" s="13">
        <f t="shared" si="34"/>
        <v>6.0435404461314297E-2</v>
      </c>
      <c r="J22" s="13">
        <f t="shared" si="34"/>
        <v>-0.12440911183591954</v>
      </c>
      <c r="K22" s="13">
        <f t="shared" si="34"/>
        <v>-0.19875436010990075</v>
      </c>
      <c r="L22" s="13">
        <f t="shared" si="34"/>
        <v>-0.31143419629735747</v>
      </c>
      <c r="M22" s="13">
        <f t="shared" si="34"/>
        <v>0.71748234851942316</v>
      </c>
      <c r="N22" s="13">
        <f t="shared" si="34"/>
        <v>0.2409084869752792</v>
      </c>
      <c r="O22" s="13">
        <f t="shared" si="34"/>
        <v>-5.3995326661334157E-2</v>
      </c>
      <c r="P22" s="27">
        <f t="shared" si="34"/>
        <v>3.2410119840213206E-2</v>
      </c>
      <c r="Q22" s="49">
        <f t="shared" ref="Q22" si="35">(Q4-P4)/P4</f>
        <v>-4.3851729563812035E-4</v>
      </c>
      <c r="R22" s="49">
        <f t="shared" ref="R22" si="36">(R4-Q4)/Q4</f>
        <v>-1</v>
      </c>
      <c r="S22" s="49" t="e">
        <f t="shared" ref="S22" si="37">(S4-R4)/R4</f>
        <v>#DIV/0!</v>
      </c>
      <c r="Z22" s="14"/>
      <c r="AA22" s="14"/>
      <c r="AN22" s="1" t="s">
        <v>122</v>
      </c>
      <c r="AO22" s="32">
        <v>0.1</v>
      </c>
    </row>
    <row r="23" spans="3:272" x14ac:dyDescent="0.25">
      <c r="C23" s="1" t="s">
        <v>21</v>
      </c>
      <c r="D23" s="16">
        <f t="shared" ref="D23:P23" si="38">D6/D4</f>
        <v>0.59711283222092348</v>
      </c>
      <c r="E23" s="16">
        <f t="shared" si="38"/>
        <v>0.55368230704291488</v>
      </c>
      <c r="F23" s="16">
        <f t="shared" si="38"/>
        <v>0.57270878384062307</v>
      </c>
      <c r="G23" s="16">
        <f t="shared" si="38"/>
        <v>0.52720850272241782</v>
      </c>
      <c r="H23" s="16">
        <f t="shared" si="38"/>
        <v>0.53328107379596779</v>
      </c>
      <c r="I23" s="16">
        <f t="shared" si="38"/>
        <v>0.53005829448115327</v>
      </c>
      <c r="J23" s="16">
        <f t="shared" si="38"/>
        <v>0.50474335522953995</v>
      </c>
      <c r="K23" s="16">
        <f t="shared" si="38"/>
        <v>0.51996894438642061</v>
      </c>
      <c r="L23" s="16">
        <f t="shared" si="38"/>
        <v>0.47987865446052247</v>
      </c>
      <c r="M23" s="16">
        <f t="shared" si="38"/>
        <v>0.42025338220697311</v>
      </c>
      <c r="N23" s="16">
        <f t="shared" si="38"/>
        <v>0.4954116883853048</v>
      </c>
      <c r="O23" s="16">
        <f t="shared" si="38"/>
        <v>0.49130492676431414</v>
      </c>
      <c r="P23" s="17">
        <f t="shared" si="38"/>
        <v>0.49548585136843198</v>
      </c>
      <c r="Q23" s="50">
        <f t="shared" ref="Q23:S23" si="39">Q6/Q4</f>
        <v>0</v>
      </c>
      <c r="R23" s="50" t="e">
        <f t="shared" si="39"/>
        <v>#DIV/0!</v>
      </c>
      <c r="S23" s="50" t="e">
        <f t="shared" si="39"/>
        <v>#DIV/0!</v>
      </c>
      <c r="V23" s="16">
        <f t="shared" ref="V23:X23" si="40">V6/V4</f>
        <v>0.51008165883597145</v>
      </c>
      <c r="W23" s="16">
        <f t="shared" si="40"/>
        <v>0.52941263569889707</v>
      </c>
      <c r="X23" s="16">
        <f t="shared" si="40"/>
        <v>0.53578705644949942</v>
      </c>
      <c r="Y23" s="16">
        <f>Y6/Y4</f>
        <v>0.56234695532833634</v>
      </c>
      <c r="Z23" s="16">
        <f>Z6/Z4</f>
        <v>0.522614111323358</v>
      </c>
      <c r="AA23" s="16">
        <f>AA6/AA4</f>
        <v>0.47313949395799931</v>
      </c>
      <c r="AB23" s="17">
        <f t="shared" ref="AB23:AL23" si="41">AB6/AB4</f>
        <v>0.5</v>
      </c>
      <c r="AC23" s="16">
        <f t="shared" si="41"/>
        <v>0.5</v>
      </c>
      <c r="AD23" s="16">
        <f t="shared" si="41"/>
        <v>0.5</v>
      </c>
      <c r="AE23" s="16">
        <f t="shared" si="41"/>
        <v>0.5</v>
      </c>
      <c r="AF23" s="16">
        <f t="shared" si="41"/>
        <v>0.5</v>
      </c>
      <c r="AG23" s="16">
        <f t="shared" si="41"/>
        <v>0.5</v>
      </c>
      <c r="AH23" s="16">
        <f t="shared" si="41"/>
        <v>0.5</v>
      </c>
      <c r="AI23" s="16">
        <f t="shared" si="41"/>
        <v>0.5</v>
      </c>
      <c r="AJ23" s="16">
        <f t="shared" si="41"/>
        <v>0.5</v>
      </c>
      <c r="AK23" s="16">
        <f t="shared" si="41"/>
        <v>0.5</v>
      </c>
      <c r="AL23" s="16">
        <f t="shared" si="41"/>
        <v>0.5</v>
      </c>
      <c r="AN23" s="1" t="s">
        <v>123</v>
      </c>
      <c r="AO23" s="32">
        <v>-0.01</v>
      </c>
    </row>
    <row r="24" spans="3:272" x14ac:dyDescent="0.25">
      <c r="C24" s="1" t="s">
        <v>130</v>
      </c>
      <c r="D24" s="16">
        <f>D9/D4</f>
        <v>0.29894694296669327</v>
      </c>
      <c r="E24" s="16">
        <f t="shared" ref="E24:P24" si="42">E9/E4</f>
        <v>0.2594024587011145</v>
      </c>
      <c r="F24" s="16">
        <f t="shared" si="42"/>
        <v>0.29756985852627826</v>
      </c>
      <c r="G24" s="16">
        <f t="shared" si="42"/>
        <v>0.20312581646409644</v>
      </c>
      <c r="H24" s="16">
        <f t="shared" si="42"/>
        <v>0.1000907665648981</v>
      </c>
      <c r="I24" s="16">
        <f t="shared" si="42"/>
        <v>0.18491476296387568</v>
      </c>
      <c r="J24" s="16">
        <f t="shared" si="42"/>
        <v>9.5133710036954505E-2</v>
      </c>
      <c r="K24" s="16">
        <f t="shared" si="42"/>
        <v>-6.3664007837845343E-2</v>
      </c>
      <c r="L24" s="16">
        <f t="shared" si="42"/>
        <v>-0.30646460307659257</v>
      </c>
      <c r="M24" s="16">
        <f t="shared" si="42"/>
        <v>-5.6522520691838149E-2</v>
      </c>
      <c r="N24" s="16">
        <f t="shared" si="42"/>
        <v>0.10181202093554952</v>
      </c>
      <c r="O24" s="16">
        <f t="shared" si="42"/>
        <v>5.7716378162449934E-2</v>
      </c>
      <c r="P24" s="17">
        <f>P9/P4</f>
        <v>9.506797018082401E-2</v>
      </c>
      <c r="Q24" s="50">
        <f t="shared" ref="Q24:S24" si="43">Q9/Q4</f>
        <v>0</v>
      </c>
      <c r="R24" s="50" t="e">
        <f t="shared" si="43"/>
        <v>#DIV/0!</v>
      </c>
      <c r="S24" s="50" t="e">
        <f t="shared" si="43"/>
        <v>#DIV/0!</v>
      </c>
      <c r="V24" s="16">
        <f>V9/V4</f>
        <v>0.1149777215277657</v>
      </c>
      <c r="W24" s="16">
        <f t="shared" ref="W24:AL24" si="44">W9/W4</f>
        <v>0.19091499122692285</v>
      </c>
      <c r="X24" s="16">
        <f t="shared" si="44"/>
        <v>0.20521417527124061</v>
      </c>
      <c r="Y24" s="16">
        <f t="shared" si="44"/>
        <v>0.26478820291116395</v>
      </c>
      <c r="Z24" s="16">
        <f t="shared" si="44"/>
        <v>9.0318290416288388E-2</v>
      </c>
      <c r="AA24" s="16">
        <f t="shared" si="44"/>
        <v>-1.0224473035860934E-2</v>
      </c>
      <c r="AB24" s="17">
        <f t="shared" si="44"/>
        <v>0.10316203313152986</v>
      </c>
      <c r="AC24" s="16">
        <f t="shared" si="44"/>
        <v>0.14582849929825017</v>
      </c>
      <c r="AD24" s="16">
        <f t="shared" si="44"/>
        <v>0.1692850978104537</v>
      </c>
      <c r="AE24" s="16">
        <f t="shared" si="44"/>
        <v>0.19067690647011157</v>
      </c>
      <c r="AF24" s="16">
        <f t="shared" si="44"/>
        <v>0.21022588713539697</v>
      </c>
      <c r="AG24" s="16">
        <f t="shared" si="44"/>
        <v>0.23728770668937099</v>
      </c>
      <c r="AH24" s="16">
        <f t="shared" si="44"/>
        <v>0.26173012751194003</v>
      </c>
      <c r="AI24" s="16">
        <f t="shared" si="44"/>
        <v>0.28381696371845955</v>
      </c>
      <c r="AJ24" s="16">
        <f t="shared" si="44"/>
        <v>0.30378435355370481</v>
      </c>
      <c r="AK24" s="16">
        <f t="shared" si="44"/>
        <v>0.32184377713453999</v>
      </c>
      <c r="AL24" s="16">
        <f t="shared" si="44"/>
        <v>0.33818473378651681</v>
      </c>
      <c r="AN24" s="1" t="s">
        <v>124</v>
      </c>
      <c r="AO24" s="33">
        <f>NPV(AO22,AB17:JL17)</f>
        <v>5056.6104902666093</v>
      </c>
    </row>
    <row r="25" spans="3:272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R25" s="35"/>
      <c r="S25" s="35"/>
      <c r="AN25" s="31" t="s">
        <v>125</v>
      </c>
      <c r="AO25" s="34">
        <f>AO24*B11</f>
        <v>51678.559210524749</v>
      </c>
    </row>
    <row r="26" spans="3:272" x14ac:dyDescent="0.25">
      <c r="C26" s="3" t="s">
        <v>96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22"/>
      <c r="AN26" s="1" t="s">
        <v>126</v>
      </c>
      <c r="AO26" s="9">
        <v>192.7816</v>
      </c>
    </row>
    <row r="27" spans="3:272" x14ac:dyDescent="0.25">
      <c r="D27" s="9"/>
      <c r="E27" s="9"/>
      <c r="F27" s="9"/>
      <c r="G27" s="9"/>
      <c r="H27" s="9"/>
      <c r="I27" s="13"/>
      <c r="J27" s="9"/>
      <c r="K27" s="9"/>
      <c r="L27" s="9"/>
      <c r="M27" s="9"/>
      <c r="N27" s="9"/>
      <c r="AN27" s="1" t="s">
        <v>127</v>
      </c>
      <c r="AO27" s="28">
        <f>AO25/AO26</f>
        <v>268.06790280049938</v>
      </c>
    </row>
    <row r="28" spans="3:272" x14ac:dyDescent="0.25">
      <c r="C28" s="1" t="s">
        <v>37</v>
      </c>
      <c r="D28" s="20">
        <v>2.2000000000000002</v>
      </c>
      <c r="E28" s="20">
        <v>2</v>
      </c>
      <c r="F28" s="20">
        <v>2.2000000000000002</v>
      </c>
      <c r="G28" s="20">
        <v>2.2000000000000002</v>
      </c>
      <c r="H28" s="20">
        <v>10</v>
      </c>
      <c r="I28" s="20">
        <v>11</v>
      </c>
      <c r="J28" s="20">
        <v>10</v>
      </c>
      <c r="K28" s="20">
        <v>11</v>
      </c>
      <c r="L28" s="20">
        <v>11</v>
      </c>
      <c r="M28" s="20">
        <v>11</v>
      </c>
      <c r="N28" s="20">
        <v>10.933999999999999</v>
      </c>
      <c r="O28" s="20">
        <v>10.88</v>
      </c>
      <c r="P28" s="21">
        <v>10.906000000000001</v>
      </c>
      <c r="AN28" s="2" t="s">
        <v>128</v>
      </c>
      <c r="AO28" s="14">
        <f>(AO27-B4)/B4</f>
        <v>1.1445432224039951</v>
      </c>
    </row>
    <row r="29" spans="3:272" x14ac:dyDescent="0.25">
      <c r="C29" s="1" t="s">
        <v>38</v>
      </c>
      <c r="D29" s="20">
        <v>26.6</v>
      </c>
      <c r="E29" s="20">
        <v>29.9</v>
      </c>
      <c r="F29" s="20">
        <v>26.6</v>
      </c>
      <c r="G29" s="20">
        <v>26.6</v>
      </c>
      <c r="H29" s="20">
        <v>26.9</v>
      </c>
      <c r="I29" s="20">
        <v>38.9</v>
      </c>
      <c r="J29" s="20">
        <v>34.5</v>
      </c>
      <c r="K29" s="20">
        <v>38.9</v>
      </c>
      <c r="L29" s="20">
        <v>50</v>
      </c>
      <c r="M29" s="20">
        <v>42</v>
      </c>
      <c r="N29" s="20">
        <v>44.268999999999998</v>
      </c>
      <c r="O29" s="20">
        <v>50.076000000000001</v>
      </c>
      <c r="P29" s="21">
        <v>50.485999999999997</v>
      </c>
    </row>
    <row r="30" spans="3:272" x14ac:dyDescent="0.25">
      <c r="C30" s="1" t="s">
        <v>39</v>
      </c>
      <c r="D30" s="20">
        <v>11.65</v>
      </c>
      <c r="E30" s="20">
        <v>13.7</v>
      </c>
      <c r="F30" s="20">
        <v>11.6</v>
      </c>
      <c r="G30" s="20">
        <v>11.65</v>
      </c>
      <c r="H30" s="20">
        <v>12.6</v>
      </c>
      <c r="I30" s="20">
        <v>19</v>
      </c>
      <c r="J30" s="20">
        <v>10.9</v>
      </c>
      <c r="K30" s="20">
        <v>19</v>
      </c>
      <c r="L30" s="20">
        <v>13</v>
      </c>
      <c r="M30" s="20">
        <v>16.899999999999999</v>
      </c>
      <c r="N30" s="20">
        <v>14.506</v>
      </c>
      <c r="O30" s="20">
        <v>13.762</v>
      </c>
      <c r="P30" s="21">
        <v>12.512</v>
      </c>
    </row>
    <row r="31" spans="3:272" x14ac:dyDescent="0.25">
      <c r="C31" s="1" t="s">
        <v>40</v>
      </c>
      <c r="D31" s="20">
        <v>4.5</v>
      </c>
      <c r="E31" s="20">
        <v>5.5</v>
      </c>
      <c r="F31" s="20">
        <v>4.55</v>
      </c>
      <c r="G31" s="20">
        <v>4.5</v>
      </c>
      <c r="H31" s="20">
        <v>3.7</v>
      </c>
      <c r="I31" s="20">
        <v>5.8</v>
      </c>
      <c r="J31" s="20">
        <v>3.6</v>
      </c>
      <c r="K31" s="20">
        <v>5.8</v>
      </c>
      <c r="L31" s="20">
        <v>15</v>
      </c>
      <c r="M31" s="20">
        <v>15</v>
      </c>
      <c r="N31" s="20">
        <v>16.942</v>
      </c>
      <c r="O31" s="20">
        <v>13.097</v>
      </c>
      <c r="P31" s="21">
        <v>14.728999999999999</v>
      </c>
    </row>
    <row r="32" spans="3:272" x14ac:dyDescent="0.25">
      <c r="C32" s="1" t="s">
        <v>41</v>
      </c>
      <c r="D32" s="20">
        <v>35.6</v>
      </c>
      <c r="E32" s="20">
        <v>31.45</v>
      </c>
      <c r="F32" s="20">
        <v>35.6</v>
      </c>
      <c r="G32" s="20">
        <v>35.6</v>
      </c>
      <c r="H32" s="20">
        <v>35.4</v>
      </c>
      <c r="I32" s="20">
        <v>29</v>
      </c>
      <c r="J32" s="20">
        <v>30.7</v>
      </c>
      <c r="K32" s="20">
        <v>29</v>
      </c>
      <c r="L32" s="20">
        <v>20</v>
      </c>
      <c r="M32" s="20">
        <v>23</v>
      </c>
      <c r="N32" s="20">
        <v>23.623999999999999</v>
      </c>
      <c r="O32" s="20">
        <v>21.954999999999998</v>
      </c>
      <c r="P32" s="21">
        <v>20.279</v>
      </c>
    </row>
    <row r="33" spans="3:16" x14ac:dyDescent="0.25">
      <c r="C33" s="1" t="s">
        <v>42</v>
      </c>
      <c r="D33" s="20">
        <v>21.4</v>
      </c>
      <c r="E33" s="20">
        <v>18</v>
      </c>
      <c r="F33" s="20">
        <v>21.4</v>
      </c>
      <c r="G33" s="20">
        <v>21.4</v>
      </c>
      <c r="H33" s="20">
        <v>20.7</v>
      </c>
      <c r="I33" s="20">
        <v>54.6</v>
      </c>
      <c r="J33" s="20">
        <v>34.799999999999997</v>
      </c>
      <c r="K33" s="20">
        <v>54.6</v>
      </c>
      <c r="L33" s="20">
        <v>53</v>
      </c>
      <c r="M33" s="20">
        <v>56.5</v>
      </c>
      <c r="N33" s="20">
        <v>55.453000000000003</v>
      </c>
      <c r="O33" s="20">
        <v>52.357999999999997</v>
      </c>
      <c r="P33" s="21">
        <v>52.804000000000002</v>
      </c>
    </row>
    <row r="34" spans="3:16" x14ac:dyDescent="0.25">
      <c r="C34" s="1" t="s">
        <v>43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1">
        <v>0</v>
      </c>
      <c r="K34" s="20">
        <v>0</v>
      </c>
      <c r="L34" s="20">
        <v>1</v>
      </c>
      <c r="M34" s="20">
        <v>0.32100000000000001</v>
      </c>
      <c r="N34" s="20">
        <v>0.20499999999999999</v>
      </c>
      <c r="O34" s="20">
        <v>0.17699999999999999</v>
      </c>
      <c r="P34" s="21">
        <v>0.56100000000000005</v>
      </c>
    </row>
    <row r="35" spans="3:16" x14ac:dyDescent="0.25">
      <c r="C35" s="1" t="s">
        <v>44</v>
      </c>
      <c r="D35" s="20">
        <v>0</v>
      </c>
      <c r="E35" s="20">
        <v>0</v>
      </c>
      <c r="F35" s="20">
        <v>0</v>
      </c>
      <c r="G35" s="20">
        <v>0</v>
      </c>
      <c r="H35" s="20">
        <v>100</v>
      </c>
      <c r="I35" s="20">
        <v>94.4</v>
      </c>
      <c r="J35" s="20">
        <v>100</v>
      </c>
      <c r="K35" s="20">
        <v>94.4</v>
      </c>
      <c r="L35" s="20">
        <v>90</v>
      </c>
      <c r="M35" s="20">
        <v>94.4</v>
      </c>
      <c r="N35" s="20">
        <v>93.066999999999993</v>
      </c>
      <c r="O35" s="20">
        <v>91.14</v>
      </c>
      <c r="P35" s="21">
        <v>90.347999999999999</v>
      </c>
    </row>
    <row r="36" spans="3:16" x14ac:dyDescent="0.25">
      <c r="C36" s="4" t="s">
        <v>45</v>
      </c>
      <c r="D36" s="25">
        <f t="shared" ref="D36:M36" si="45">SUM(D28:D35)</f>
        <v>101.95000000000002</v>
      </c>
      <c r="E36" s="25">
        <f t="shared" si="45"/>
        <v>100.55</v>
      </c>
      <c r="F36" s="25">
        <f t="shared" si="45"/>
        <v>101.94999999999999</v>
      </c>
      <c r="G36" s="25">
        <f t="shared" si="45"/>
        <v>101.95000000000002</v>
      </c>
      <c r="H36" s="25">
        <f t="shared" si="45"/>
        <v>209.3</v>
      </c>
      <c r="I36" s="25">
        <f t="shared" si="45"/>
        <v>252.70000000000002</v>
      </c>
      <c r="J36" s="25">
        <f>SUM(J28:J35)</f>
        <v>224.5</v>
      </c>
      <c r="K36" s="25">
        <f t="shared" si="45"/>
        <v>252.70000000000002</v>
      </c>
      <c r="L36" s="25">
        <f t="shared" si="45"/>
        <v>253</v>
      </c>
      <c r="M36" s="25">
        <f t="shared" si="45"/>
        <v>259.12099999999998</v>
      </c>
      <c r="N36" s="25">
        <f>SUM(N28:N35)</f>
        <v>259</v>
      </c>
      <c r="O36" s="25">
        <f>SUM(O28:O35)</f>
        <v>253.44499999999999</v>
      </c>
      <c r="P36" s="26">
        <f>SUM(P28:P35)</f>
        <v>252.625</v>
      </c>
    </row>
    <row r="37" spans="3:16" x14ac:dyDescent="0.25">
      <c r="C37" s="1" t="s">
        <v>46</v>
      </c>
      <c r="D37" s="20">
        <v>102</v>
      </c>
      <c r="E37" s="20">
        <v>63.9</v>
      </c>
      <c r="F37" s="20">
        <v>102</v>
      </c>
      <c r="G37" s="20">
        <v>102</v>
      </c>
      <c r="H37" s="20">
        <v>126.914</v>
      </c>
      <c r="I37" s="20">
        <v>163</v>
      </c>
      <c r="J37" s="20">
        <v>158.19999999999999</v>
      </c>
      <c r="K37" s="20">
        <v>163</v>
      </c>
      <c r="L37" s="20">
        <v>144</v>
      </c>
      <c r="M37" s="20">
        <v>170.441</v>
      </c>
      <c r="N37" s="20">
        <v>181.47499999999999</v>
      </c>
      <c r="O37" s="20">
        <v>171.90700000000001</v>
      </c>
      <c r="P37" s="21">
        <v>144.08799999999999</v>
      </c>
    </row>
    <row r="38" spans="3:16" x14ac:dyDescent="0.25">
      <c r="C38" s="1" t="s">
        <v>47</v>
      </c>
      <c r="D38" s="20">
        <v>175.12</v>
      </c>
      <c r="E38" s="20">
        <v>186.6</v>
      </c>
      <c r="F38" s="20">
        <v>175</v>
      </c>
      <c r="G38" s="20">
        <v>175</v>
      </c>
      <c r="H38" s="20">
        <v>176.1</v>
      </c>
      <c r="I38" s="20">
        <v>133.30000000000001</v>
      </c>
      <c r="J38" s="20">
        <v>160.44999999999999</v>
      </c>
      <c r="K38" s="20">
        <v>133.30000000000001</v>
      </c>
      <c r="L38" s="20">
        <v>73</v>
      </c>
      <c r="M38" s="20">
        <v>106.3</v>
      </c>
      <c r="N38" s="20">
        <v>110.595</v>
      </c>
      <c r="O38" s="20">
        <v>66.412000000000006</v>
      </c>
      <c r="P38" s="21">
        <v>72.849999999999994</v>
      </c>
    </row>
    <row r="39" spans="3:16" x14ac:dyDescent="0.25">
      <c r="C39" s="1" t="s">
        <v>48</v>
      </c>
      <c r="D39" s="20">
        <v>17.5</v>
      </c>
      <c r="E39" s="20">
        <v>15.2</v>
      </c>
      <c r="F39" s="20">
        <v>17.5</v>
      </c>
      <c r="G39" s="20">
        <v>17.5</v>
      </c>
      <c r="H39" s="20">
        <v>18</v>
      </c>
      <c r="I39" s="20">
        <v>21.8</v>
      </c>
      <c r="J39" s="20">
        <v>18</v>
      </c>
      <c r="K39" s="20">
        <v>21.8</v>
      </c>
      <c r="L39" s="20">
        <v>27</v>
      </c>
      <c r="M39" s="20">
        <v>23.4</v>
      </c>
      <c r="N39" s="20">
        <v>19.7</v>
      </c>
      <c r="O39" s="20">
        <v>27.029</v>
      </c>
      <c r="P39" s="21">
        <v>27.324000000000002</v>
      </c>
    </row>
    <row r="40" spans="3:16" x14ac:dyDescent="0.25">
      <c r="C40" s="1" t="s">
        <v>2</v>
      </c>
      <c r="D40" s="20">
        <v>379</v>
      </c>
      <c r="E40" s="20">
        <v>319.85000000000002</v>
      </c>
      <c r="F40" s="20">
        <v>379</v>
      </c>
      <c r="G40" s="20">
        <v>379</v>
      </c>
      <c r="H40" s="20">
        <v>233.26</v>
      </c>
      <c r="I40" s="20">
        <v>290.89999999999998</v>
      </c>
      <c r="J40" s="20">
        <v>228.7</v>
      </c>
      <c r="K40" s="20">
        <v>290.89999999999998</v>
      </c>
      <c r="L40" s="20">
        <v>307</v>
      </c>
      <c r="M40" s="20">
        <v>257.89999999999998</v>
      </c>
      <c r="N40" s="20">
        <v>260.85000000000002</v>
      </c>
      <c r="O40" s="20">
        <v>287.91399999999999</v>
      </c>
      <c r="P40" s="21">
        <v>307.45400000000001</v>
      </c>
    </row>
    <row r="41" spans="3:16" x14ac:dyDescent="0.25">
      <c r="C41" s="4" t="s">
        <v>49</v>
      </c>
      <c r="D41" s="25">
        <f t="shared" ref="D41:M41" si="46">SUM(D37:D40)</f>
        <v>673.62</v>
      </c>
      <c r="E41" s="25">
        <f t="shared" si="46"/>
        <v>585.54999999999995</v>
      </c>
      <c r="F41" s="25">
        <f t="shared" si="46"/>
        <v>673.5</v>
      </c>
      <c r="G41" s="25">
        <f t="shared" si="46"/>
        <v>673.5</v>
      </c>
      <c r="H41" s="25">
        <f t="shared" si="46"/>
        <v>554.274</v>
      </c>
      <c r="I41" s="25">
        <f t="shared" si="46"/>
        <v>609</v>
      </c>
      <c r="J41" s="25">
        <f t="shared" si="46"/>
        <v>565.34999999999991</v>
      </c>
      <c r="K41" s="25">
        <f t="shared" si="46"/>
        <v>609</v>
      </c>
      <c r="L41" s="25">
        <f t="shared" si="46"/>
        <v>551</v>
      </c>
      <c r="M41" s="25">
        <f t="shared" si="46"/>
        <v>558.04099999999994</v>
      </c>
      <c r="N41" s="25">
        <f>SUM(N37:N40)</f>
        <v>572.62</v>
      </c>
      <c r="O41" s="25">
        <f>SUM(O37:O40)</f>
        <v>553.26199999999994</v>
      </c>
      <c r="P41" s="26">
        <f>SUM(P37:P40)</f>
        <v>551.71600000000001</v>
      </c>
    </row>
    <row r="42" spans="3:16" x14ac:dyDescent="0.25">
      <c r="C42" s="2" t="s">
        <v>50</v>
      </c>
      <c r="D42" s="18">
        <f t="shared" ref="D42:M42" si="47">D41+D36</f>
        <v>775.57</v>
      </c>
      <c r="E42" s="18">
        <f t="shared" si="47"/>
        <v>686.09999999999991</v>
      </c>
      <c r="F42" s="18">
        <f t="shared" si="47"/>
        <v>775.45</v>
      </c>
      <c r="G42" s="18">
        <f t="shared" si="47"/>
        <v>775.45</v>
      </c>
      <c r="H42" s="18">
        <f t="shared" si="47"/>
        <v>763.57400000000007</v>
      </c>
      <c r="I42" s="18">
        <f t="shared" si="47"/>
        <v>861.7</v>
      </c>
      <c r="J42" s="18">
        <f t="shared" si="47"/>
        <v>789.84999999999991</v>
      </c>
      <c r="K42" s="18">
        <f t="shared" si="47"/>
        <v>861.7</v>
      </c>
      <c r="L42" s="18">
        <f t="shared" si="47"/>
        <v>804</v>
      </c>
      <c r="M42" s="18">
        <f t="shared" si="47"/>
        <v>817.16199999999992</v>
      </c>
      <c r="N42" s="18">
        <f>N41+N36</f>
        <v>831.62</v>
      </c>
      <c r="O42" s="18">
        <f>O41+O36</f>
        <v>806.70699999999988</v>
      </c>
      <c r="P42" s="19">
        <f>P41+P36</f>
        <v>804.34100000000001</v>
      </c>
    </row>
    <row r="43" spans="3:16" x14ac:dyDescent="0.25">
      <c r="C43" s="1" t="s">
        <v>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0.317</v>
      </c>
      <c r="O43" s="20">
        <v>0.317</v>
      </c>
      <c r="P43" s="21">
        <v>0.317</v>
      </c>
    </row>
    <row r="44" spans="3:16" x14ac:dyDescent="0.25">
      <c r="C44" s="1" t="s">
        <v>52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-1E-3</v>
      </c>
      <c r="O44" s="20">
        <v>-1E-3</v>
      </c>
      <c r="P44" s="21">
        <v>-2E-3</v>
      </c>
    </row>
    <row r="45" spans="3:16" x14ac:dyDescent="0.25">
      <c r="C45" s="1" t="s">
        <v>53</v>
      </c>
      <c r="D45" s="20">
        <v>235.44800000000001</v>
      </c>
      <c r="E45" s="20">
        <v>235.44800000000001</v>
      </c>
      <c r="F45" s="20">
        <v>235.4</v>
      </c>
      <c r="G45" s="20">
        <v>235.44800000000001</v>
      </c>
      <c r="H45" s="20">
        <v>235.44800000000001</v>
      </c>
      <c r="I45" s="20">
        <v>235.44800000000001</v>
      </c>
      <c r="J45" s="20">
        <v>235.44800000000001</v>
      </c>
      <c r="K45" s="20">
        <v>235.44800000000001</v>
      </c>
      <c r="L45" s="20">
        <v>235</v>
      </c>
      <c r="M45" s="20">
        <v>235.48</v>
      </c>
      <c r="N45" s="20">
        <v>235.44800000000001</v>
      </c>
      <c r="O45" s="20">
        <v>235.44800000000001</v>
      </c>
      <c r="P45" s="21">
        <v>235.44800000000001</v>
      </c>
    </row>
    <row r="46" spans="3:16" x14ac:dyDescent="0.25">
      <c r="C46" s="1" t="s">
        <v>54</v>
      </c>
      <c r="D46" s="20">
        <v>347.7</v>
      </c>
      <c r="E46" s="20">
        <v>287.84100000000001</v>
      </c>
      <c r="F46" s="20">
        <v>347.7</v>
      </c>
      <c r="G46" s="20">
        <v>347.78</v>
      </c>
      <c r="H46" s="20">
        <v>356.2</v>
      </c>
      <c r="I46" s="20">
        <v>366.3</v>
      </c>
      <c r="J46" s="20">
        <v>376.1</v>
      </c>
      <c r="K46" s="20">
        <v>366.3</v>
      </c>
      <c r="L46" s="20">
        <v>323</v>
      </c>
      <c r="M46" s="20">
        <v>326.49400000000003</v>
      </c>
      <c r="N46" s="20">
        <v>338.02699999999999</v>
      </c>
      <c r="O46" s="20">
        <v>334.00099999999998</v>
      </c>
      <c r="P46" s="21">
        <v>323.38799999999998</v>
      </c>
    </row>
    <row r="47" spans="3:16" x14ac:dyDescent="0.25">
      <c r="C47" s="2" t="s">
        <v>55</v>
      </c>
      <c r="D47" s="18">
        <f t="shared" ref="D47:M47" si="48">SUM(D43:D46)</f>
        <v>583.14800000000002</v>
      </c>
      <c r="E47" s="18">
        <f t="shared" si="48"/>
        <v>523.28899999999999</v>
      </c>
      <c r="F47" s="18">
        <f t="shared" si="48"/>
        <v>583.1</v>
      </c>
      <c r="G47" s="18">
        <f t="shared" si="48"/>
        <v>583.22799999999995</v>
      </c>
      <c r="H47" s="18">
        <f t="shared" si="48"/>
        <v>591.64800000000002</v>
      </c>
      <c r="I47" s="18">
        <f t="shared" si="48"/>
        <v>601.74800000000005</v>
      </c>
      <c r="J47" s="18">
        <f t="shared" si="48"/>
        <v>611.548</v>
      </c>
      <c r="K47" s="18">
        <f t="shared" si="48"/>
        <v>601.74800000000005</v>
      </c>
      <c r="L47" s="18">
        <f t="shared" si="48"/>
        <v>558</v>
      </c>
      <c r="M47" s="18">
        <f t="shared" si="48"/>
        <v>561.97400000000005</v>
      </c>
      <c r="N47" s="18">
        <f>SUM(N43:N46)</f>
        <v>573.79099999999994</v>
      </c>
      <c r="O47" s="18">
        <f>SUM(O43:O46)</f>
        <v>569.76499999999999</v>
      </c>
      <c r="P47" s="19">
        <f>SUM(P43:P46)</f>
        <v>559.15099999999995</v>
      </c>
    </row>
    <row r="48" spans="3:16" x14ac:dyDescent="0.25">
      <c r="C48" s="1" t="s">
        <v>61</v>
      </c>
      <c r="D48" s="20">
        <v>0.7</v>
      </c>
      <c r="E48" s="20">
        <v>1</v>
      </c>
      <c r="F48" s="20">
        <v>1</v>
      </c>
      <c r="G48" s="20">
        <v>1</v>
      </c>
      <c r="H48" s="20">
        <v>0.7</v>
      </c>
      <c r="I48" s="20">
        <v>1</v>
      </c>
      <c r="J48" s="20">
        <v>1</v>
      </c>
      <c r="K48" s="20">
        <v>1</v>
      </c>
      <c r="L48" s="20">
        <v>1</v>
      </c>
      <c r="M48" s="20">
        <v>0.65</v>
      </c>
      <c r="N48" s="20">
        <v>0.64600000000000002</v>
      </c>
      <c r="O48" s="20">
        <v>0.76500000000000001</v>
      </c>
      <c r="P48" s="21">
        <v>0</v>
      </c>
    </row>
    <row r="49" spans="3:27" x14ac:dyDescent="0.25">
      <c r="C49" s="1" t="s">
        <v>62</v>
      </c>
      <c r="D49" s="1">
        <v>0</v>
      </c>
      <c r="E49" s="20">
        <v>0</v>
      </c>
      <c r="F49" s="20">
        <v>0</v>
      </c>
      <c r="G49" s="20">
        <v>0</v>
      </c>
      <c r="H49" s="20">
        <v>0</v>
      </c>
      <c r="I49" s="20">
        <v>97.4</v>
      </c>
      <c r="J49" s="20">
        <v>0</v>
      </c>
      <c r="K49" s="20">
        <v>97.491</v>
      </c>
      <c r="L49" s="20">
        <v>94</v>
      </c>
      <c r="M49" s="20">
        <v>93</v>
      </c>
      <c r="N49" s="20">
        <v>94.364000000000004</v>
      </c>
      <c r="O49" s="20">
        <v>87.335999999999999</v>
      </c>
      <c r="P49" s="21">
        <v>93.968999999999994</v>
      </c>
    </row>
    <row r="50" spans="3:27" x14ac:dyDescent="0.25">
      <c r="C50" s="1" t="s">
        <v>63</v>
      </c>
      <c r="D50" s="20">
        <v>13.6</v>
      </c>
      <c r="E50" s="20">
        <v>12.2</v>
      </c>
      <c r="F50" s="20">
        <v>14.8</v>
      </c>
      <c r="G50" s="20">
        <v>14.861000000000001</v>
      </c>
      <c r="H50" s="20">
        <v>13.6</v>
      </c>
      <c r="I50" s="20">
        <v>47.863999999999997</v>
      </c>
      <c r="J50" s="20">
        <v>26.8</v>
      </c>
      <c r="K50" s="20">
        <v>47.8</v>
      </c>
      <c r="L50" s="20">
        <v>49</v>
      </c>
      <c r="M50" s="20">
        <v>48</v>
      </c>
      <c r="N50" s="20">
        <v>47.725000000000001</v>
      </c>
      <c r="O50" s="20">
        <v>45.752000000000002</v>
      </c>
      <c r="P50" s="21">
        <v>49.006</v>
      </c>
    </row>
    <row r="51" spans="3:27" x14ac:dyDescent="0.25">
      <c r="C51" s="4" t="s">
        <v>64</v>
      </c>
      <c r="D51" s="25">
        <f>SUM(D48:D50)</f>
        <v>14.299999999999999</v>
      </c>
      <c r="E51" s="25">
        <f t="shared" ref="E51:M51" si="49">SUM(E48:E50)</f>
        <v>13.2</v>
      </c>
      <c r="F51" s="25">
        <f t="shared" si="49"/>
        <v>15.8</v>
      </c>
      <c r="G51" s="25">
        <f t="shared" si="49"/>
        <v>15.861000000000001</v>
      </c>
      <c r="H51" s="25">
        <f t="shared" si="49"/>
        <v>14.299999999999999</v>
      </c>
      <c r="I51" s="25">
        <f t="shared" si="49"/>
        <v>146.26400000000001</v>
      </c>
      <c r="J51" s="25">
        <f t="shared" si="49"/>
        <v>27.8</v>
      </c>
      <c r="K51" s="25">
        <f t="shared" si="49"/>
        <v>146.291</v>
      </c>
      <c r="L51" s="25">
        <f t="shared" si="49"/>
        <v>144</v>
      </c>
      <c r="M51" s="25">
        <f t="shared" si="49"/>
        <v>141.65</v>
      </c>
      <c r="N51" s="25">
        <f>SUM(N48:N50)</f>
        <v>142.73500000000001</v>
      </c>
      <c r="O51" s="25">
        <f>SUM(O48:O50)</f>
        <v>133.85300000000001</v>
      </c>
      <c r="P51" s="26">
        <f>SUM(P48:P50)</f>
        <v>142.97499999999999</v>
      </c>
    </row>
    <row r="52" spans="3:27" x14ac:dyDescent="0.25">
      <c r="C52" s="1" t="s">
        <v>56</v>
      </c>
      <c r="D52" s="20">
        <v>36.25</v>
      </c>
      <c r="E52" s="20">
        <v>37.9</v>
      </c>
      <c r="F52" s="20">
        <v>34.228999999999999</v>
      </c>
      <c r="G52" s="20">
        <v>34.228999999999999</v>
      </c>
      <c r="H52" s="20">
        <v>36.25</v>
      </c>
      <c r="I52" s="20">
        <v>12.2</v>
      </c>
      <c r="J52" s="20">
        <v>35.700000000000003</v>
      </c>
      <c r="K52" s="20">
        <v>12.2</v>
      </c>
      <c r="L52" s="20">
        <v>24</v>
      </c>
      <c r="M52" s="20">
        <v>23</v>
      </c>
      <c r="N52" s="20">
        <v>31.984000000000002</v>
      </c>
      <c r="O52" s="20">
        <v>23.917999999999999</v>
      </c>
      <c r="P52" s="21">
        <v>24.391999999999999</v>
      </c>
    </row>
    <row r="53" spans="3:27" x14ac:dyDescent="0.25">
      <c r="C53" s="1" t="s">
        <v>57</v>
      </c>
      <c r="D53" s="20">
        <v>38.5</v>
      </c>
      <c r="E53" s="20">
        <v>33.4</v>
      </c>
      <c r="F53" s="20">
        <v>43.75</v>
      </c>
      <c r="G53" s="20">
        <v>43.758000000000003</v>
      </c>
      <c r="H53" s="20">
        <v>38.590000000000003</v>
      </c>
      <c r="I53" s="20">
        <v>5.6</v>
      </c>
      <c r="J53" s="20">
        <v>34.450000000000003</v>
      </c>
      <c r="K53" s="20">
        <v>5.6</v>
      </c>
      <c r="L53" s="20">
        <v>2</v>
      </c>
      <c r="M53" s="20">
        <v>1.4</v>
      </c>
      <c r="N53" s="20">
        <v>1.6060000000000001</v>
      </c>
      <c r="O53" s="20">
        <v>1.7989999999999999</v>
      </c>
      <c r="P53" s="21">
        <v>1.599</v>
      </c>
    </row>
    <row r="54" spans="3:27" x14ac:dyDescent="0.25">
      <c r="C54" s="1" t="s">
        <v>58</v>
      </c>
      <c r="D54" s="20">
        <v>10</v>
      </c>
      <c r="E54" s="20">
        <v>9.6</v>
      </c>
      <c r="F54" s="20">
        <v>6.45</v>
      </c>
      <c r="G54" s="20">
        <v>6.4</v>
      </c>
      <c r="H54" s="20">
        <v>10</v>
      </c>
      <c r="I54" s="20">
        <v>6.3</v>
      </c>
      <c r="J54" s="20">
        <v>4.4000000000000004</v>
      </c>
      <c r="K54" s="20">
        <v>6.3</v>
      </c>
      <c r="L54" s="20">
        <v>10</v>
      </c>
      <c r="M54" s="20">
        <v>7.1</v>
      </c>
      <c r="N54" s="20">
        <v>5.2140000000000004</v>
      </c>
      <c r="O54" s="20">
        <v>6.024</v>
      </c>
      <c r="P54" s="21">
        <v>10.19</v>
      </c>
    </row>
    <row r="55" spans="3:27" x14ac:dyDescent="0.25">
      <c r="C55" s="1" t="s">
        <v>59</v>
      </c>
      <c r="D55" s="20">
        <v>6.3</v>
      </c>
      <c r="E55" s="20">
        <v>5</v>
      </c>
      <c r="F55" s="20">
        <v>6.2</v>
      </c>
      <c r="G55" s="20">
        <v>6.2</v>
      </c>
      <c r="H55" s="20">
        <v>6.3</v>
      </c>
      <c r="I55" s="20">
        <v>9.8000000000000007</v>
      </c>
      <c r="J55" s="20">
        <v>8.6999999999999993</v>
      </c>
      <c r="K55" s="20">
        <v>9.8000000000000007</v>
      </c>
      <c r="L55" s="20">
        <v>11</v>
      </c>
      <c r="M55" s="20">
        <v>10.199999999999999</v>
      </c>
      <c r="N55" s="20">
        <v>10.585000000000001</v>
      </c>
      <c r="O55" s="20">
        <v>10.36</v>
      </c>
      <c r="P55" s="21">
        <v>11.324999999999999</v>
      </c>
    </row>
    <row r="56" spans="3:27" x14ac:dyDescent="0.25">
      <c r="C56" s="1" t="s">
        <v>60</v>
      </c>
      <c r="D56" s="20">
        <v>66.7</v>
      </c>
      <c r="E56" s="20">
        <v>63.8</v>
      </c>
      <c r="F56" s="20">
        <v>86.4</v>
      </c>
      <c r="G56" s="20">
        <v>86.438999999999993</v>
      </c>
      <c r="H56" s="20">
        <v>66.7</v>
      </c>
      <c r="I56" s="20">
        <v>80</v>
      </c>
      <c r="J56" s="20">
        <v>67.8</v>
      </c>
      <c r="K56" s="20">
        <v>80</v>
      </c>
      <c r="L56" s="20">
        <v>54</v>
      </c>
      <c r="M56" s="20">
        <v>71.400000000000006</v>
      </c>
      <c r="N56" s="20">
        <v>65.703999999999994</v>
      </c>
      <c r="O56" s="20">
        <v>60.984999999999999</v>
      </c>
      <c r="P56" s="21">
        <v>53.898000000000003</v>
      </c>
    </row>
    <row r="57" spans="3:27" x14ac:dyDescent="0.25">
      <c r="C57" s="4" t="s">
        <v>65</v>
      </c>
      <c r="D57" s="25">
        <f t="shared" ref="D57:M57" si="50">SUM(D52:D56)</f>
        <v>157.75</v>
      </c>
      <c r="E57" s="25">
        <f t="shared" si="50"/>
        <v>149.69999999999999</v>
      </c>
      <c r="F57" s="25">
        <f t="shared" si="50"/>
        <v>177.029</v>
      </c>
      <c r="G57" s="25">
        <f t="shared" si="50"/>
        <v>177.02600000000001</v>
      </c>
      <c r="H57" s="25">
        <f t="shared" si="50"/>
        <v>157.84</v>
      </c>
      <c r="I57" s="25">
        <f t="shared" si="50"/>
        <v>113.9</v>
      </c>
      <c r="J57" s="25">
        <f t="shared" si="50"/>
        <v>151.05000000000001</v>
      </c>
      <c r="K57" s="25">
        <f t="shared" si="50"/>
        <v>113.9</v>
      </c>
      <c r="L57" s="25">
        <f t="shared" si="50"/>
        <v>101</v>
      </c>
      <c r="M57" s="25">
        <f t="shared" si="50"/>
        <v>113.10000000000001</v>
      </c>
      <c r="N57" s="25">
        <f>SUM(N52:N56)</f>
        <v>115.09299999999999</v>
      </c>
      <c r="O57" s="25">
        <f>SUM(O52:O56)</f>
        <v>103.086</v>
      </c>
      <c r="P57" s="26">
        <f>SUM(P52:P56)</f>
        <v>101.404</v>
      </c>
    </row>
    <row r="58" spans="3:27" x14ac:dyDescent="0.25">
      <c r="C58" s="2" t="s">
        <v>66</v>
      </c>
      <c r="D58" s="18">
        <f t="shared" ref="D58:M58" si="51">D51+D57</f>
        <v>172.05</v>
      </c>
      <c r="E58" s="18">
        <f t="shared" si="51"/>
        <v>162.89999999999998</v>
      </c>
      <c r="F58" s="18">
        <f t="shared" si="51"/>
        <v>192.82900000000001</v>
      </c>
      <c r="G58" s="18">
        <f t="shared" si="51"/>
        <v>192.887</v>
      </c>
      <c r="H58" s="18">
        <f t="shared" si="51"/>
        <v>172.14000000000001</v>
      </c>
      <c r="I58" s="18">
        <f t="shared" si="51"/>
        <v>260.16399999999999</v>
      </c>
      <c r="J58" s="18">
        <f t="shared" si="51"/>
        <v>178.85000000000002</v>
      </c>
      <c r="K58" s="18">
        <f t="shared" si="51"/>
        <v>260.19100000000003</v>
      </c>
      <c r="L58" s="18">
        <f t="shared" si="51"/>
        <v>245</v>
      </c>
      <c r="M58" s="18">
        <f t="shared" si="51"/>
        <v>254.75</v>
      </c>
      <c r="N58" s="18">
        <f>N51+N57</f>
        <v>257.82799999999997</v>
      </c>
      <c r="O58" s="18">
        <f>O51+O57</f>
        <v>236.93900000000002</v>
      </c>
      <c r="P58" s="19">
        <f>P51+P57</f>
        <v>244.37899999999999</v>
      </c>
    </row>
    <row r="59" spans="3:27" x14ac:dyDescent="0.25">
      <c r="C59" s="2" t="s">
        <v>67</v>
      </c>
      <c r="D59" s="18">
        <f t="shared" ref="D59:M59" si="52">D47+D58</f>
        <v>755.19800000000009</v>
      </c>
      <c r="E59" s="18">
        <f t="shared" si="52"/>
        <v>686.18899999999996</v>
      </c>
      <c r="F59" s="18">
        <f t="shared" si="52"/>
        <v>775.92900000000009</v>
      </c>
      <c r="G59" s="18">
        <f t="shared" si="52"/>
        <v>776.11500000000001</v>
      </c>
      <c r="H59" s="18">
        <f t="shared" si="52"/>
        <v>763.78800000000001</v>
      </c>
      <c r="I59" s="18">
        <f t="shared" si="52"/>
        <v>861.91200000000003</v>
      </c>
      <c r="J59" s="18">
        <f t="shared" si="52"/>
        <v>790.39800000000002</v>
      </c>
      <c r="K59" s="18">
        <f t="shared" si="52"/>
        <v>861.93900000000008</v>
      </c>
      <c r="L59" s="18">
        <f t="shared" si="52"/>
        <v>803</v>
      </c>
      <c r="M59" s="18">
        <f t="shared" si="52"/>
        <v>816.72400000000005</v>
      </c>
      <c r="N59" s="18">
        <f>N47+N58</f>
        <v>831.61899999999991</v>
      </c>
      <c r="O59" s="18">
        <f>O47+O58</f>
        <v>806.70399999999995</v>
      </c>
      <c r="P59" s="19">
        <f>P47+P58</f>
        <v>803.53</v>
      </c>
    </row>
    <row r="60" spans="3:27" x14ac:dyDescent="0.25"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1"/>
    </row>
    <row r="61" spans="3:27" x14ac:dyDescent="0.25">
      <c r="C61" s="3" t="s">
        <v>95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1"/>
    </row>
    <row r="62" spans="3:27" x14ac:dyDescent="0.25">
      <c r="C62" s="1" t="s">
        <v>97</v>
      </c>
      <c r="D62" s="20">
        <f t="shared" ref="D62:O62" si="53">D15</f>
        <v>44.449000000000012</v>
      </c>
      <c r="E62" s="20">
        <f t="shared" si="53"/>
        <v>46.649000000000022</v>
      </c>
      <c r="F62" s="20">
        <f t="shared" si="53"/>
        <v>51.274999999999991</v>
      </c>
      <c r="G62" s="20">
        <f t="shared" si="53"/>
        <v>24.783999999999992</v>
      </c>
      <c r="H62" s="20">
        <f t="shared" si="53"/>
        <v>8.3940000000000001</v>
      </c>
      <c r="I62" s="20">
        <f t="shared" si="53"/>
        <v>19.580000000000016</v>
      </c>
      <c r="J62" s="20">
        <f t="shared" si="53"/>
        <v>1.7050000000000036</v>
      </c>
      <c r="K62" s="20">
        <f t="shared" si="53"/>
        <v>-17.583000000000002</v>
      </c>
      <c r="L62" s="20">
        <f t="shared" si="53"/>
        <v>-30.633999999999993</v>
      </c>
      <c r="M62" s="20">
        <f t="shared" si="53"/>
        <v>-17.977999999999998</v>
      </c>
      <c r="N62" s="20">
        <f t="shared" si="53"/>
        <v>5.501000000000003</v>
      </c>
      <c r="O62" s="20">
        <f t="shared" si="53"/>
        <v>-7.6000000000021828E-2</v>
      </c>
      <c r="P62" s="21">
        <f>P15</f>
        <v>2.0560000000000187</v>
      </c>
      <c r="V62" s="20">
        <f t="shared" ref="V62:Z62" si="54">V15</f>
        <v>10.048999999999985</v>
      </c>
      <c r="W62" s="20">
        <f t="shared" si="54"/>
        <v>43.587999999999994</v>
      </c>
      <c r="X62" s="20">
        <f t="shared" si="54"/>
        <v>87.830999999999989</v>
      </c>
      <c r="Y62" s="20">
        <f t="shared" si="54"/>
        <v>167.15700000000001</v>
      </c>
      <c r="Z62" s="20">
        <f t="shared" si="54"/>
        <v>12.09600000000006</v>
      </c>
      <c r="AA62" s="20">
        <f>AA15</f>
        <v>-42.926999999999992</v>
      </c>
    </row>
    <row r="63" spans="3:27" x14ac:dyDescent="0.25">
      <c r="C63" s="1" t="s">
        <v>98</v>
      </c>
      <c r="D63" s="20">
        <v>44</v>
      </c>
      <c r="E63" s="20">
        <v>47</v>
      </c>
      <c r="F63" s="20">
        <v>51</v>
      </c>
      <c r="G63" s="20">
        <v>25</v>
      </c>
      <c r="H63" s="20">
        <v>8</v>
      </c>
      <c r="I63" s="20">
        <v>20</v>
      </c>
      <c r="J63" s="20">
        <v>2</v>
      </c>
      <c r="K63" s="20">
        <v>-18</v>
      </c>
      <c r="L63" s="20">
        <v>-31</v>
      </c>
      <c r="M63" s="20">
        <v>-18</v>
      </c>
      <c r="N63" s="20">
        <v>6</v>
      </c>
      <c r="O63" s="20">
        <v>0</v>
      </c>
      <c r="P63" s="21">
        <v>2</v>
      </c>
      <c r="V63" s="20">
        <v>10</v>
      </c>
      <c r="W63" s="20">
        <v>43</v>
      </c>
      <c r="X63" s="20">
        <v>87.26</v>
      </c>
      <c r="Y63" s="20">
        <v>167</v>
      </c>
      <c r="Z63" s="20">
        <v>12</v>
      </c>
      <c r="AA63" s="20">
        <v>-43</v>
      </c>
    </row>
    <row r="64" spans="3:27" x14ac:dyDescent="0.25">
      <c r="C64" s="1" t="s">
        <v>99</v>
      </c>
      <c r="D64" s="20">
        <v>-2.9</v>
      </c>
      <c r="E64" s="20">
        <v>-4.7</v>
      </c>
      <c r="F64" s="20">
        <v>-2.5</v>
      </c>
      <c r="G64" s="20">
        <v>-6.5</v>
      </c>
      <c r="H64" s="20">
        <v>-7.8</v>
      </c>
      <c r="I64" s="20">
        <v>-8.1</v>
      </c>
      <c r="J64" s="20">
        <v>-1</v>
      </c>
      <c r="K64" s="20">
        <v>-25</v>
      </c>
      <c r="L64" s="20">
        <v>-3</v>
      </c>
      <c r="M64" s="20">
        <v>-2</v>
      </c>
      <c r="N64" s="20">
        <v>-1</v>
      </c>
      <c r="O64" s="20">
        <v>-1.7</v>
      </c>
      <c r="P64" s="21">
        <v>-0.72399999999999998</v>
      </c>
      <c r="V64" s="20">
        <v>-4.8</v>
      </c>
      <c r="W64" s="20">
        <v>-2.95</v>
      </c>
      <c r="X64" s="20">
        <v>-6.3319999999999999</v>
      </c>
      <c r="Y64" s="20">
        <v>-16.760000000000002</v>
      </c>
      <c r="Z64" s="20">
        <v>-41.9</v>
      </c>
      <c r="AA64" s="20">
        <v>-7.8</v>
      </c>
    </row>
    <row r="65" spans="3:27" x14ac:dyDescent="0.25">
      <c r="C65" s="1" t="s">
        <v>100</v>
      </c>
      <c r="D65" s="20">
        <v>10</v>
      </c>
      <c r="E65" s="20">
        <v>10.5</v>
      </c>
      <c r="F65" s="20">
        <v>11.6</v>
      </c>
      <c r="G65" s="20">
        <v>11.8</v>
      </c>
      <c r="H65" s="20">
        <v>11.5</v>
      </c>
      <c r="I65" s="20">
        <v>10.9</v>
      </c>
      <c r="J65" s="20">
        <v>10.7</v>
      </c>
      <c r="K65" s="20">
        <v>11</v>
      </c>
      <c r="L65" s="20">
        <v>10.6</v>
      </c>
      <c r="M65" s="20">
        <v>9.5</v>
      </c>
      <c r="N65" s="20">
        <v>9.9</v>
      </c>
      <c r="O65" s="20">
        <v>10</v>
      </c>
      <c r="P65" s="21">
        <v>9</v>
      </c>
      <c r="V65" s="20">
        <v>23.5</v>
      </c>
      <c r="W65" s="20">
        <v>31</v>
      </c>
      <c r="X65" s="20">
        <v>37.799999999999997</v>
      </c>
      <c r="Y65" s="20">
        <v>44</v>
      </c>
      <c r="Z65" s="20">
        <v>44.3</v>
      </c>
      <c r="AA65" s="20">
        <v>40.5</v>
      </c>
    </row>
    <row r="66" spans="3:27" x14ac:dyDescent="0.25">
      <c r="C66" s="1" t="s">
        <v>101</v>
      </c>
      <c r="D66" s="20">
        <v>0</v>
      </c>
      <c r="E66" s="20">
        <v>0</v>
      </c>
      <c r="F66" s="1">
        <v>0</v>
      </c>
      <c r="G66" s="20">
        <v>0</v>
      </c>
      <c r="H66" s="1">
        <v>0</v>
      </c>
      <c r="I66" s="20">
        <v>-1.5</v>
      </c>
      <c r="J66" s="1">
        <v>0</v>
      </c>
      <c r="K66" s="20">
        <v>-2.4</v>
      </c>
      <c r="L66" s="20">
        <v>0</v>
      </c>
      <c r="M66" s="20">
        <v>0</v>
      </c>
      <c r="N66" s="20">
        <v>1.1000000000000001</v>
      </c>
      <c r="O66" s="20">
        <v>0.7</v>
      </c>
      <c r="P66" s="21">
        <v>0.52500000000000002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</row>
    <row r="67" spans="3:27" x14ac:dyDescent="0.25">
      <c r="C67" s="1" t="s">
        <v>102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1.9</v>
      </c>
      <c r="J67" s="20">
        <v>0</v>
      </c>
      <c r="K67" s="20">
        <v>3.9</v>
      </c>
      <c r="L67" s="20">
        <v>3</v>
      </c>
      <c r="M67" s="20">
        <v>2.6</v>
      </c>
      <c r="N67" s="20">
        <v>3.3</v>
      </c>
      <c r="O67" s="20">
        <v>2.2000000000000002</v>
      </c>
      <c r="P67" s="21">
        <v>2.4449999999999998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</row>
    <row r="68" spans="3:27" x14ac:dyDescent="0.25">
      <c r="C68" s="1" t="s">
        <v>103</v>
      </c>
      <c r="D68" s="20">
        <v>-19</v>
      </c>
      <c r="E68" s="20">
        <v>-25</v>
      </c>
      <c r="F68" s="20">
        <v>-17.25</v>
      </c>
      <c r="G68" s="20">
        <v>-13.1</v>
      </c>
      <c r="H68" s="20">
        <v>-23.7</v>
      </c>
      <c r="I68" s="20">
        <v>1.3</v>
      </c>
      <c r="J68" s="20">
        <v>-17.445</v>
      </c>
      <c r="K68" s="20">
        <v>-1.2</v>
      </c>
      <c r="L68" s="20">
        <v>-2.4</v>
      </c>
      <c r="M68" s="20">
        <v>34.200000000000003</v>
      </c>
      <c r="N68" s="20">
        <v>-7.6</v>
      </c>
      <c r="O68" s="20">
        <v>45.6</v>
      </c>
      <c r="P68" s="21">
        <v>21.835999999999999</v>
      </c>
      <c r="V68" s="20">
        <v>-13.789</v>
      </c>
      <c r="W68" s="20">
        <v>-29.5</v>
      </c>
      <c r="X68" s="20">
        <v>-41</v>
      </c>
      <c r="Y68" s="20">
        <v>-74.59</v>
      </c>
      <c r="Z68" s="20">
        <v>-41.1</v>
      </c>
      <c r="AA68" s="20">
        <v>69.808000000000007</v>
      </c>
    </row>
    <row r="69" spans="3:27" x14ac:dyDescent="0.25">
      <c r="C69" s="1" t="s">
        <v>104</v>
      </c>
      <c r="D69" s="20">
        <v>1.8</v>
      </c>
      <c r="E69" s="20">
        <v>2.4</v>
      </c>
      <c r="F69" s="20">
        <v>2</v>
      </c>
      <c r="G69" s="20">
        <v>1.4</v>
      </c>
      <c r="H69" s="20">
        <v>1.8</v>
      </c>
      <c r="I69" s="20">
        <v>1.1000000000000001</v>
      </c>
      <c r="J69" s="20">
        <v>2.2999999999999998</v>
      </c>
      <c r="K69" s="20">
        <v>1.1000000000000001</v>
      </c>
      <c r="L69" s="20">
        <v>2</v>
      </c>
      <c r="M69" s="20">
        <v>3.8</v>
      </c>
      <c r="N69" s="20">
        <v>3.9</v>
      </c>
      <c r="O69" s="20">
        <v>1.8</v>
      </c>
      <c r="P69" s="21">
        <v>3</v>
      </c>
      <c r="V69" s="20">
        <v>1.1000000000000001</v>
      </c>
      <c r="W69" s="20">
        <v>3.1</v>
      </c>
      <c r="X69" s="20">
        <v>6.6</v>
      </c>
      <c r="Y69" s="20">
        <v>7.7</v>
      </c>
      <c r="Z69" s="20">
        <v>6.5</v>
      </c>
      <c r="AA69" s="20">
        <v>11.6</v>
      </c>
    </row>
    <row r="70" spans="3:27" x14ac:dyDescent="0.25">
      <c r="C70" s="1" t="s">
        <v>105</v>
      </c>
      <c r="D70" s="20">
        <v>-2.4</v>
      </c>
      <c r="E70" s="20">
        <v>0</v>
      </c>
      <c r="F70" s="20">
        <v>0</v>
      </c>
      <c r="G70" s="20">
        <v>17.600000000000001</v>
      </c>
      <c r="H70" s="20">
        <f>-100-20</f>
        <v>-120</v>
      </c>
      <c r="I70" s="20">
        <v>6.8</v>
      </c>
      <c r="J70" s="20">
        <v>-9.4</v>
      </c>
      <c r="K70" s="20">
        <f>21</f>
        <v>21</v>
      </c>
      <c r="L70" s="20">
        <v>-14</v>
      </c>
      <c r="M70" s="20">
        <f>0-0+2.9</f>
        <v>2.9</v>
      </c>
      <c r="N70" s="20">
        <f>-1.7</f>
        <v>-1.7</v>
      </c>
      <c r="O70" s="20">
        <f>0+0-9.9</f>
        <v>-9.9</v>
      </c>
      <c r="P70" s="21">
        <v>-3.2</v>
      </c>
      <c r="V70" s="20">
        <v>3.9</v>
      </c>
      <c r="W70" s="20">
        <f>20.5</f>
        <v>20.5</v>
      </c>
      <c r="X70" s="20">
        <f>11.3</f>
        <v>11.3</v>
      </c>
      <c r="Y70" s="20">
        <f>14.9</f>
        <v>14.9</v>
      </c>
      <c r="Z70" s="20">
        <f>-6+9.7-100-2.5</f>
        <v>-98.8</v>
      </c>
      <c r="AA70" s="20">
        <f>0.1+0.9+11.1-22.89</f>
        <v>-10.790000000000001</v>
      </c>
    </row>
    <row r="71" spans="3:27" x14ac:dyDescent="0.25">
      <c r="C71" s="2" t="s">
        <v>68</v>
      </c>
      <c r="D71" s="18">
        <f t="shared" ref="D71:O71" si="55">SUM(D63:D70)</f>
        <v>31.5</v>
      </c>
      <c r="E71" s="18">
        <f t="shared" si="55"/>
        <v>30.199999999999996</v>
      </c>
      <c r="F71" s="18">
        <f t="shared" si="55"/>
        <v>44.85</v>
      </c>
      <c r="G71" s="18">
        <f t="shared" si="55"/>
        <v>36.200000000000003</v>
      </c>
      <c r="H71" s="18">
        <f t="shared" si="55"/>
        <v>-130.19999999999999</v>
      </c>
      <c r="I71" s="18">
        <f t="shared" si="55"/>
        <v>32.4</v>
      </c>
      <c r="J71" s="18">
        <f t="shared" si="55"/>
        <v>-12.845000000000002</v>
      </c>
      <c r="K71" s="18">
        <f t="shared" si="55"/>
        <v>-9.5999999999999979</v>
      </c>
      <c r="L71" s="18">
        <f t="shared" si="55"/>
        <v>-34.799999999999997</v>
      </c>
      <c r="M71" s="18">
        <f t="shared" si="55"/>
        <v>33.000000000000007</v>
      </c>
      <c r="N71" s="18">
        <f t="shared" si="55"/>
        <v>13.900000000000002</v>
      </c>
      <c r="O71" s="18">
        <f t="shared" si="55"/>
        <v>48.699999999999996</v>
      </c>
      <c r="P71" s="19">
        <f>SUM(P63:P70)</f>
        <v>34.881999999999998</v>
      </c>
      <c r="V71" s="18">
        <f t="shared" ref="V71:Z71" si="56">SUM(V63:V70)</f>
        <v>19.910999999999998</v>
      </c>
      <c r="W71" s="18">
        <f t="shared" si="56"/>
        <v>65.150000000000006</v>
      </c>
      <c r="X71" s="18">
        <f t="shared" si="56"/>
        <v>95.628</v>
      </c>
      <c r="Y71" s="18">
        <f t="shared" si="56"/>
        <v>142.25</v>
      </c>
      <c r="Z71" s="18">
        <f t="shared" si="56"/>
        <v>-119</v>
      </c>
      <c r="AA71" s="18">
        <f>SUM(AA63:AA70)</f>
        <v>60.318000000000005</v>
      </c>
    </row>
    <row r="72" spans="3:27" x14ac:dyDescent="0.25">
      <c r="D72" s="20"/>
      <c r="E72" s="20"/>
      <c r="F72" s="20"/>
      <c r="G72" s="20"/>
      <c r="H72" s="20"/>
      <c r="I72" s="20"/>
      <c r="J72" s="20"/>
      <c r="K72" s="20"/>
      <c r="M72" s="20"/>
      <c r="N72" s="20"/>
      <c r="O72" s="20"/>
      <c r="P72" s="21"/>
      <c r="V72" s="20"/>
      <c r="W72" s="20"/>
      <c r="X72" s="20"/>
      <c r="Y72" s="20"/>
      <c r="Z72" s="20"/>
      <c r="AA72" s="20"/>
    </row>
    <row r="73" spans="3:27" x14ac:dyDescent="0.25">
      <c r="C73" s="1" t="s">
        <v>106</v>
      </c>
      <c r="D73" s="20">
        <v>-4.0999999999999996</v>
      </c>
      <c r="E73" s="20">
        <v>-4.3</v>
      </c>
      <c r="F73" s="20">
        <v>-7</v>
      </c>
      <c r="G73" s="20">
        <v>-8.3000000000000007</v>
      </c>
      <c r="H73" s="20">
        <v>-5.5</v>
      </c>
      <c r="I73" s="20">
        <v>-4.7</v>
      </c>
      <c r="J73" s="20">
        <v>-2</v>
      </c>
      <c r="K73" s="20">
        <v>-13.227</v>
      </c>
      <c r="L73" s="20">
        <v>-1</v>
      </c>
      <c r="M73" s="20">
        <v>-2.5</v>
      </c>
      <c r="N73" s="20">
        <v>-3</v>
      </c>
      <c r="O73" s="20">
        <v>-3.4</v>
      </c>
      <c r="P73" s="21">
        <v>-1.7</v>
      </c>
      <c r="V73" s="20">
        <v>-20</v>
      </c>
      <c r="W73" s="20">
        <v>-16.48</v>
      </c>
      <c r="X73" s="20">
        <v>-25</v>
      </c>
      <c r="Y73" s="20">
        <v>-24</v>
      </c>
      <c r="Z73" s="20">
        <v>-25.5</v>
      </c>
      <c r="AA73" s="20">
        <v>-9.8000000000000007</v>
      </c>
    </row>
    <row r="74" spans="3:27" x14ac:dyDescent="0.25">
      <c r="C74" s="1" t="s">
        <v>38</v>
      </c>
      <c r="D74" s="20">
        <v>-1.6</v>
      </c>
      <c r="E74" s="20">
        <v>-1.7</v>
      </c>
      <c r="F74" s="20">
        <v>-2</v>
      </c>
      <c r="G74" s="20">
        <v>-1</v>
      </c>
      <c r="H74" s="20">
        <v>-3.1</v>
      </c>
      <c r="I74" s="20">
        <v>-6.46</v>
      </c>
      <c r="J74" s="20">
        <v>-5.6</v>
      </c>
      <c r="K74" s="20">
        <v>-6.6</v>
      </c>
      <c r="L74" s="20">
        <v>-4.7</v>
      </c>
      <c r="M74" s="20">
        <v>-2.9</v>
      </c>
      <c r="N74" s="20">
        <v>-4.4000000000000004</v>
      </c>
      <c r="O74" s="20">
        <v>-7.1</v>
      </c>
      <c r="P74" s="21">
        <v>-2.3490000000000002</v>
      </c>
      <c r="V74" s="20">
        <v>-11</v>
      </c>
      <c r="W74" s="20">
        <v>-8.3000000000000007</v>
      </c>
      <c r="X74" s="20">
        <v>-5.6</v>
      </c>
      <c r="Y74" s="20">
        <v>-6.4</v>
      </c>
      <c r="Z74" s="20">
        <v>-21.9</v>
      </c>
      <c r="AA74" s="20">
        <v>-19.343</v>
      </c>
    </row>
    <row r="75" spans="3:27" x14ac:dyDescent="0.25">
      <c r="C75" s="1" t="s">
        <v>107</v>
      </c>
      <c r="D75" s="20">
        <v>0</v>
      </c>
      <c r="E75" s="20">
        <v>0</v>
      </c>
      <c r="F75" s="20">
        <v>0</v>
      </c>
      <c r="G75" s="20">
        <v>0</v>
      </c>
      <c r="H75" s="20">
        <v>-6</v>
      </c>
      <c r="I75" s="20">
        <v>0</v>
      </c>
      <c r="J75" s="20">
        <v>0</v>
      </c>
      <c r="K75" s="20">
        <v>0</v>
      </c>
      <c r="L75" s="20">
        <v>-0.4</v>
      </c>
      <c r="M75" s="20">
        <v>0</v>
      </c>
      <c r="N75" s="20">
        <v>0</v>
      </c>
      <c r="O75" s="20">
        <v>0</v>
      </c>
      <c r="P75" s="21">
        <v>-0.51800000000000002</v>
      </c>
      <c r="V75" s="20">
        <v>0</v>
      </c>
      <c r="W75" s="20">
        <v>-13</v>
      </c>
      <c r="X75" s="20">
        <v>0</v>
      </c>
      <c r="Y75" s="20">
        <v>0</v>
      </c>
      <c r="Z75" s="20">
        <f>-6</f>
        <v>-6</v>
      </c>
      <c r="AA75" s="20"/>
    </row>
    <row r="76" spans="3:27" x14ac:dyDescent="0.25">
      <c r="C76" s="2" t="s">
        <v>69</v>
      </c>
      <c r="D76" s="18">
        <f t="shared" ref="D76:O76" si="57">SUM(D73:D75)</f>
        <v>-5.6999999999999993</v>
      </c>
      <c r="E76" s="18">
        <f t="shared" si="57"/>
        <v>-6</v>
      </c>
      <c r="F76" s="18">
        <f t="shared" si="57"/>
        <v>-9</v>
      </c>
      <c r="G76" s="18">
        <f t="shared" si="57"/>
        <v>-9.3000000000000007</v>
      </c>
      <c r="H76" s="18">
        <f t="shared" si="57"/>
        <v>-14.6</v>
      </c>
      <c r="I76" s="18">
        <f t="shared" si="57"/>
        <v>-11.16</v>
      </c>
      <c r="J76" s="18">
        <f t="shared" si="57"/>
        <v>-7.6</v>
      </c>
      <c r="K76" s="18">
        <f t="shared" si="57"/>
        <v>-19.826999999999998</v>
      </c>
      <c r="L76" s="18">
        <f>SUM(L74:L75)</f>
        <v>-5.1000000000000005</v>
      </c>
      <c r="M76" s="18">
        <f t="shared" si="57"/>
        <v>-5.4</v>
      </c>
      <c r="N76" s="18">
        <f t="shared" si="57"/>
        <v>-7.4</v>
      </c>
      <c r="O76" s="18">
        <f t="shared" si="57"/>
        <v>-10.5</v>
      </c>
      <c r="P76" s="19">
        <f>SUM(P73:P75)</f>
        <v>-4.5670000000000002</v>
      </c>
      <c r="V76" s="18">
        <f t="shared" ref="V76:Z76" si="58">SUM(V73:V75)</f>
        <v>-31</v>
      </c>
      <c r="W76" s="18">
        <f t="shared" si="58"/>
        <v>-37.78</v>
      </c>
      <c r="X76" s="18">
        <f t="shared" si="58"/>
        <v>-30.6</v>
      </c>
      <c r="Y76" s="18">
        <f t="shared" si="58"/>
        <v>-30.4</v>
      </c>
      <c r="Z76" s="18">
        <f t="shared" si="58"/>
        <v>-53.4</v>
      </c>
      <c r="AA76" s="18">
        <f>SUM(AA73:AA75)</f>
        <v>-29.143000000000001</v>
      </c>
    </row>
    <row r="77" spans="3:27" x14ac:dyDescent="0.25"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1"/>
      <c r="V77" s="20"/>
      <c r="W77" s="20"/>
      <c r="X77" s="20"/>
      <c r="Y77" s="20"/>
      <c r="Z77" s="20"/>
      <c r="AA77" s="20"/>
    </row>
    <row r="78" spans="3:27" x14ac:dyDescent="0.25">
      <c r="C78" s="1" t="s">
        <v>108</v>
      </c>
      <c r="D78" s="20">
        <v>0</v>
      </c>
      <c r="E78" s="20">
        <v>-4.7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-3.8</v>
      </c>
      <c r="M78" s="20">
        <v>0</v>
      </c>
      <c r="N78" s="20">
        <v>0</v>
      </c>
      <c r="O78" s="20">
        <v>0</v>
      </c>
      <c r="P78" s="21">
        <v>-16.521999999999998</v>
      </c>
      <c r="V78" s="20">
        <v>2.4119999999999999</v>
      </c>
      <c r="W78" s="20">
        <v>10.45</v>
      </c>
      <c r="X78" s="20">
        <v>-20.757999999999999</v>
      </c>
      <c r="Y78" s="20">
        <v>-4.7</v>
      </c>
      <c r="Z78" s="20">
        <v>0</v>
      </c>
      <c r="AA78" s="20">
        <v>-3.8</v>
      </c>
    </row>
    <row r="79" spans="3:27" x14ac:dyDescent="0.25">
      <c r="C79" s="1" t="s">
        <v>120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/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1">
        <v>0</v>
      </c>
      <c r="V79" s="20">
        <v>0</v>
      </c>
      <c r="W79" s="20">
        <v>121.277</v>
      </c>
      <c r="X79" s="20"/>
      <c r="Y79" s="20"/>
      <c r="Z79" s="20"/>
      <c r="AA79" s="20"/>
    </row>
    <row r="80" spans="3:27" x14ac:dyDescent="0.25">
      <c r="C80" s="1" t="s">
        <v>109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-1.8</v>
      </c>
      <c r="M80" s="20">
        <v>-1.8</v>
      </c>
      <c r="N80" s="20">
        <v>-1.865</v>
      </c>
      <c r="O80" s="20">
        <v>-1.7</v>
      </c>
      <c r="P80" s="21">
        <v>-1.7</v>
      </c>
      <c r="V80" s="20">
        <v>0</v>
      </c>
      <c r="W80" s="20">
        <v>-4.5</v>
      </c>
      <c r="X80" s="20">
        <v>-6.4</v>
      </c>
      <c r="Y80" s="20">
        <v>0</v>
      </c>
      <c r="Z80" s="20">
        <v>0</v>
      </c>
      <c r="AA80" s="20">
        <v>-7.3</v>
      </c>
    </row>
    <row r="81" spans="3:27" x14ac:dyDescent="0.25">
      <c r="C81" s="1" t="s">
        <v>110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-1.8</v>
      </c>
      <c r="M81" s="20">
        <v>0</v>
      </c>
      <c r="N81" s="20">
        <v>0</v>
      </c>
      <c r="O81" s="20">
        <v>0</v>
      </c>
      <c r="P81" s="21">
        <v>-1.89</v>
      </c>
      <c r="V81" s="20">
        <v>-3.9</v>
      </c>
      <c r="W81" s="20">
        <v>-3.5</v>
      </c>
      <c r="X81" s="20">
        <v>0</v>
      </c>
      <c r="Y81" s="20">
        <v>0</v>
      </c>
      <c r="Z81" s="20">
        <v>-6.8</v>
      </c>
      <c r="AA81" s="20">
        <v>-7.3</v>
      </c>
    </row>
    <row r="82" spans="3:27" x14ac:dyDescent="0.25">
      <c r="C82" s="1" t="s">
        <v>111</v>
      </c>
      <c r="D82" s="20">
        <v>-1.5</v>
      </c>
      <c r="E82" s="20">
        <v>-1.5</v>
      </c>
      <c r="F82" s="20">
        <v>-1.4</v>
      </c>
      <c r="G82" s="20">
        <v>-2</v>
      </c>
      <c r="H82" s="20">
        <v>-1.8</v>
      </c>
      <c r="I82" s="20">
        <v>-1.9</v>
      </c>
      <c r="J82" s="20">
        <v>-2.1</v>
      </c>
      <c r="K82" s="20">
        <v>-2.4</v>
      </c>
      <c r="L82" s="20">
        <v>-0.88800000000000001</v>
      </c>
      <c r="M82" s="20">
        <v>-2.7</v>
      </c>
      <c r="N82" s="20">
        <v>-2.6</v>
      </c>
      <c r="O82" s="20">
        <v>-2.7</v>
      </c>
      <c r="P82" s="21">
        <v>-0.89900000000000002</v>
      </c>
      <c r="V82" s="20">
        <v>0</v>
      </c>
      <c r="W82" s="20">
        <v>0</v>
      </c>
      <c r="X82" s="20">
        <v>0</v>
      </c>
      <c r="Y82" s="20">
        <v>-6.6</v>
      </c>
      <c r="Z82" s="20">
        <v>-1.5</v>
      </c>
      <c r="AA82" s="20">
        <v>-3.5</v>
      </c>
    </row>
    <row r="83" spans="3:27" x14ac:dyDescent="0.25">
      <c r="C83" s="1" t="s">
        <v>112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f>92.9</f>
        <v>92.9</v>
      </c>
      <c r="L83" s="20">
        <v>-0.216</v>
      </c>
      <c r="M83" s="20">
        <v>0</v>
      </c>
      <c r="N83" s="20">
        <v>-0.23</v>
      </c>
      <c r="O83" s="20">
        <v>0</v>
      </c>
      <c r="P83" s="21">
        <v>-0.23</v>
      </c>
      <c r="V83" s="20">
        <v>0</v>
      </c>
      <c r="W83" s="20">
        <v>0</v>
      </c>
      <c r="X83" s="20">
        <v>0</v>
      </c>
      <c r="Y83" s="20">
        <v>0</v>
      </c>
      <c r="Z83" s="20">
        <f>-0.811+92.9</f>
        <v>92.088999999999999</v>
      </c>
      <c r="AA83" s="20">
        <v>-1.1000000000000001</v>
      </c>
    </row>
    <row r="84" spans="3:27" x14ac:dyDescent="0.25">
      <c r="C84" s="2" t="s">
        <v>70</v>
      </c>
      <c r="D84" s="18">
        <f t="shared" ref="D84:P84" si="59">SUM(D78:D83)</f>
        <v>-1.5</v>
      </c>
      <c r="E84" s="18">
        <f t="shared" si="59"/>
        <v>-6.2</v>
      </c>
      <c r="F84" s="18">
        <f t="shared" si="59"/>
        <v>-1.4</v>
      </c>
      <c r="G84" s="18">
        <f t="shared" si="59"/>
        <v>-2</v>
      </c>
      <c r="H84" s="18">
        <f t="shared" si="59"/>
        <v>-1.8</v>
      </c>
      <c r="I84" s="18">
        <f t="shared" si="59"/>
        <v>-1.9</v>
      </c>
      <c r="J84" s="18">
        <f t="shared" si="59"/>
        <v>-2.1</v>
      </c>
      <c r="K84" s="18">
        <f t="shared" si="59"/>
        <v>90.5</v>
      </c>
      <c r="L84" s="18">
        <f t="shared" si="59"/>
        <v>-8.5039999999999996</v>
      </c>
      <c r="M84" s="18">
        <f t="shared" si="59"/>
        <v>-4.5</v>
      </c>
      <c r="N84" s="18">
        <f t="shared" si="59"/>
        <v>-4.6950000000000003</v>
      </c>
      <c r="O84" s="18">
        <f t="shared" si="59"/>
        <v>-4.4000000000000004</v>
      </c>
      <c r="P84" s="19">
        <f t="shared" si="59"/>
        <v>-21.241</v>
      </c>
      <c r="V84" s="18">
        <f t="shared" ref="V84:AA84" si="60">SUM(V78:V83)</f>
        <v>-1.488</v>
      </c>
      <c r="W84" s="18">
        <f t="shared" si="60"/>
        <v>123.727</v>
      </c>
      <c r="X84" s="18">
        <f t="shared" si="60"/>
        <v>-27.158000000000001</v>
      </c>
      <c r="Y84" s="18">
        <f t="shared" si="60"/>
        <v>-11.3</v>
      </c>
      <c r="Z84" s="18">
        <f t="shared" si="60"/>
        <v>83.789000000000001</v>
      </c>
      <c r="AA84" s="18">
        <f t="shared" si="60"/>
        <v>-23</v>
      </c>
    </row>
    <row r="85" spans="3:27" x14ac:dyDescent="0.25"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1"/>
      <c r="V85" s="20"/>
      <c r="W85" s="20"/>
      <c r="X85" s="20"/>
      <c r="Y85" s="20"/>
      <c r="Z85" s="20"/>
      <c r="AA85" s="20"/>
    </row>
    <row r="86" spans="3:27" x14ac:dyDescent="0.25">
      <c r="C86" s="1" t="s">
        <v>113</v>
      </c>
      <c r="D86" s="20">
        <v>-0.435</v>
      </c>
      <c r="E86" s="20">
        <v>-1</v>
      </c>
      <c r="F86" s="20">
        <v>-1</v>
      </c>
      <c r="G86" s="20">
        <v>1.56</v>
      </c>
      <c r="H86" s="20">
        <v>0</v>
      </c>
      <c r="I86" s="20">
        <v>0</v>
      </c>
      <c r="J86" s="20">
        <v>-0.60499999999999998</v>
      </c>
      <c r="K86" s="20">
        <v>0.9</v>
      </c>
      <c r="L86" s="20">
        <v>-6</v>
      </c>
      <c r="M86" s="20">
        <v>0.59299999999999997</v>
      </c>
      <c r="N86" s="20">
        <v>1.4</v>
      </c>
      <c r="O86" s="20">
        <v>0</v>
      </c>
      <c r="P86" s="21">
        <v>10.5</v>
      </c>
      <c r="V86" s="20">
        <v>0</v>
      </c>
      <c r="W86" s="20">
        <v>1</v>
      </c>
      <c r="X86" s="20">
        <v>-1</v>
      </c>
      <c r="Y86" s="20">
        <v>-1</v>
      </c>
      <c r="Z86" s="20">
        <v>0.63</v>
      </c>
      <c r="AA86" s="20">
        <v>-10.65</v>
      </c>
    </row>
    <row r="87" spans="3:27" x14ac:dyDescent="0.25"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1"/>
      <c r="V87" s="20"/>
      <c r="W87" s="20"/>
      <c r="X87" s="20"/>
      <c r="Y87" s="20"/>
      <c r="Z87" s="20"/>
      <c r="AA87" s="20"/>
    </row>
    <row r="88" spans="3:27" x14ac:dyDescent="0.25">
      <c r="C88" s="1" t="s">
        <v>114</v>
      </c>
      <c r="D88" s="20">
        <f t="shared" ref="D88:P88" si="61">D71+D76+D84+D86</f>
        <v>23.865000000000002</v>
      </c>
      <c r="E88" s="20">
        <f t="shared" si="61"/>
        <v>16.999999999999996</v>
      </c>
      <c r="F88" s="20">
        <f t="shared" si="61"/>
        <v>33.450000000000003</v>
      </c>
      <c r="G88" s="20">
        <f t="shared" si="61"/>
        <v>26.46</v>
      </c>
      <c r="H88" s="20">
        <f t="shared" si="61"/>
        <v>-146.6</v>
      </c>
      <c r="I88" s="20">
        <f t="shared" si="61"/>
        <v>19.34</v>
      </c>
      <c r="J88" s="20">
        <f t="shared" si="61"/>
        <v>-23.150000000000002</v>
      </c>
      <c r="K88" s="20">
        <f t="shared" si="61"/>
        <v>61.973000000000006</v>
      </c>
      <c r="L88" s="20">
        <f t="shared" si="61"/>
        <v>-54.403999999999996</v>
      </c>
      <c r="M88" s="20">
        <f t="shared" si="61"/>
        <v>23.693000000000008</v>
      </c>
      <c r="N88" s="20">
        <f t="shared" si="61"/>
        <v>3.2050000000000014</v>
      </c>
      <c r="O88" s="20">
        <f t="shared" si="61"/>
        <v>33.799999999999997</v>
      </c>
      <c r="P88" s="21">
        <f t="shared" si="61"/>
        <v>19.573999999999998</v>
      </c>
      <c r="V88" s="20">
        <f t="shared" ref="V88:AA88" si="62">V71+V76+V84+V86</f>
        <v>-12.577000000000002</v>
      </c>
      <c r="W88" s="20">
        <f t="shared" si="62"/>
        <v>152.09700000000001</v>
      </c>
      <c r="X88" s="20">
        <f t="shared" si="62"/>
        <v>36.86999999999999</v>
      </c>
      <c r="Y88" s="20">
        <f t="shared" si="62"/>
        <v>99.55</v>
      </c>
      <c r="Z88" s="20">
        <f t="shared" si="62"/>
        <v>-87.981000000000009</v>
      </c>
      <c r="AA88" s="20">
        <f t="shared" si="62"/>
        <v>-2.4749999999999961</v>
      </c>
    </row>
    <row r="89" spans="3:27" x14ac:dyDescent="0.25"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1"/>
      <c r="V89" s="20"/>
      <c r="W89" s="20"/>
      <c r="X89" s="20"/>
      <c r="Y89" s="20"/>
      <c r="Z89" s="20"/>
      <c r="AA89" s="20"/>
    </row>
    <row r="90" spans="3:27" x14ac:dyDescent="0.25">
      <c r="C90" s="1" t="s">
        <v>115</v>
      </c>
      <c r="D90" s="20">
        <f t="shared" ref="D90:O90" si="63">D71+D76</f>
        <v>25.8</v>
      </c>
      <c r="E90" s="20">
        <f t="shared" si="63"/>
        <v>24.199999999999996</v>
      </c>
      <c r="F90" s="20">
        <f t="shared" si="63"/>
        <v>35.85</v>
      </c>
      <c r="G90" s="20">
        <f t="shared" si="63"/>
        <v>26.900000000000002</v>
      </c>
      <c r="H90" s="20">
        <f t="shared" si="63"/>
        <v>-144.79999999999998</v>
      </c>
      <c r="I90" s="20">
        <f t="shared" si="63"/>
        <v>21.24</v>
      </c>
      <c r="J90" s="20">
        <f t="shared" si="63"/>
        <v>-20.445</v>
      </c>
      <c r="K90" s="20">
        <f t="shared" si="63"/>
        <v>-29.426999999999996</v>
      </c>
      <c r="L90" s="20">
        <f>L71+L76</f>
        <v>-39.9</v>
      </c>
      <c r="M90" s="20">
        <f t="shared" si="63"/>
        <v>27.600000000000009</v>
      </c>
      <c r="N90" s="20">
        <f t="shared" si="63"/>
        <v>6.5000000000000018</v>
      </c>
      <c r="O90" s="20">
        <f t="shared" si="63"/>
        <v>38.199999999999996</v>
      </c>
      <c r="P90" s="21">
        <f>P71+P76</f>
        <v>30.314999999999998</v>
      </c>
      <c r="V90" s="20">
        <f t="shared" ref="V90:Z90" si="64">V71+V76</f>
        <v>-11.089000000000002</v>
      </c>
      <c r="W90" s="20">
        <f t="shared" si="64"/>
        <v>27.370000000000005</v>
      </c>
      <c r="X90" s="20">
        <f t="shared" si="64"/>
        <v>65.027999999999992</v>
      </c>
      <c r="Y90" s="20">
        <f t="shared" si="64"/>
        <v>111.85</v>
      </c>
      <c r="Z90" s="20">
        <f t="shared" si="64"/>
        <v>-172.4</v>
      </c>
      <c r="AA90" s="20">
        <f>AA71+AA76</f>
        <v>31.175000000000004</v>
      </c>
    </row>
    <row r="91" spans="3:27" x14ac:dyDescent="0.25"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1"/>
      <c r="V91" s="20"/>
      <c r="W91" s="20"/>
      <c r="X91" s="20"/>
      <c r="Y91" s="20"/>
      <c r="Z91" s="20"/>
      <c r="AA91" s="20"/>
    </row>
    <row r="92" spans="3:27" x14ac:dyDescent="0.25"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1"/>
      <c r="V92" s="20"/>
      <c r="W92" s="20"/>
      <c r="X92" s="20"/>
      <c r="Y92" s="20"/>
      <c r="Z92" s="20"/>
      <c r="AA92" s="20"/>
    </row>
    <row r="93" spans="3:27" x14ac:dyDescent="0.25"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1"/>
    </row>
    <row r="94" spans="3:27" x14ac:dyDescent="0.25"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1"/>
    </row>
    <row r="95" spans="3:27" x14ac:dyDescent="0.25"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1"/>
    </row>
    <row r="96" spans="3:27" x14ac:dyDescent="0.25"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1"/>
    </row>
    <row r="97" spans="4:16" x14ac:dyDescent="0.25"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1"/>
    </row>
    <row r="98" spans="4:16" x14ac:dyDescent="0.25"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1"/>
    </row>
    <row r="99" spans="4:16" x14ac:dyDescent="0.25"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1"/>
    </row>
    <row r="100" spans="4:16" x14ac:dyDescent="0.25"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1"/>
    </row>
    <row r="101" spans="4:16" x14ac:dyDescent="0.25"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1"/>
    </row>
    <row r="102" spans="4:16" x14ac:dyDescent="0.25"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1"/>
    </row>
    <row r="103" spans="4:16" x14ac:dyDescent="0.25"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1"/>
    </row>
    <row r="104" spans="4:16" x14ac:dyDescent="0.25"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1"/>
    </row>
    <row r="105" spans="4:16" x14ac:dyDescent="0.25"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1"/>
    </row>
    <row r="106" spans="4:16" x14ac:dyDescent="0.25"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1"/>
    </row>
    <row r="107" spans="4:16" x14ac:dyDescent="0.25"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1"/>
    </row>
    <row r="108" spans="4:16" x14ac:dyDescent="0.25"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1"/>
    </row>
    <row r="109" spans="4:16" x14ac:dyDescent="0.25"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1"/>
    </row>
    <row r="110" spans="4:16" x14ac:dyDescent="0.25"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16E7-B804-E143-9FC2-A747C08EC0A8}">
  <dimension ref="A3:V26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7" sqref="I27"/>
    </sheetView>
  </sheetViews>
  <sheetFormatPr baseColWidth="10" defaultRowHeight="19" x14ac:dyDescent="0.25"/>
  <cols>
    <col min="1" max="1" width="5" style="1" customWidth="1"/>
    <col min="2" max="2" width="25.5" style="1" customWidth="1"/>
    <col min="3" max="17" width="10.83203125" style="1"/>
    <col min="18" max="18" width="11.1640625" style="1" bestFit="1" customWidth="1"/>
    <col min="19" max="16384" width="10.83203125" style="1"/>
  </cols>
  <sheetData>
    <row r="3" spans="1:22" x14ac:dyDescent="0.25">
      <c r="B3" s="31" t="s">
        <v>129</v>
      </c>
      <c r="C3" s="41" t="s">
        <v>3</v>
      </c>
      <c r="D3" s="41" t="s">
        <v>4</v>
      </c>
      <c r="E3" s="41" t="s">
        <v>5</v>
      </c>
      <c r="F3" s="41" t="s">
        <v>6</v>
      </c>
      <c r="G3" s="42">
        <v>2022</v>
      </c>
      <c r="H3" s="41" t="s">
        <v>7</v>
      </c>
      <c r="I3" s="41" t="s">
        <v>8</v>
      </c>
      <c r="J3" s="41" t="s">
        <v>9</v>
      </c>
      <c r="K3" s="41" t="s">
        <v>10</v>
      </c>
      <c r="L3" s="42">
        <v>2023</v>
      </c>
      <c r="M3" s="41" t="s">
        <v>11</v>
      </c>
      <c r="N3" s="41" t="s">
        <v>12</v>
      </c>
      <c r="O3" s="41" t="s">
        <v>13</v>
      </c>
      <c r="P3" s="41" t="s">
        <v>14</v>
      </c>
      <c r="Q3" s="42">
        <v>2024</v>
      </c>
      <c r="R3" s="41" t="s">
        <v>90</v>
      </c>
      <c r="S3" s="41" t="s">
        <v>91</v>
      </c>
      <c r="T3" s="41" t="s">
        <v>92</v>
      </c>
      <c r="U3" s="41" t="s">
        <v>93</v>
      </c>
      <c r="V3" s="43">
        <v>2025</v>
      </c>
    </row>
    <row r="4" spans="1:22" x14ac:dyDescent="0.25">
      <c r="B4" s="2" t="s">
        <v>131</v>
      </c>
      <c r="G4" s="37"/>
      <c r="L4" s="37"/>
      <c r="Q4" s="37"/>
      <c r="V4" s="37"/>
    </row>
    <row r="5" spans="1:22" x14ac:dyDescent="0.25">
      <c r="B5" s="35" t="s">
        <v>19</v>
      </c>
      <c r="C5" s="40">
        <v>175.52199999999999</v>
      </c>
      <c r="D5" s="40">
        <v>193.249</v>
      </c>
      <c r="E5" s="40">
        <v>192.05</v>
      </c>
      <c r="F5" s="40">
        <v>183.99199999999999</v>
      </c>
      <c r="G5" s="45">
        <f>SUM(C5:F5)</f>
        <v>744.81299999999987</v>
      </c>
      <c r="H5" s="40">
        <v>138.77000000000001</v>
      </c>
      <c r="I5" s="40">
        <v>149.61600000000001</v>
      </c>
      <c r="J5" s="35">
        <v>130</v>
      </c>
      <c r="K5" s="40">
        <v>99.897999999999996</v>
      </c>
      <c r="L5" s="45">
        <f>SUM(H5:K5)</f>
        <v>518.28399999999999</v>
      </c>
      <c r="M5" s="40">
        <v>69.025000000000006</v>
      </c>
      <c r="N5" s="40">
        <v>122.91800000000001</v>
      </c>
      <c r="O5" s="40">
        <v>155.166</v>
      </c>
      <c r="P5" s="40">
        <v>140.227</v>
      </c>
      <c r="Q5" s="45">
        <f>SUM(M5:P5)</f>
        <v>487.33600000000001</v>
      </c>
      <c r="R5" s="40">
        <v>146.04300000000001</v>
      </c>
      <c r="S5" s="35"/>
      <c r="T5" s="35"/>
      <c r="U5" s="35"/>
      <c r="V5" s="45">
        <f>SUM(R5:U5)</f>
        <v>146.04300000000001</v>
      </c>
    </row>
    <row r="6" spans="1:22" x14ac:dyDescent="0.25">
      <c r="B6" s="36" t="s">
        <v>133</v>
      </c>
      <c r="C6" s="36"/>
      <c r="D6" s="36"/>
      <c r="E6" s="36"/>
      <c r="F6" s="36"/>
      <c r="G6" s="46"/>
      <c r="H6" s="44">
        <f>(H5-C5)/C5</f>
        <v>-0.20938685748795013</v>
      </c>
      <c r="I6" s="44">
        <f>(I5-D5)/D5</f>
        <v>-0.22578642062830848</v>
      </c>
      <c r="J6" s="44">
        <f>(J5-E5)/E5</f>
        <v>-0.32309294454569126</v>
      </c>
      <c r="K6" s="44">
        <f>(K5-F5)/F5</f>
        <v>-0.45705248054263226</v>
      </c>
      <c r="L6" s="47">
        <f>(L5-G5)/G5</f>
        <v>-0.30414211352379716</v>
      </c>
      <c r="M6" s="44">
        <f>(M5-H5)/H5</f>
        <v>-0.50259422065287884</v>
      </c>
      <c r="N6" s="44">
        <f>(N5-I5)/I5</f>
        <v>-0.17844348198053686</v>
      </c>
      <c r="O6" s="44">
        <f>(O5-J5)/J5</f>
        <v>0.19358461538461536</v>
      </c>
      <c r="P6" s="44">
        <f>(P5-K5)/K5</f>
        <v>0.40370177581132766</v>
      </c>
      <c r="Q6" s="47">
        <f>(Q5-L5)/L5</f>
        <v>-5.971243565303961E-2</v>
      </c>
      <c r="R6" s="44">
        <f>(R5-M5)/M5</f>
        <v>1.1157986236870698</v>
      </c>
      <c r="S6" s="44">
        <f>(S5-N5)/N5</f>
        <v>-1</v>
      </c>
      <c r="T6" s="44">
        <f>(T5-O5)/O5</f>
        <v>-1</v>
      </c>
      <c r="U6" s="44">
        <f>(U5-P5)/P5</f>
        <v>-1</v>
      </c>
      <c r="V6" s="47">
        <f>(V5-Q5)/Q5</f>
        <v>-0.70032380123774973</v>
      </c>
    </row>
    <row r="7" spans="1:22" x14ac:dyDescent="0.25">
      <c r="B7" s="2" t="s">
        <v>132</v>
      </c>
      <c r="G7" s="39"/>
      <c r="L7" s="37"/>
      <c r="Q7" s="39"/>
      <c r="V7" s="37"/>
    </row>
    <row r="8" spans="1:22" x14ac:dyDescent="0.25">
      <c r="B8" s="35" t="s">
        <v>19</v>
      </c>
      <c r="C8" s="40">
        <f>6.553+1</f>
        <v>7.5529999999999999</v>
      </c>
      <c r="D8" s="40">
        <f>5.1+1</f>
        <v>6.1</v>
      </c>
      <c r="E8" s="40">
        <f>8.6+0.714</f>
        <v>9.3140000000000001</v>
      </c>
      <c r="F8" s="40">
        <f>5+1.8</f>
        <v>6.8</v>
      </c>
      <c r="G8" s="45">
        <f>SUM(C8:F8)</f>
        <v>29.766999999999999</v>
      </c>
      <c r="H8" s="40">
        <f>4.7+1.1</f>
        <v>5.8000000000000007</v>
      </c>
      <c r="I8" s="40">
        <f>2.588+1.7</f>
        <v>4.2880000000000003</v>
      </c>
      <c r="J8" s="40">
        <v>4.7</v>
      </c>
      <c r="K8" s="40">
        <f>6+1.2</f>
        <v>7.2</v>
      </c>
      <c r="L8" s="45">
        <f>SUM(H8:K8)</f>
        <v>21.988</v>
      </c>
      <c r="M8" s="40">
        <v>3.778</v>
      </c>
      <c r="N8" s="40">
        <f>3.743+0.545</f>
        <v>4.2880000000000003</v>
      </c>
      <c r="O8" s="40">
        <f>2.476+0.094</f>
        <v>2.57</v>
      </c>
      <c r="P8" s="40">
        <v>7.8</v>
      </c>
      <c r="Q8" s="45">
        <f>SUM(M8:P8)</f>
        <v>18.436</v>
      </c>
      <c r="R8" s="40">
        <v>7.5369999999999999</v>
      </c>
      <c r="S8" s="35"/>
      <c r="T8" s="35"/>
      <c r="U8" s="35"/>
      <c r="V8" s="45">
        <f>SUM(R8:U8)</f>
        <v>7.5369999999999999</v>
      </c>
    </row>
    <row r="9" spans="1:22" x14ac:dyDescent="0.25">
      <c r="B9" s="36" t="s">
        <v>133</v>
      </c>
      <c r="C9" s="36"/>
      <c r="D9" s="36"/>
      <c r="E9" s="36"/>
      <c r="F9" s="36"/>
      <c r="G9" s="46"/>
      <c r="H9" s="44">
        <f>(H8-C8)/C8</f>
        <v>-0.23209320799682234</v>
      </c>
      <c r="I9" s="44">
        <f>(I8-D8)/D8</f>
        <v>-0.29704918032786876</v>
      </c>
      <c r="J9" s="44">
        <f>(J8-E8)/E8</f>
        <v>-0.49538329396607256</v>
      </c>
      <c r="K9" s="44">
        <f>(K8-F8)/F8</f>
        <v>5.8823529411764761E-2</v>
      </c>
      <c r="L9" s="47">
        <f>(L8-G8)/G8</f>
        <v>-0.261329660362146</v>
      </c>
      <c r="M9" s="44">
        <f>(M8-H8)/H8</f>
        <v>-0.34862068965517251</v>
      </c>
      <c r="N9" s="44">
        <f>(N8-I8)/I8</f>
        <v>0</v>
      </c>
      <c r="O9" s="44">
        <f>(O8-J8)/J8</f>
        <v>-0.45319148936170217</v>
      </c>
      <c r="P9" s="44">
        <f>(P8-K8)/K8</f>
        <v>8.3333333333333287E-2</v>
      </c>
      <c r="Q9" s="47">
        <f>(Q8-L8)/L8</f>
        <v>-0.16154265963252681</v>
      </c>
      <c r="R9" s="44">
        <f>(R8-M8)/M8</f>
        <v>0.99497088406564316</v>
      </c>
      <c r="S9" s="44">
        <f>(S8-N8)/N8</f>
        <v>-1</v>
      </c>
      <c r="T9" s="44">
        <f>(T8-O8)/O8</f>
        <v>-1</v>
      </c>
      <c r="U9" s="44">
        <f>(U8-P8)/P8</f>
        <v>-1</v>
      </c>
      <c r="V9" s="47">
        <f>(V8-Q8)/Q8</f>
        <v>-0.5911802994141897</v>
      </c>
    </row>
    <row r="10" spans="1:22" x14ac:dyDescent="0.25">
      <c r="B10" s="2" t="s">
        <v>105</v>
      </c>
      <c r="G10" s="39"/>
      <c r="L10" s="37"/>
      <c r="Q10" s="39"/>
      <c r="V10" s="37"/>
    </row>
    <row r="11" spans="1:22" x14ac:dyDescent="0.25">
      <c r="B11" s="35" t="s">
        <v>19</v>
      </c>
      <c r="C11" s="35">
        <v>0</v>
      </c>
      <c r="D11" s="40">
        <v>0.751</v>
      </c>
      <c r="E11" s="40">
        <v>0.71799999999999997</v>
      </c>
      <c r="F11" s="40">
        <v>0.48199999999999998</v>
      </c>
      <c r="G11" s="45">
        <f>SUM(C11:F11)</f>
        <v>1.9509999999999998</v>
      </c>
      <c r="H11" s="40">
        <v>0.78700000000000003</v>
      </c>
      <c r="I11" s="40">
        <v>0.28699999999999998</v>
      </c>
      <c r="J11" s="40">
        <v>0.24299999999999999</v>
      </c>
      <c r="K11" s="40">
        <v>0.98399999999999999</v>
      </c>
      <c r="L11" s="45">
        <f>SUM(H11:K11)</f>
        <v>2.3010000000000002</v>
      </c>
      <c r="M11" s="40">
        <v>1.6950000000000001</v>
      </c>
      <c r="N11" s="40">
        <v>0.74299999999999999</v>
      </c>
      <c r="O11" s="35">
        <v>1</v>
      </c>
      <c r="P11" s="35">
        <v>2</v>
      </c>
      <c r="Q11" s="45">
        <f>SUM(M11:P11)</f>
        <v>5.4380000000000006</v>
      </c>
      <c r="R11" s="40">
        <v>1.4870000000000001</v>
      </c>
      <c r="S11" s="35"/>
      <c r="T11" s="35"/>
      <c r="U11" s="35"/>
      <c r="V11" s="45">
        <f>SUM(R11:U11)</f>
        <v>1.4870000000000001</v>
      </c>
    </row>
    <row r="12" spans="1:22" x14ac:dyDescent="0.25">
      <c r="B12" s="36" t="s">
        <v>133</v>
      </c>
      <c r="C12" s="36"/>
      <c r="D12" s="36"/>
      <c r="E12" s="36"/>
      <c r="F12" s="36"/>
      <c r="G12" s="46"/>
      <c r="H12" s="44"/>
      <c r="I12" s="44">
        <f>(I11-D11)/D11</f>
        <v>-0.61784287616511324</v>
      </c>
      <c r="J12" s="44">
        <f>(J11-E11)/E11</f>
        <v>-0.66155988857938719</v>
      </c>
      <c r="K12" s="44">
        <f>(K11-F11)/F11</f>
        <v>1.04149377593361</v>
      </c>
      <c r="L12" s="47">
        <f>(L11-G11)/G11</f>
        <v>0.17939518195797044</v>
      </c>
      <c r="M12" s="44">
        <f>(M11-H11)/H11</f>
        <v>1.1537484116899619</v>
      </c>
      <c r="N12" s="44">
        <f>(N11-I11)/I11</f>
        <v>1.5888501742160281</v>
      </c>
      <c r="O12" s="44">
        <f>(O11-J11)/J11</f>
        <v>3.1152263374485596</v>
      </c>
      <c r="P12" s="44">
        <f>(P11-K11)/K11</f>
        <v>1.032520325203252</v>
      </c>
      <c r="Q12" s="47">
        <f>(Q11-L11)/L11</f>
        <v>1.3633202955236854</v>
      </c>
      <c r="R12" s="44">
        <f>(R11-M11)/M11</f>
        <v>-0.12271386430678463</v>
      </c>
      <c r="S12" s="44">
        <f>(S11-N11)/N11</f>
        <v>-1</v>
      </c>
      <c r="T12" s="44">
        <f>(T11-O11)/O11</f>
        <v>-1</v>
      </c>
      <c r="U12" s="44">
        <f>(U11-P11)/P11</f>
        <v>-1</v>
      </c>
      <c r="V12" s="47">
        <f>(V11-Q11)/Q11</f>
        <v>-0.72655388010297905</v>
      </c>
    </row>
    <row r="14" spans="1:22" x14ac:dyDescent="0.25">
      <c r="A14" s="2" t="s">
        <v>134</v>
      </c>
    </row>
    <row r="16" spans="1:22" x14ac:dyDescent="0.25">
      <c r="B16" s="31" t="s">
        <v>129</v>
      </c>
      <c r="C16" s="41" t="s">
        <v>3</v>
      </c>
      <c r="D16" s="41" t="s">
        <v>4</v>
      </c>
      <c r="E16" s="41" t="s">
        <v>5</v>
      </c>
      <c r="F16" s="41" t="s">
        <v>6</v>
      </c>
      <c r="G16" s="42">
        <v>2022</v>
      </c>
      <c r="H16" s="41" t="s">
        <v>7</v>
      </c>
      <c r="I16" s="41" t="s">
        <v>8</v>
      </c>
      <c r="J16" s="41" t="s">
        <v>9</v>
      </c>
      <c r="K16" s="41" t="s">
        <v>10</v>
      </c>
      <c r="L16" s="42">
        <v>2023</v>
      </c>
      <c r="M16" s="41" t="s">
        <v>11</v>
      </c>
      <c r="N16" s="41" t="s">
        <v>12</v>
      </c>
      <c r="O16" s="41" t="s">
        <v>13</v>
      </c>
      <c r="P16" s="41" t="s">
        <v>14</v>
      </c>
      <c r="Q16" s="42">
        <v>2024</v>
      </c>
      <c r="R16" s="41" t="s">
        <v>90</v>
      </c>
      <c r="S16" s="41" t="s">
        <v>91</v>
      </c>
      <c r="T16" s="41" t="s">
        <v>92</v>
      </c>
      <c r="U16" s="41" t="s">
        <v>93</v>
      </c>
      <c r="V16" s="43">
        <v>2025</v>
      </c>
    </row>
    <row r="17" spans="2:22" x14ac:dyDescent="0.25">
      <c r="B17" s="2" t="s">
        <v>135</v>
      </c>
      <c r="G17" s="37"/>
      <c r="L17" s="37"/>
      <c r="Q17" s="37"/>
      <c r="V17" s="37"/>
    </row>
    <row r="18" spans="2:22" x14ac:dyDescent="0.25">
      <c r="B18" s="35" t="s">
        <v>19</v>
      </c>
      <c r="C18" s="40">
        <v>122.246</v>
      </c>
      <c r="D18" s="40">
        <v>126.404</v>
      </c>
      <c r="E18" s="40">
        <v>126.242</v>
      </c>
      <c r="F18" s="40">
        <v>108.90600000000001</v>
      </c>
      <c r="G18" s="45">
        <f>SUM(C18:F18)</f>
        <v>483.798</v>
      </c>
      <c r="H18" s="40">
        <v>69.75</v>
      </c>
      <c r="I18" s="40">
        <v>84.358000000000004</v>
      </c>
      <c r="J18" s="35">
        <v>80</v>
      </c>
      <c r="K18" s="40">
        <v>67.411000000000001</v>
      </c>
      <c r="L18" s="45">
        <f>SUM(H18:K18)</f>
        <v>301.51900000000001</v>
      </c>
      <c r="M18" s="40">
        <v>54.198</v>
      </c>
      <c r="N18" s="35">
        <v>83</v>
      </c>
      <c r="O18" s="40">
        <v>108.96</v>
      </c>
      <c r="P18" s="40">
        <v>94.311999999999998</v>
      </c>
      <c r="Q18" s="45">
        <f>SUM(M18:P18)</f>
        <v>340.47</v>
      </c>
      <c r="R18" s="40">
        <v>88.475999999999999</v>
      </c>
      <c r="S18" s="35"/>
      <c r="T18" s="35"/>
      <c r="U18" s="35"/>
      <c r="V18" s="45">
        <f>SUM(R18:U18)</f>
        <v>88.475999999999999</v>
      </c>
    </row>
    <row r="19" spans="2:22" x14ac:dyDescent="0.25">
      <c r="B19" s="36" t="s">
        <v>133</v>
      </c>
      <c r="C19" s="36"/>
      <c r="D19" s="36"/>
      <c r="E19" s="36"/>
      <c r="F19" s="36"/>
      <c r="G19" s="38"/>
      <c r="H19" s="44">
        <f>(H18-C18)/C18</f>
        <v>-0.42942918377697425</v>
      </c>
      <c r="I19" s="44">
        <f>(I18-D18)/D18</f>
        <v>-0.33263187873801459</v>
      </c>
      <c r="J19" s="44">
        <f>(J18-E18)/E18</f>
        <v>-0.36629647819267758</v>
      </c>
      <c r="K19" s="44">
        <f>(K18-F18)/F18</f>
        <v>-0.38101665656621309</v>
      </c>
      <c r="L19" s="47">
        <f>(L18-G18)/G18</f>
        <v>-0.37676674975919699</v>
      </c>
      <c r="M19" s="44">
        <f>(M18-H18)/H18</f>
        <v>-0.22296774193548385</v>
      </c>
      <c r="N19" s="44">
        <f>(N18-I18)/I18</f>
        <v>-1.6098058275445176E-2</v>
      </c>
      <c r="O19" s="44">
        <f>(O18-J18)/J18</f>
        <v>0.36199999999999993</v>
      </c>
      <c r="P19" s="44">
        <f>(P18-K18)/K18</f>
        <v>0.39905950067496399</v>
      </c>
      <c r="Q19" s="47">
        <f>(Q18-L18)/L18</f>
        <v>0.12918257224254531</v>
      </c>
      <c r="R19" s="44">
        <f>(R18-M18)/M18</f>
        <v>0.63245876231595255</v>
      </c>
      <c r="S19" s="44">
        <f>(S18-N18)/N18</f>
        <v>-1</v>
      </c>
      <c r="T19" s="44">
        <f>(T18-O18)/O18</f>
        <v>-1</v>
      </c>
      <c r="U19" s="44">
        <f>(U18-P18)/P18</f>
        <v>-1</v>
      </c>
      <c r="V19" s="47">
        <f>(V18-Q18)/Q18</f>
        <v>-0.74013569477487007</v>
      </c>
    </row>
    <row r="20" spans="2:22" x14ac:dyDescent="0.25">
      <c r="B20" s="2" t="s">
        <v>136</v>
      </c>
      <c r="G20" s="37"/>
      <c r="L20" s="39"/>
      <c r="Q20" s="39"/>
      <c r="V20" s="37"/>
    </row>
    <row r="21" spans="2:22" x14ac:dyDescent="0.25">
      <c r="B21" s="35" t="s">
        <v>19</v>
      </c>
      <c r="C21" s="40">
        <f>39.783+14.192</f>
        <v>53.975000000000001</v>
      </c>
      <c r="D21" s="40">
        <f>48.205+16.755</f>
        <v>64.959999999999994</v>
      </c>
      <c r="E21" s="40">
        <f>51.815+14.374</f>
        <v>66.188999999999993</v>
      </c>
      <c r="F21" s="40">
        <f>51.739+22.3</f>
        <v>74.039000000000001</v>
      </c>
      <c r="G21" s="45">
        <f>SUM(C21:F21)</f>
        <v>259.16300000000001</v>
      </c>
      <c r="H21" s="40">
        <f>45.362+23.56</f>
        <v>68.921999999999997</v>
      </c>
      <c r="I21" s="40">
        <f>29.873+34.522</f>
        <v>64.394999999999996</v>
      </c>
      <c r="J21" s="40">
        <f>23.709+26.491</f>
        <v>50.2</v>
      </c>
      <c r="K21" s="40">
        <f>18.26+18.752</f>
        <v>37.012</v>
      </c>
      <c r="L21" s="45">
        <f>SUM(H21:K21)</f>
        <v>220.529</v>
      </c>
      <c r="M21" s="40">
        <v>17.273</v>
      </c>
      <c r="N21" s="40">
        <f>26.565+14.899</f>
        <v>41.463999999999999</v>
      </c>
      <c r="O21" s="40">
        <f>25.651+21</f>
        <v>46.650999999999996</v>
      </c>
      <c r="P21" s="40">
        <f>24.656+25.8</f>
        <v>50.456000000000003</v>
      </c>
      <c r="Q21" s="45">
        <f>SUM(M21:P21)</f>
        <v>155.84399999999999</v>
      </c>
      <c r="R21" s="40">
        <v>60.362000000000002</v>
      </c>
      <c r="S21" s="35"/>
      <c r="T21" s="35"/>
      <c r="U21" s="35"/>
      <c r="V21" s="45">
        <f>SUM(R21:U21)</f>
        <v>60.362000000000002</v>
      </c>
    </row>
    <row r="22" spans="2:22" x14ac:dyDescent="0.25">
      <c r="B22" s="36" t="s">
        <v>133</v>
      </c>
      <c r="C22" s="36"/>
      <c r="D22" s="36"/>
      <c r="E22" s="36"/>
      <c r="F22" s="36"/>
      <c r="G22" s="38"/>
      <c r="H22" s="44">
        <f>(H21-C21)/C21</f>
        <v>0.2769245020842982</v>
      </c>
      <c r="I22" s="44">
        <f>(I21-D21)/D21</f>
        <v>-8.6976600985221326E-3</v>
      </c>
      <c r="J22" s="44">
        <f>(J21-E21)/E21</f>
        <v>-0.241565819093807</v>
      </c>
      <c r="K22" s="44">
        <f>(K21-F21)/F21</f>
        <v>-0.50010129796458624</v>
      </c>
      <c r="L22" s="47">
        <f>(L21-G21)/G21</f>
        <v>-0.149072205523165</v>
      </c>
      <c r="M22" s="44">
        <f>(M21-H21)/H21</f>
        <v>-0.74938336090072843</v>
      </c>
      <c r="N22" s="44">
        <f>(N21-I21)/I21</f>
        <v>-0.35609907601521856</v>
      </c>
      <c r="O22" s="44">
        <f>(O21-J21)/J21</f>
        <v>-7.0697211155378609E-2</v>
      </c>
      <c r="P22" s="44">
        <f>(P21-K21)/K21</f>
        <v>0.36323354587701295</v>
      </c>
      <c r="Q22" s="47">
        <f>(Q21-L21)/L21</f>
        <v>-0.29331743217445327</v>
      </c>
      <c r="R22" s="44">
        <f>(R21-M21)/M21</f>
        <v>2.4945869275748276</v>
      </c>
      <c r="S22" s="44">
        <f>(S21-N21)/N21</f>
        <v>-1</v>
      </c>
      <c r="T22" s="44">
        <f>(T21-O21)/O21</f>
        <v>-1</v>
      </c>
      <c r="U22" s="44">
        <f>(U21-P21)/P21</f>
        <v>-1</v>
      </c>
      <c r="V22" s="47">
        <f>(V21-Q21)/Q21</f>
        <v>-0.612676779343446</v>
      </c>
    </row>
    <row r="23" spans="2:22" x14ac:dyDescent="0.25">
      <c r="B23" s="2" t="s">
        <v>105</v>
      </c>
      <c r="G23" s="37"/>
      <c r="L23" s="39"/>
      <c r="Q23" s="39"/>
      <c r="V23" s="37"/>
    </row>
    <row r="24" spans="2:22" x14ac:dyDescent="0.25">
      <c r="B24" s="35" t="s">
        <v>19</v>
      </c>
      <c r="C24" s="40">
        <v>5.8</v>
      </c>
      <c r="D24" s="40">
        <v>7.7</v>
      </c>
      <c r="E24" s="40">
        <v>8.9</v>
      </c>
      <c r="F24" s="40">
        <v>6.5</v>
      </c>
      <c r="G24" s="45">
        <f>SUM(C24:F24)</f>
        <v>28.9</v>
      </c>
      <c r="H24" s="40">
        <v>5.6</v>
      </c>
      <c r="I24" s="40">
        <v>3.7</v>
      </c>
      <c r="J24" s="40">
        <v>3.3</v>
      </c>
      <c r="K24" s="40">
        <v>2.4</v>
      </c>
      <c r="L24" s="45">
        <f>SUM(H24:K24)</f>
        <v>15.000000000000002</v>
      </c>
      <c r="M24" s="40">
        <v>2</v>
      </c>
      <c r="N24" s="40">
        <v>2.891</v>
      </c>
      <c r="O24" s="35">
        <v>3</v>
      </c>
      <c r="P24" s="40">
        <v>4.4000000000000004</v>
      </c>
      <c r="Q24" s="45">
        <f>SUM(M24:P24)</f>
        <v>12.291</v>
      </c>
      <c r="R24" s="40">
        <v>5.6509999999999998</v>
      </c>
      <c r="S24" s="35"/>
      <c r="T24" s="35"/>
      <c r="U24" s="35"/>
      <c r="V24" s="45">
        <f>SUM(R24:U24)</f>
        <v>5.6509999999999998</v>
      </c>
    </row>
    <row r="25" spans="2:22" x14ac:dyDescent="0.25">
      <c r="B25" s="36" t="s">
        <v>133</v>
      </c>
      <c r="C25" s="36"/>
      <c r="D25" s="36"/>
      <c r="E25" s="36"/>
      <c r="F25" s="36"/>
      <c r="G25" s="38"/>
      <c r="H25" s="44">
        <f>(H24-C24)/C24</f>
        <v>-3.4482758620689689E-2</v>
      </c>
      <c r="I25" s="44">
        <f>(I24-D24)/D24</f>
        <v>-0.51948051948051943</v>
      </c>
      <c r="J25" s="44">
        <f>(J24-E24)/E24</f>
        <v>-0.6292134831460674</v>
      </c>
      <c r="K25" s="44">
        <f>(K24-F24)/F24</f>
        <v>-0.63076923076923075</v>
      </c>
      <c r="L25" s="47">
        <f>(L24-G24)/G24</f>
        <v>-0.48096885813148782</v>
      </c>
      <c r="M25" s="44">
        <f>(M24-H24)/H24</f>
        <v>-0.64285714285714279</v>
      </c>
      <c r="N25" s="44">
        <f>(N24-I24)/I24</f>
        <v>-0.21864864864864869</v>
      </c>
      <c r="O25" s="44">
        <f>(O24-J24)/J24</f>
        <v>-9.0909090909090856E-2</v>
      </c>
      <c r="P25" s="44">
        <f>(P24-K24)/K24</f>
        <v>0.83333333333333359</v>
      </c>
      <c r="Q25" s="47">
        <f>(Q24-L24)/L24</f>
        <v>-0.18060000000000007</v>
      </c>
      <c r="R25" s="44">
        <f>(R24-M24)/M24</f>
        <v>1.8254999999999999</v>
      </c>
      <c r="S25" s="44">
        <f>(S24-N24)/N24</f>
        <v>-1</v>
      </c>
      <c r="T25" s="44">
        <f>(T24-O24)/O24</f>
        <v>-1</v>
      </c>
      <c r="U25" s="44">
        <f>(U24-P24)/P24</f>
        <v>-1</v>
      </c>
      <c r="V25" s="47">
        <f>(V24-Q24)/Q24</f>
        <v>-0.54023269058660817</v>
      </c>
    </row>
    <row r="26" spans="2:22" x14ac:dyDescent="0.25">
      <c r="M26" s="16"/>
      <c r="N26" s="16"/>
      <c r="O26" s="16"/>
      <c r="P26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8B5C-D6C9-8042-8480-0C7CB85DFC69}">
  <dimension ref="C5:F8"/>
  <sheetViews>
    <sheetView showGridLines="0" workbookViewId="0">
      <selection activeCell="F22" sqref="F22:F23"/>
    </sheetView>
  </sheetViews>
  <sheetFormatPr baseColWidth="10" defaultRowHeight="16" x14ac:dyDescent="0.2"/>
  <cols>
    <col min="3" max="3" width="59.5" bestFit="1" customWidth="1"/>
    <col min="4" max="6" width="27.83203125" bestFit="1" customWidth="1"/>
    <col min="7" max="7" width="14.1640625" bestFit="1" customWidth="1"/>
  </cols>
  <sheetData>
    <row r="5" spans="3:6" ht="92" x14ac:dyDescent="1">
      <c r="C5" s="30"/>
      <c r="D5" s="30">
        <v>2025</v>
      </c>
      <c r="E5" s="30">
        <v>2026</v>
      </c>
      <c r="F5" s="30">
        <v>2027</v>
      </c>
    </row>
    <row r="6" spans="3:6" ht="92" x14ac:dyDescent="1">
      <c r="C6" s="30" t="s">
        <v>121</v>
      </c>
      <c r="D6" s="29">
        <f>Modell!$B$9/(Modell!$B$11*Modell!AB9)</f>
        <v>32.208312567763919</v>
      </c>
      <c r="E6" s="29">
        <f>Modell!$B$9/(Modell!$B$11*Modell!AC9)</f>
        <v>18.987343718909361</v>
      </c>
      <c r="F6" s="29">
        <f>Modell!$B$9/(Modell!$B$11*Modell!AD9)</f>
        <v>13.630338582671666</v>
      </c>
    </row>
    <row r="7" spans="3:6" ht="92" x14ac:dyDescent="1">
      <c r="C7" s="30" t="s">
        <v>89</v>
      </c>
      <c r="D7" s="29">
        <f>Modell!$B$9/(Modell!$B$11*Modell!AB11)</f>
        <v>80.867784277036478</v>
      </c>
      <c r="E7" s="29">
        <f>Modell!$B$9/(Modell!$B$11*Modell!AC11)</f>
        <v>29.425058329520919</v>
      </c>
      <c r="F7" s="29">
        <f>Modell!$B$9/(Modell!$B$11*Modell!AD11)</f>
        <v>18.286975839557119</v>
      </c>
    </row>
    <row r="8" spans="3:6" ht="92" x14ac:dyDescent="1">
      <c r="C8" s="30" t="s">
        <v>88</v>
      </c>
      <c r="D8" s="29">
        <f>Modell!$B$4/Modell!AB18</f>
        <v>115.31314426179307</v>
      </c>
      <c r="E8" s="29">
        <f>Modell!$B$4/Modell!AC18</f>
        <v>41.95856268844549</v>
      </c>
      <c r="F8" s="29">
        <f>Modell!$B$4/Modell!AD18</f>
        <v>26.076251525263778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2024-12-29T19:50:36Z</dcterms:created>
  <dcterms:modified xsi:type="dcterms:W3CDTF">2025-06-09T14:26:22Z</dcterms:modified>
</cp:coreProperties>
</file>