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E263EBCA-CA9C-7D43-99EA-B4F096DA42DE}" xr6:coauthVersionLast="47" xr6:coauthVersionMax="47" xr10:uidLastSave="{00000000-0000-0000-0000-000000000000}"/>
  <bookViews>
    <workbookView xWindow="23820" yWindow="740" windowWidth="27320" windowHeight="26500" activeTab="1" xr2:uid="{5AE0DF26-B7DD-1242-A60E-253C73A930AF}"/>
  </bookViews>
  <sheets>
    <sheet name="Info" sheetId="1" r:id="rId1"/>
    <sheet name="Modell" sheetId="2" r:id="rId2"/>
    <sheet name="Segementer" sheetId="4" r:id="rId3"/>
    <sheet name="Nøkkeltal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2" l="1"/>
  <c r="B8" i="2"/>
  <c r="Z24" i="2"/>
  <c r="V28" i="4"/>
  <c r="V26" i="4"/>
  <c r="V27" i="4" s="1"/>
  <c r="V22" i="4"/>
  <c r="V23" i="4" s="1"/>
  <c r="V20" i="4"/>
  <c r="V18" i="4"/>
  <c r="V19" i="4" s="1"/>
  <c r="V14" i="4"/>
  <c r="V15" i="4" s="1"/>
  <c r="Q14" i="4"/>
  <c r="Q15" i="4"/>
  <c r="Q18" i="4"/>
  <c r="Q19" i="4"/>
  <c r="V12" i="4"/>
  <c r="V11" i="4"/>
  <c r="V10" i="4"/>
  <c r="V7" i="4"/>
  <c r="V8" i="4" s="1"/>
  <c r="Q23" i="4"/>
  <c r="Q8" i="4"/>
  <c r="Q7" i="4"/>
  <c r="Q28" i="4"/>
  <c r="O83" i="2"/>
  <c r="O75" i="2"/>
  <c r="O72" i="2"/>
  <c r="O87" i="2" s="1"/>
  <c r="O58" i="2"/>
  <c r="O59" i="2" s="1"/>
  <c r="O45" i="2"/>
  <c r="O40" i="2"/>
  <c r="Y24" i="2"/>
  <c r="W24" i="2"/>
  <c r="X24" i="2"/>
  <c r="Y7" i="2"/>
  <c r="Y5" i="2"/>
  <c r="Y6" i="2"/>
  <c r="X62" i="2"/>
  <c r="Q26" i="4"/>
  <c r="Q22" i="4"/>
  <c r="Q20" i="4"/>
  <c r="Q12" i="4"/>
  <c r="Q10" i="4"/>
  <c r="Q27" i="4" l="1"/>
  <c r="O89" i="2"/>
  <c r="Q11" i="4"/>
  <c r="L28" i="4"/>
  <c r="L26" i="4"/>
  <c r="L27" i="4" s="1"/>
  <c r="L22" i="4"/>
  <c r="L23" i="4" s="1"/>
  <c r="L19" i="4"/>
  <c r="L20" i="4"/>
  <c r="L18" i="4"/>
  <c r="L15" i="4"/>
  <c r="L14" i="4"/>
  <c r="L12" i="4"/>
  <c r="L11" i="4"/>
  <c r="L10" i="4"/>
  <c r="L8" i="4"/>
  <c r="L7" i="4"/>
  <c r="G28" i="4"/>
  <c r="G26" i="4"/>
  <c r="G27" i="4" s="1"/>
  <c r="G22" i="4"/>
  <c r="G19" i="4"/>
  <c r="G20" i="4"/>
  <c r="G18" i="4"/>
  <c r="G14" i="4"/>
  <c r="G12" i="4"/>
  <c r="G11" i="4"/>
  <c r="G10" i="4"/>
  <c r="G7" i="4"/>
  <c r="C27" i="4"/>
  <c r="C26" i="4"/>
  <c r="C22" i="4"/>
  <c r="C19" i="4"/>
  <c r="C18" i="4"/>
  <c r="C14" i="4"/>
  <c r="F74" i="2"/>
  <c r="G72" i="2"/>
  <c r="F71" i="2"/>
  <c r="F72" i="2" s="1"/>
  <c r="C11" i="4"/>
  <c r="C10" i="4"/>
  <c r="C7" i="4"/>
  <c r="E74" i="2" l="1"/>
  <c r="E71" i="2"/>
  <c r="G74" i="2"/>
  <c r="G89" i="2" s="1"/>
  <c r="K74" i="2"/>
  <c r="K75" i="2" s="1"/>
  <c r="K20" i="2"/>
  <c r="H74" i="2"/>
  <c r="L74" i="2"/>
  <c r="L75" i="2" s="1"/>
  <c r="I74" i="2"/>
  <c r="M74" i="2"/>
  <c r="O20" i="2"/>
  <c r="J74" i="2"/>
  <c r="J75" i="2" s="1"/>
  <c r="D72" i="2"/>
  <c r="D89" i="2" s="1"/>
  <c r="E72" i="2"/>
  <c r="E89" i="2" s="1"/>
  <c r="H72" i="2"/>
  <c r="I72" i="2"/>
  <c r="J72" i="2"/>
  <c r="K72" i="2"/>
  <c r="L72" i="2"/>
  <c r="M72" i="2"/>
  <c r="M89" i="2" s="1"/>
  <c r="D83" i="2"/>
  <c r="D87" i="2" s="1"/>
  <c r="E83" i="2"/>
  <c r="F83" i="2"/>
  <c r="F87" i="2" s="1"/>
  <c r="G83" i="2"/>
  <c r="H83" i="2"/>
  <c r="I83" i="2"/>
  <c r="J83" i="2"/>
  <c r="K83" i="2"/>
  <c r="L83" i="2"/>
  <c r="M83" i="2"/>
  <c r="N89" i="2"/>
  <c r="N83" i="2"/>
  <c r="D75" i="2"/>
  <c r="E75" i="2"/>
  <c r="F75" i="2"/>
  <c r="H75" i="2"/>
  <c r="I75" i="2"/>
  <c r="M75" i="2"/>
  <c r="N74" i="2"/>
  <c r="N75" i="2" s="1"/>
  <c r="N72" i="2"/>
  <c r="N87" i="2" s="1"/>
  <c r="D62" i="2"/>
  <c r="G75" i="2" l="1"/>
  <c r="J89" i="2"/>
  <c r="L89" i="2"/>
  <c r="K89" i="2"/>
  <c r="G87" i="2"/>
  <c r="F89" i="2"/>
  <c r="E87" i="2"/>
  <c r="L87" i="2"/>
  <c r="I87" i="2"/>
  <c r="H87" i="2"/>
  <c r="M87" i="2"/>
  <c r="I89" i="2"/>
  <c r="K87" i="2"/>
  <c r="H89" i="2"/>
  <c r="J87" i="2"/>
  <c r="P20" i="2"/>
  <c r="Q20" i="2"/>
  <c r="R20" i="2"/>
  <c r="S20" i="2"/>
  <c r="P22" i="2"/>
  <c r="Q22" i="2"/>
  <c r="R22" i="2"/>
  <c r="S22" i="2"/>
  <c r="P23" i="2"/>
  <c r="Q23" i="2"/>
  <c r="R23" i="2"/>
  <c r="S23" i="2"/>
  <c r="Z7" i="2"/>
  <c r="AA7" i="2" s="1"/>
  <c r="AB7" i="2" s="1"/>
  <c r="AC7" i="2" s="1"/>
  <c r="AD7" i="2" s="1"/>
  <c r="AE7" i="2" s="1"/>
  <c r="AF7" i="2" s="1"/>
  <c r="AG7" i="2" s="1"/>
  <c r="AH7" i="2" s="1"/>
  <c r="AI7" i="2" s="1"/>
  <c r="Y15" i="2"/>
  <c r="Y13" i="2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Y12" i="2"/>
  <c r="Y8" i="2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Y10" i="2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O6" i="2"/>
  <c r="O11" i="2" s="1"/>
  <c r="G22" i="2"/>
  <c r="V15" i="2"/>
  <c r="V16" i="2" s="1"/>
  <c r="V18" i="2" s="1"/>
  <c r="V23" i="2"/>
  <c r="W20" i="2"/>
  <c r="X20" i="2"/>
  <c r="W6" i="2"/>
  <c r="W11" i="2" s="1"/>
  <c r="W14" i="2" s="1"/>
  <c r="W16" i="2" s="1"/>
  <c r="W18" i="2" s="1"/>
  <c r="X6" i="2"/>
  <c r="X11" i="2" s="1"/>
  <c r="X14" i="2" s="1"/>
  <c r="X16" i="2" s="1"/>
  <c r="X18" i="2" s="1"/>
  <c r="F6" i="2"/>
  <c r="F11" i="2" s="1"/>
  <c r="F62" i="2" s="1"/>
  <c r="E58" i="2"/>
  <c r="E6" i="2"/>
  <c r="E11" i="2" s="1"/>
  <c r="E62" i="2" s="1"/>
  <c r="G45" i="2"/>
  <c r="G6" i="2"/>
  <c r="G11" i="2" s="1"/>
  <c r="G62" i="2" s="1"/>
  <c r="K6" i="2"/>
  <c r="K11" i="2" s="1"/>
  <c r="K62" i="2" s="1"/>
  <c r="H6" i="2"/>
  <c r="H11" i="2" s="1"/>
  <c r="H62" i="2" s="1"/>
  <c r="L6" i="2"/>
  <c r="L11" i="2" s="1"/>
  <c r="L62" i="2" s="1"/>
  <c r="I6" i="2"/>
  <c r="I11" i="2" s="1"/>
  <c r="I62" i="2" s="1"/>
  <c r="M6" i="2"/>
  <c r="M11" i="2" s="1"/>
  <c r="D58" i="2"/>
  <c r="F58" i="2"/>
  <c r="G58" i="2"/>
  <c r="H58" i="2"/>
  <c r="I58" i="2"/>
  <c r="J58" i="2"/>
  <c r="K58" i="2"/>
  <c r="L58" i="2"/>
  <c r="M58" i="2"/>
  <c r="D45" i="2"/>
  <c r="E45" i="2"/>
  <c r="F45" i="2"/>
  <c r="H45" i="2"/>
  <c r="I45" i="2"/>
  <c r="J45" i="2"/>
  <c r="K45" i="2"/>
  <c r="L45" i="2"/>
  <c r="M45" i="2"/>
  <c r="M40" i="2"/>
  <c r="L40" i="2"/>
  <c r="K40" i="2"/>
  <c r="J40" i="2"/>
  <c r="I40" i="2"/>
  <c r="H40" i="2"/>
  <c r="G40" i="2"/>
  <c r="F40" i="2"/>
  <c r="E40" i="2"/>
  <c r="D40" i="2"/>
  <c r="N40" i="2"/>
  <c r="N45" i="2"/>
  <c r="N58" i="2"/>
  <c r="N59" i="2" s="1"/>
  <c r="D23" i="2"/>
  <c r="I20" i="2"/>
  <c r="J20" i="2"/>
  <c r="L20" i="2"/>
  <c r="M20" i="2"/>
  <c r="N20" i="2"/>
  <c r="J6" i="2"/>
  <c r="J11" i="2" s="1"/>
  <c r="D18" i="2"/>
  <c r="N6" i="2"/>
  <c r="N11" i="2" s="1"/>
  <c r="N62" i="2" s="1"/>
  <c r="B6" i="2"/>
  <c r="B9" i="2" s="1"/>
  <c r="Z8" i="2" l="1"/>
  <c r="AA8" i="2" s="1"/>
  <c r="AB8" i="2" s="1"/>
  <c r="AC8" i="2" s="1"/>
  <c r="AD8" i="2" s="1"/>
  <c r="AE8" i="2" s="1"/>
  <c r="AF8" i="2" s="1"/>
  <c r="AG8" i="2" s="1"/>
  <c r="AH8" i="2" s="1"/>
  <c r="AI8" i="2" s="1"/>
  <c r="Y11" i="2"/>
  <c r="O14" i="2"/>
  <c r="O16" i="2" s="1"/>
  <c r="O18" i="2" s="1"/>
  <c r="O62" i="2"/>
  <c r="J14" i="2"/>
  <c r="J16" i="2" s="1"/>
  <c r="J18" i="2" s="1"/>
  <c r="J62" i="2"/>
  <c r="M14" i="2"/>
  <c r="M16" i="2" s="1"/>
  <c r="M18" i="2" s="1"/>
  <c r="M62" i="2"/>
  <c r="J22" i="2"/>
  <c r="K22" i="2"/>
  <c r="X22" i="2"/>
  <c r="I22" i="2"/>
  <c r="H22" i="2"/>
  <c r="N22" i="2"/>
  <c r="F22" i="2"/>
  <c r="M22" i="2"/>
  <c r="E22" i="2"/>
  <c r="O22" i="2"/>
  <c r="Z4" i="2"/>
  <c r="Z20" i="2" s="1"/>
  <c r="L22" i="2"/>
  <c r="W22" i="2"/>
  <c r="O23" i="2"/>
  <c r="Y20" i="2"/>
  <c r="W23" i="2"/>
  <c r="X23" i="2"/>
  <c r="D59" i="2"/>
  <c r="F59" i="2"/>
  <c r="G59" i="2"/>
  <c r="F23" i="2"/>
  <c r="F14" i="2"/>
  <c r="F16" i="2" s="1"/>
  <c r="F18" i="2" s="1"/>
  <c r="M59" i="2"/>
  <c r="L59" i="2"/>
  <c r="E59" i="2"/>
  <c r="E14" i="2"/>
  <c r="E16" i="2" s="1"/>
  <c r="E18" i="2" s="1"/>
  <c r="E23" i="2"/>
  <c r="G14" i="2"/>
  <c r="G16" i="2" s="1"/>
  <c r="G18" i="2" s="1"/>
  <c r="G23" i="2"/>
  <c r="K23" i="2"/>
  <c r="K14" i="2"/>
  <c r="K16" i="2" s="1"/>
  <c r="K18" i="2" s="1"/>
  <c r="H59" i="2"/>
  <c r="H14" i="2"/>
  <c r="H16" i="2" s="1"/>
  <c r="H18" i="2" s="1"/>
  <c r="H23" i="2"/>
  <c r="L23" i="2"/>
  <c r="L14" i="2"/>
  <c r="L16" i="2" s="1"/>
  <c r="L18" i="2" s="1"/>
  <c r="K59" i="2"/>
  <c r="I59" i="2"/>
  <c r="J59" i="2"/>
  <c r="I14" i="2"/>
  <c r="I16" i="2" s="1"/>
  <c r="I18" i="2" s="1"/>
  <c r="I23" i="2"/>
  <c r="M23" i="2"/>
  <c r="N23" i="2"/>
  <c r="N14" i="2"/>
  <c r="N16" i="2" s="1"/>
  <c r="N18" i="2" s="1"/>
  <c r="J23" i="2"/>
  <c r="Y14" i="2" l="1"/>
  <c r="Y16" i="2" s="1"/>
  <c r="Y18" i="2" s="1"/>
  <c r="Y62" i="2"/>
  <c r="Y22" i="2"/>
  <c r="Y23" i="2"/>
  <c r="Z5" i="2"/>
  <c r="Z6" i="2" s="1"/>
  <c r="Z22" i="2" s="1"/>
  <c r="AA4" i="2"/>
  <c r="AA5" i="2" l="1"/>
  <c r="AB4" i="2"/>
  <c r="AA6" i="2"/>
  <c r="Z11" i="2"/>
  <c r="D5" i="3" s="1"/>
  <c r="AA20" i="2"/>
  <c r="Z23" i="2" l="1"/>
  <c r="AA11" i="2"/>
  <c r="AA22" i="2"/>
  <c r="AC4" i="2"/>
  <c r="AB20" i="2"/>
  <c r="AB5" i="2"/>
  <c r="AB6" i="2" s="1"/>
  <c r="Z14" i="2"/>
  <c r="Z15" i="2" s="1"/>
  <c r="Z16" i="2" s="1"/>
  <c r="Z18" i="2" l="1"/>
  <c r="D6" i="3" s="1"/>
  <c r="AB22" i="2"/>
  <c r="AB11" i="2"/>
  <c r="F5" i="3" s="1"/>
  <c r="AD4" i="2"/>
  <c r="AC5" i="2"/>
  <c r="AC6" i="2" s="1"/>
  <c r="AC20" i="2"/>
  <c r="AA23" i="2"/>
  <c r="E5" i="3"/>
  <c r="AA14" i="2"/>
  <c r="AA15" i="2" s="1"/>
  <c r="AA16" i="2" s="1"/>
  <c r="AA18" i="2" s="1"/>
  <c r="E6" i="3" s="1"/>
  <c r="AC22" i="2" l="1"/>
  <c r="AC11" i="2"/>
  <c r="AE4" i="2"/>
  <c r="AD5" i="2"/>
  <c r="AD6" i="2" s="1"/>
  <c r="AD20" i="2"/>
  <c r="AB23" i="2"/>
  <c r="AB14" i="2"/>
  <c r="AB15" i="2" s="1"/>
  <c r="AB16" i="2" s="1"/>
  <c r="AB18" i="2" s="1"/>
  <c r="F6" i="3" s="1"/>
  <c r="AD11" i="2" l="1"/>
  <c r="AD22" i="2"/>
  <c r="AE5" i="2"/>
  <c r="AE6" i="2" s="1"/>
  <c r="AF4" i="2"/>
  <c r="AE20" i="2"/>
  <c r="AC23" i="2"/>
  <c r="AC14" i="2"/>
  <c r="AC15" i="2" s="1"/>
  <c r="AC16" i="2" s="1"/>
  <c r="AC18" i="2" s="1"/>
  <c r="AE22" i="2" l="1"/>
  <c r="AE11" i="2"/>
  <c r="AG4" i="2"/>
  <c r="AF5" i="2"/>
  <c r="AF6" i="2" s="1"/>
  <c r="AF20" i="2"/>
  <c r="AD23" i="2"/>
  <c r="AD14" i="2"/>
  <c r="AD15" i="2" s="1"/>
  <c r="AD16" i="2" s="1"/>
  <c r="AD18" i="2" s="1"/>
  <c r="AF11" i="2" l="1"/>
  <c r="AF22" i="2"/>
  <c r="AH4" i="2"/>
  <c r="AG5" i="2"/>
  <c r="AG20" i="2"/>
  <c r="AG6" i="2"/>
  <c r="AE23" i="2"/>
  <c r="AE14" i="2"/>
  <c r="AE15" i="2" s="1"/>
  <c r="AE16" i="2" s="1"/>
  <c r="AE18" i="2" l="1"/>
  <c r="AG11" i="2"/>
  <c r="AG22" i="2"/>
  <c r="AI4" i="2"/>
  <c r="AH5" i="2"/>
  <c r="AH6" i="2" s="1"/>
  <c r="AH20" i="2"/>
  <c r="AF23" i="2"/>
  <c r="AF14" i="2"/>
  <c r="AF15" i="2" s="1"/>
  <c r="AF16" i="2" s="1"/>
  <c r="AF18" i="2" s="1"/>
  <c r="AH11" i="2" l="1"/>
  <c r="AH22" i="2"/>
  <c r="AI5" i="2"/>
  <c r="AI6" i="2"/>
  <c r="AI20" i="2"/>
  <c r="AG23" i="2"/>
  <c r="AG14" i="2"/>
  <c r="AG15" i="2" s="1"/>
  <c r="AG16" i="2" s="1"/>
  <c r="AG18" i="2" s="1"/>
  <c r="AI11" i="2" l="1"/>
  <c r="AI22" i="2"/>
  <c r="AH23" i="2"/>
  <c r="AH14" i="2"/>
  <c r="AH15" i="2" s="1"/>
  <c r="AH16" i="2" s="1"/>
  <c r="AH18" i="2" s="1"/>
  <c r="AI14" i="2" l="1"/>
  <c r="AI15" i="2" s="1"/>
  <c r="AI16" i="2" s="1"/>
  <c r="AI23" i="2"/>
  <c r="AI18" i="2" l="1"/>
  <c r="AJ16" i="2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AL21" i="2" s="1"/>
  <c r="AL23" i="2" s="1"/>
  <c r="AL24" i="2" s="1"/>
</calcChain>
</file>

<file path=xl/sharedStrings.xml><?xml version="1.0" encoding="utf-8"?>
<sst xmlns="http://schemas.openxmlformats.org/spreadsheetml/2006/main" count="224" uniqueCount="173">
  <si>
    <t>Kapitalstruktur</t>
  </si>
  <si>
    <t>Price</t>
  </si>
  <si>
    <t>S/O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</si>
  <si>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</si>
  <si>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</si>
  <si>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</si>
  <si>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</si>
  <si>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</si>
  <si>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</si>
  <si>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</si>
  <si>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</si>
  <si>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</si>
  <si>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</si>
  <si>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</si>
  <si>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</si>
  <si>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 y/y</t>
  </si>
  <si>
    <t>SEK million</t>
  </si>
  <si>
    <t>Cash SEKm</t>
  </si>
  <si>
    <t>Debt SEKm</t>
  </si>
  <si>
    <t>EV SEKm</t>
  </si>
  <si>
    <t>MC SEKm</t>
  </si>
  <si>
    <t>Rusta har et avvikende regnskapsår som går fra 1.mai til 30. april</t>
  </si>
  <si>
    <t>Q2</t>
  </si>
  <si>
    <t>Q3</t>
  </si>
  <si>
    <t>Q4</t>
  </si>
  <si>
    <t>Q1:</t>
  </si>
  <si>
    <t>1. mai - 31. juli</t>
  </si>
  <si>
    <t>1. august - 31. oktober</t>
  </si>
  <si>
    <t>1. november - 31. januar</t>
  </si>
  <si>
    <t>1. februar - 30. april</t>
  </si>
  <si>
    <t>Revenues</t>
  </si>
  <si>
    <t>COGS</t>
  </si>
  <si>
    <t>gross profit</t>
  </si>
  <si>
    <t>Sales expenses</t>
  </si>
  <si>
    <t>Adminstrative expenses</t>
  </si>
  <si>
    <t>Other operating income</t>
  </si>
  <si>
    <t>Other opex</t>
  </si>
  <si>
    <t>Operating profit (EBIT)</t>
  </si>
  <si>
    <t>Finance income</t>
  </si>
  <si>
    <t>Finance expense</t>
  </si>
  <si>
    <t>PTP</t>
  </si>
  <si>
    <t>Tax</t>
  </si>
  <si>
    <t>Net income</t>
  </si>
  <si>
    <t>Shares</t>
  </si>
  <si>
    <t xml:space="preserve">EPS </t>
  </si>
  <si>
    <t>EBIT margin</t>
  </si>
  <si>
    <t>Balanse SEKm</t>
  </si>
  <si>
    <t>nov 24 - jan 25</t>
  </si>
  <si>
    <t>nov 23 - jan 24</t>
  </si>
  <si>
    <t>Nov 22 - jan 23</t>
  </si>
  <si>
    <t>Capitalised development expenses</t>
  </si>
  <si>
    <t>Trademark</t>
  </si>
  <si>
    <t>Right-of-use assets</t>
  </si>
  <si>
    <t>Equipment, tools, fixtures</t>
  </si>
  <si>
    <t>Other financial assets</t>
  </si>
  <si>
    <t>Inventories</t>
  </si>
  <si>
    <t>Accounts receivable</t>
  </si>
  <si>
    <t>Other current receivables</t>
  </si>
  <si>
    <t>Prepaid expenses and accrued income</t>
  </si>
  <si>
    <t>Cash</t>
  </si>
  <si>
    <t>Total Assets</t>
  </si>
  <si>
    <t>Share capital</t>
  </si>
  <si>
    <t>Other contributed capital</t>
  </si>
  <si>
    <t>Reserves</t>
  </si>
  <si>
    <t>Retained earnings</t>
  </si>
  <si>
    <t>Total Equity</t>
  </si>
  <si>
    <t>Liabilities to banks</t>
  </si>
  <si>
    <t>Deferred tax liabilties</t>
  </si>
  <si>
    <t>Lease liabilties</t>
  </si>
  <si>
    <t>other long-term payables</t>
  </si>
  <si>
    <t>Liabilties to banks</t>
  </si>
  <si>
    <t>Trade payables</t>
  </si>
  <si>
    <t>Current tax liabilties</t>
  </si>
  <si>
    <t>Provisions</t>
  </si>
  <si>
    <t>Other current liabilties</t>
  </si>
  <si>
    <t>Accrued expenses and deferred income</t>
  </si>
  <si>
    <t>Total debt</t>
  </si>
  <si>
    <t>Total E/D</t>
  </si>
  <si>
    <t>Deferred tax receivables</t>
  </si>
  <si>
    <t>CFFO</t>
  </si>
  <si>
    <t>CFFF</t>
  </si>
  <si>
    <t>CFFI</t>
  </si>
  <si>
    <t>aug 24 - okt 24</t>
  </si>
  <si>
    <t>aug 23 - okt 23</t>
  </si>
  <si>
    <t>mai 24 - juli 24</t>
  </si>
  <si>
    <t>mai 23 - juli 23</t>
  </si>
  <si>
    <t>feb 24 - april 24</t>
  </si>
  <si>
    <t>feb 23 - apr 23</t>
  </si>
  <si>
    <t>aug 22 - okt 22</t>
  </si>
  <si>
    <t>Liabilties to parent</t>
  </si>
  <si>
    <t>EV/EBIT</t>
  </si>
  <si>
    <t>P/E</t>
  </si>
  <si>
    <t>Goodwill</t>
  </si>
  <si>
    <t>feb 25 - april 25</t>
  </si>
  <si>
    <t>Gross margin</t>
  </si>
  <si>
    <t>Discount</t>
  </si>
  <si>
    <t>TV</t>
  </si>
  <si>
    <t>NPV</t>
  </si>
  <si>
    <t>NPV/Share</t>
  </si>
  <si>
    <t>Opp/nedside</t>
  </si>
  <si>
    <t>Q125</t>
  </si>
  <si>
    <t>Q225</t>
  </si>
  <si>
    <t>Q325</t>
  </si>
  <si>
    <t>Q425</t>
  </si>
  <si>
    <t>mai 25 - juli 25</t>
  </si>
  <si>
    <t>aug 25 - okt 25</t>
  </si>
  <si>
    <t>nov 25 - jan 26</t>
  </si>
  <si>
    <t>feb 26 - april 26</t>
  </si>
  <si>
    <t>Like-For-Like y/y</t>
  </si>
  <si>
    <t>Cash flow SEKm</t>
  </si>
  <si>
    <t>mai 22 - juli 22</t>
  </si>
  <si>
    <t>Model OP</t>
  </si>
  <si>
    <t>Reported OP</t>
  </si>
  <si>
    <t>Depreciations</t>
  </si>
  <si>
    <t>Fixed assets</t>
  </si>
  <si>
    <t>other</t>
  </si>
  <si>
    <t>Interest received</t>
  </si>
  <si>
    <t>Interest paid</t>
  </si>
  <si>
    <t>Paid tax</t>
  </si>
  <si>
    <t>WC</t>
  </si>
  <si>
    <t>Capex</t>
  </si>
  <si>
    <t>Buybacks</t>
  </si>
  <si>
    <t>Exercise of warrants</t>
  </si>
  <si>
    <t>Change in overdraft facility, net</t>
  </si>
  <si>
    <t>Amortization of borrowings</t>
  </si>
  <si>
    <t>Repayment of lease liabilities</t>
  </si>
  <si>
    <t>Dividends</t>
  </si>
  <si>
    <t>FX</t>
  </si>
  <si>
    <t>CIC</t>
  </si>
  <si>
    <t>FCF</t>
  </si>
  <si>
    <t>SEKm</t>
  </si>
  <si>
    <t>Sweden</t>
  </si>
  <si>
    <t>Net sales</t>
  </si>
  <si>
    <t>Growth %</t>
  </si>
  <si>
    <t>LFL growth %</t>
  </si>
  <si>
    <t>EBITA</t>
  </si>
  <si>
    <t>Number of new stores</t>
  </si>
  <si>
    <t>Norway</t>
  </si>
  <si>
    <t>Other markets</t>
  </si>
  <si>
    <t>EBITA margin</t>
  </si>
  <si>
    <t>Growth ex currency</t>
  </si>
  <si>
    <t>LFL ex currency growth %</t>
  </si>
  <si>
    <t>Other markets er Finland og Tyskland</t>
  </si>
  <si>
    <t>FY 24/25</t>
  </si>
  <si>
    <t>FY 23/24</t>
  </si>
  <si>
    <t>FY 22/23</t>
  </si>
  <si>
    <t>FY 21/22</t>
  </si>
  <si>
    <t>FY 25/26</t>
  </si>
  <si>
    <t>FY 26/27</t>
  </si>
  <si>
    <t>FY 27/28</t>
  </si>
  <si>
    <t>FY 28/29</t>
  </si>
  <si>
    <t>FY 29/30</t>
  </si>
  <si>
    <t>FY 30/31</t>
  </si>
  <si>
    <t>FY 31/32</t>
  </si>
  <si>
    <t>FY 32/33</t>
  </si>
  <si>
    <t>FY 33/34</t>
  </si>
  <si>
    <t>FY 34/35</t>
  </si>
  <si>
    <t>Store openings</t>
  </si>
  <si>
    <t>25/26</t>
  </si>
  <si>
    <t>26/27</t>
  </si>
  <si>
    <t xml:space="preserve">Press release: </t>
  </si>
  <si>
    <t>10.06.25: CEO Göran Westerberg vil forlate Rusta 30.juni 2026, vært sjef i 14 år</t>
  </si>
  <si>
    <t>05.06.25: Stykrer verdikjeden og kostnadseffektiviteten med et bonded warehouse i Norrköping. Forventet kostnadseffekter fra 26/27</t>
  </si>
  <si>
    <t>26.03.25: Åpner 3 nye butikker på en dag, Eksjö, Sölvesborg og Ljusdal</t>
  </si>
  <si>
    <t>27.01.25: Kjøper tilbake 281 000 aksjer</t>
  </si>
  <si>
    <t>25.09.24: Rusta åpner to nye butikker, Höör og Lørenskog.</t>
  </si>
  <si>
    <t>04.09.24: Rusta åpner sin 50 butikk i Norge i Egersund og feier 10 år i Norge.</t>
  </si>
  <si>
    <t>26/28</t>
  </si>
  <si>
    <t>Q1 og Q3 er som regel de beste kvartalene. Q4 er som regel svakest, fulgt av Q2</t>
  </si>
  <si>
    <t>Q1 24/25: Åpne 40-60 nye butikker de neste tre årene</t>
  </si>
  <si>
    <t>Q2 24/25: Åpne 50-80 nye butikker de neste årene</t>
  </si>
  <si>
    <t>Q4 24/25: Sier de er i øvre del av guidance</t>
  </si>
  <si>
    <t>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</si>
</sst>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kr&quot;\ #,##0.00_);[Red]\(&quot;kr&quot;\ #,##0.00\)"/>
    <numFmt numFmtId="164" formatCode="#,##0.0"/>
    <numFmt numFmtId="165" formatCode="0.0"/>
    <numFmt numFmtId="166" formatCode="0.0\ %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5" fontId="2" fillId="0" borderId="1" xfId="0" applyNumberFormat="1" applyFont="1" applyBorder="1"/>
    <xf numFmtId="165" fontId="2" fillId="0" borderId="0" xfId="0" applyNumberFormat="1" applyFont="1"/>
    <xf numFmtId="166" fontId="2" fillId="0" borderId="0" xfId="0" applyNumberFormat="1" applyFont="1"/>
    <xf numFmtId="166" fontId="2" fillId="0" borderId="1" xfId="0" applyNumberFormat="1" applyFont="1" applyBorder="1"/>
    <xf numFmtId="166" fontId="1" fillId="0" borderId="0" xfId="0" applyNumberFormat="1" applyFont="1"/>
    <xf numFmtId="166" fontId="1" fillId="0" borderId="1" xfId="0" applyNumberFormat="1" applyFont="1" applyBorder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4" fillId="0" borderId="0" xfId="0" applyNumberFormat="1" applyFont="1"/>
    <xf numFmtId="3" fontId="4" fillId="0" borderId="1" xfId="0" applyNumberFormat="1" applyFont="1" applyBorder="1"/>
    <xf numFmtId="9" fontId="2" fillId="0" borderId="0" xfId="0" applyNumberFormat="1" applyFont="1"/>
    <xf numFmtId="0" fontId="2" fillId="0" borderId="2" xfId="0" applyFont="1" applyBorder="1"/>
    <xf numFmtId="8" fontId="2" fillId="0" borderId="2" xfId="0" applyNumberFormat="1" applyFont="1" applyBorder="1"/>
    <xf numFmtId="0" fontId="1" fillId="0" borderId="1" xfId="0" applyFont="1" applyBorder="1"/>
    <xf numFmtId="0" fontId="2" fillId="0" borderId="4" xfId="0" applyFont="1" applyBorder="1"/>
    <xf numFmtId="10" fontId="2" fillId="0" borderId="0" xfId="0" applyNumberFormat="1" applyFont="1"/>
    <xf numFmtId="10" fontId="4" fillId="0" borderId="0" xfId="0" applyNumberFormat="1" applyFont="1"/>
    <xf numFmtId="166" fontId="4" fillId="0" borderId="1" xfId="0" applyNumberFormat="1" applyFont="1" applyBorder="1"/>
    <xf numFmtId="166" fontId="4" fillId="0" borderId="0" xfId="0" applyNumberFormat="1" applyFont="1"/>
    <xf numFmtId="0" fontId="1" fillId="0" borderId="0" xfId="0" applyFont="1" applyAlignment="1">
      <alignment horizontal="right"/>
    </xf>
    <xf numFmtId="1" fontId="2" fillId="0" borderId="0" xfId="0" applyNumberFormat="1" applyFont="1"/>
    <xf numFmtId="1" fontId="1" fillId="0" borderId="0" xfId="0" applyNumberFormat="1" applyFont="1"/>
    <xf numFmtId="166" fontId="3" fillId="0" borderId="0" xfId="0" applyNumberFormat="1" applyFont="1"/>
    <xf numFmtId="0" fontId="1" fillId="0" borderId="2" xfId="0" applyFont="1" applyBorder="1"/>
    <xf numFmtId="0" fontId="6" fillId="0" borderId="3" xfId="0" applyFont="1" applyBorder="1"/>
    <xf numFmtId="165" fontId="7" fillId="0" borderId="3" xfId="0" applyNumberFormat="1" applyFont="1" applyBorder="1"/>
    <xf numFmtId="0" fontId="1" fillId="0" borderId="6" xfId="0" applyFont="1" applyBorder="1" applyAlignment="1">
      <alignment horizontal="right"/>
    </xf>
    <xf numFmtId="0" fontId="2" fillId="0" borderId="6" xfId="0" applyFont="1" applyBorder="1"/>
    <xf numFmtId="3" fontId="1" fillId="0" borderId="6" xfId="0" applyNumberFormat="1" applyFont="1" applyBorder="1"/>
    <xf numFmtId="166" fontId="3" fillId="0" borderId="6" xfId="0" applyNumberFormat="1" applyFont="1" applyBorder="1"/>
    <xf numFmtId="0" fontId="1" fillId="0" borderId="5" xfId="0" applyFont="1" applyBorder="1"/>
    <xf numFmtId="166" fontId="4" fillId="0" borderId="6" xfId="0" applyNumberFormat="1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228600</xdr:colOff>
      <xdr:row>0</xdr:row>
      <xdr:rowOff>0</xdr:rowOff>
    </xdr:from>
    <xdr:to>
      <xdr:col>19</xdr:col>
      <xdr:colOff>774700</xdr:colOff>
      <xdr:row>32</xdr:row>
      <xdr:rowOff>60752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8378428-3D53-12AB-04BE-CA2B7640A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60100" y="0"/>
          <a:ext cx="5499100" cy="7782352"/>
        </a:xfrm>
        <a:prstGeom prst="rect">
          <a:avLst/>
        </a:prstGeom>
      </xdr:spPr>
    </xdr:pic>
    <xdr:clientData/>
  </xdr:twoCellAnchor>
  <xdr:twoCellAnchor editAs="oneCell">
    <xdr:from>
      <xdr:col>9</xdr:col>
      <xdr:colOff>419100</xdr:colOff>
      <xdr:row>34</xdr:row>
      <xdr:rowOff>38100</xdr:rowOff>
    </xdr:from>
    <xdr:to>
      <xdr:col>20</xdr:col>
      <xdr:colOff>233570</xdr:colOff>
      <xdr:row>52</xdr:row>
      <xdr:rowOff>215900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F27D525B-DBE0-37AA-1E36-1C24CB378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8242300"/>
          <a:ext cx="8894970" cy="452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3:I26"/>
  <sheetViews>
    <sheetView showGridLines="0" workbookViewId="0">
      <selection activeCell="G15" sqref="G15"/>
    </sheetView>
  </sheetViews>
  <sheetFormatPr baseColWidth="10" defaultRowHeight="19" x14ac:dyDescent="0.25"/>
  <cols>
    <col min="1" max="16384" width="10.83203125" style="2"/>
  </cols>
  <sheetData>
    <row r="3" spans="1:9" x14ac:dyDescent="0.25">
      <c r="A3" s="2" t="s">
        <v>21</v>
      </c>
      <c r="I3" s="2" t="s">
        <v>169</v>
      </c>
    </row>
    <row r="4" spans="1:9" x14ac:dyDescent="0.25">
      <c r="I4" s="2" t="s">
        <v>170</v>
      </c>
    </row>
    <row r="5" spans="1:9" x14ac:dyDescent="0.25">
      <c r="A5" s="1" t="s">
        <v>25</v>
      </c>
      <c r="B5" s="2" t="s">
        <v>26</v>
      </c>
      <c r="I5" s="2" t="s">
        <v>171</v>
      </c>
    </row>
    <row r="6" spans="1:9" x14ac:dyDescent="0.25">
      <c r="A6" s="1" t="s">
        <v>22</v>
      </c>
      <c r="B6" s="2" t="s">
        <v>27</v>
      </c>
    </row>
    <row r="7" spans="1:9" x14ac:dyDescent="0.25">
      <c r="A7" s="1" t="s">
        <v>23</v>
      </c>
      <c r="B7" s="2" t="s">
        <v>28</v>
      </c>
    </row>
    <row r="8" spans="1:9" x14ac:dyDescent="0.25">
      <c r="A8" s="1" t="s">
        <v>24</v>
      </c>
      <c r="B8" s="2" t="s">
        <v>29</v>
      </c>
    </row>
    <row r="11" spans="1:9" x14ac:dyDescent="0.25">
      <c r="A11" s="2" t="s">
        <v>168</v>
      </c>
    </row>
    <row r="12" spans="1:9" x14ac:dyDescent="0.25">
      <c r="A12" s="2" t="s">
        <v>142</v>
      </c>
    </row>
    <row r="20" spans="1:1" x14ac:dyDescent="0.25">
      <c r="A20" s="1" t="s">
        <v>160</v>
      </c>
    </row>
    <row r="21" spans="1:1" x14ac:dyDescent="0.25">
      <c r="A21" s="2" t="s">
        <v>161</v>
      </c>
    </row>
    <row r="22" spans="1:1" x14ac:dyDescent="0.25">
      <c r="A22" s="2" t="s">
        <v>162</v>
      </c>
    </row>
    <row r="23" spans="1:1" x14ac:dyDescent="0.25">
      <c r="A23" s="2" t="s">
        <v>163</v>
      </c>
    </row>
    <row r="24" spans="1:1" x14ac:dyDescent="0.25">
      <c r="A24" s="2" t="s">
        <v>164</v>
      </c>
    </row>
    <row r="25" spans="1:1" x14ac:dyDescent="0.25">
      <c r="A25" s="2" t="s">
        <v>165</v>
      </c>
    </row>
    <row r="26" spans="1:1" x14ac:dyDescent="0.25">
      <c r="A26" s="2" t="s">
        <v>166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1:DU89"/>
  <sheetViews>
    <sheetView showGridLines="0" tabSelected="1" workbookViewId="0">
      <pane xSplit="3" ySplit="3" topLeftCell="Q4" activePane="bottomRight" state="frozen"/>
      <selection pane="topRight" activeCell="D1" sqref="D1"/>
      <selection pane="bottomLeft" activeCell="A4" sqref="A4"/>
      <selection pane="bottomRight" activeCell="Y31" sqref="Y31"/>
    </sheetView>
  </sheetViews>
  <sheetFormatPr baseColWidth="10" defaultRowHeight="19" x14ac:dyDescent="0.25"/>
  <cols>
    <col min="1" max="1" width="16.33203125" style="2" bestFit="1" customWidth="1"/>
    <col min="2" max="2" width="10.83203125" style="4"/>
    <col min="3" max="3" width="35.83203125" style="2" customWidth="1"/>
    <col min="4" max="4" width="20.83203125" style="2" customWidth="1"/>
    <col min="5" max="5" width="17.1640625" style="2" customWidth="1"/>
    <col min="6" max="6" width="19.33203125" style="2" customWidth="1"/>
    <col min="7" max="7" width="17.33203125" style="2" customWidth="1"/>
    <col min="8" max="8" width="19.5" style="2" customWidth="1"/>
    <col min="9" max="9" width="18.5" style="2" customWidth="1"/>
    <col min="10" max="10" width="18" style="2" customWidth="1"/>
    <col min="11" max="11" width="18.5" style="2" customWidth="1"/>
    <col min="12" max="12" width="17" style="2" customWidth="1"/>
    <col min="13" max="13" width="19" style="2" customWidth="1"/>
    <col min="14" max="14" width="18.83203125" style="2" customWidth="1"/>
    <col min="15" max="15" width="18.33203125" style="4" customWidth="1"/>
    <col min="16" max="16" width="16.6640625" style="2" customWidth="1"/>
    <col min="17" max="17" width="17.83203125" style="2" customWidth="1"/>
    <col min="18" max="18" width="16.1640625" style="2" customWidth="1"/>
    <col min="19" max="19" width="18.1640625" style="2" customWidth="1"/>
    <col min="20" max="25" width="10.83203125" style="2"/>
    <col min="26" max="26" width="10.83203125" style="4"/>
    <col min="27" max="36" width="10.83203125" style="2"/>
    <col min="37" max="37" width="13" style="2" bestFit="1" customWidth="1"/>
    <col min="38" max="38" width="13.33203125" style="2" bestFit="1" customWidth="1"/>
    <col min="39" max="16384" width="10.83203125" style="2"/>
  </cols>
  <sheetData>
    <row r="1" spans="1:125" x14ac:dyDescent="0.25">
      <c r="D1" s="7" t="s">
        <v>110</v>
      </c>
      <c r="E1" s="7" t="s">
        <v>88</v>
      </c>
      <c r="F1" s="7" t="s">
        <v>49</v>
      </c>
      <c r="G1" s="7" t="s">
        <v>87</v>
      </c>
      <c r="H1" s="7" t="s">
        <v>85</v>
      </c>
      <c r="I1" s="7" t="s">
        <v>83</v>
      </c>
      <c r="J1" s="7" t="s">
        <v>48</v>
      </c>
      <c r="K1" s="7" t="s">
        <v>86</v>
      </c>
      <c r="L1" s="7" t="s">
        <v>84</v>
      </c>
      <c r="M1" s="7" t="s">
        <v>82</v>
      </c>
      <c r="N1" s="7" t="s">
        <v>47</v>
      </c>
      <c r="O1" s="8" t="s">
        <v>93</v>
      </c>
      <c r="P1" s="7" t="s">
        <v>104</v>
      </c>
      <c r="Q1" s="7" t="s">
        <v>105</v>
      </c>
      <c r="R1" s="7" t="s">
        <v>106</v>
      </c>
      <c r="S1" s="7" t="s">
        <v>107</v>
      </c>
      <c r="U1" s="1"/>
    </row>
    <row r="3" spans="1:125" x14ac:dyDescent="0.25">
      <c r="A3" s="1" t="s">
        <v>0</v>
      </c>
      <c r="C3" s="2" t="s">
        <v>16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8" t="s">
        <v>14</v>
      </c>
      <c r="P3" s="7" t="s">
        <v>100</v>
      </c>
      <c r="Q3" s="7" t="s">
        <v>101</v>
      </c>
      <c r="R3" s="7" t="s">
        <v>102</v>
      </c>
      <c r="S3" s="7" t="s">
        <v>103</v>
      </c>
      <c r="V3" s="7" t="s">
        <v>146</v>
      </c>
      <c r="W3" s="7" t="s">
        <v>145</v>
      </c>
      <c r="X3" s="7" t="s">
        <v>144</v>
      </c>
      <c r="Y3" s="7" t="s">
        <v>143</v>
      </c>
      <c r="Z3" s="8" t="s">
        <v>147</v>
      </c>
      <c r="AA3" s="7" t="s">
        <v>148</v>
      </c>
      <c r="AB3" s="7" t="s">
        <v>149</v>
      </c>
      <c r="AC3" s="7" t="s">
        <v>150</v>
      </c>
      <c r="AD3" s="7" t="s">
        <v>151</v>
      </c>
      <c r="AE3" s="7" t="s">
        <v>152</v>
      </c>
      <c r="AF3" s="7" t="s">
        <v>153</v>
      </c>
      <c r="AG3" s="7" t="s">
        <v>154</v>
      </c>
      <c r="AH3" s="7" t="s">
        <v>155</v>
      </c>
      <c r="AI3" s="7" t="s">
        <v>156</v>
      </c>
    </row>
    <row r="4" spans="1:125" x14ac:dyDescent="0.25">
      <c r="A4" s="2" t="s">
        <v>1</v>
      </c>
      <c r="B4" s="4">
        <v>71</v>
      </c>
      <c r="C4" s="1" t="s">
        <v>30</v>
      </c>
      <c r="D4" s="16"/>
      <c r="E4" s="16">
        <v>2309</v>
      </c>
      <c r="F4" s="16">
        <v>3036</v>
      </c>
      <c r="G4" s="16">
        <v>2204</v>
      </c>
      <c r="H4" s="16">
        <v>2959</v>
      </c>
      <c r="I4" s="16">
        <v>2642</v>
      </c>
      <c r="J4" s="16">
        <v>3247</v>
      </c>
      <c r="K4" s="16">
        <v>2268</v>
      </c>
      <c r="L4" s="16">
        <v>3069</v>
      </c>
      <c r="M4" s="16">
        <v>2723</v>
      </c>
      <c r="N4" s="16">
        <v>3483</v>
      </c>
      <c r="O4" s="17">
        <v>2553</v>
      </c>
      <c r="P4" s="1"/>
      <c r="V4" s="16">
        <v>9490</v>
      </c>
      <c r="W4" s="16">
        <v>10202</v>
      </c>
      <c r="X4" s="16">
        <v>11116</v>
      </c>
      <c r="Y4" s="16">
        <f>SUM(L4:O4)</f>
        <v>11828</v>
      </c>
      <c r="Z4" s="17">
        <f>Y4*1.08</f>
        <v>12774.240000000002</v>
      </c>
      <c r="AA4" s="16">
        <f t="shared" ref="AA4:AI4" si="0">Z4*1.08</f>
        <v>13796.179200000002</v>
      </c>
      <c r="AB4" s="16">
        <f t="shared" si="0"/>
        <v>14899.873536000003</v>
      </c>
      <c r="AC4" s="16">
        <f t="shared" si="0"/>
        <v>16091.863418880004</v>
      </c>
      <c r="AD4" s="16">
        <f t="shared" si="0"/>
        <v>17379.212492390405</v>
      </c>
      <c r="AE4" s="16">
        <f t="shared" si="0"/>
        <v>18769.54949178164</v>
      </c>
      <c r="AF4" s="16">
        <f t="shared" si="0"/>
        <v>20271.113451124173</v>
      </c>
      <c r="AG4" s="16">
        <f t="shared" si="0"/>
        <v>21892.802527214109</v>
      </c>
      <c r="AH4" s="16">
        <f t="shared" si="0"/>
        <v>23644.226729391241</v>
      </c>
      <c r="AI4" s="16">
        <f t="shared" si="0"/>
        <v>25535.764867742542</v>
      </c>
    </row>
    <row r="5" spans="1:125" x14ac:dyDescent="0.25">
      <c r="A5" s="2" t="s">
        <v>2</v>
      </c>
      <c r="B5" s="9">
        <v>153.52896899999999</v>
      </c>
      <c r="C5" s="2" t="s">
        <v>31</v>
      </c>
      <c r="D5" s="18"/>
      <c r="E5" s="18">
        <v>-1367</v>
      </c>
      <c r="F5" s="18">
        <v>-1775</v>
      </c>
      <c r="G5" s="18">
        <v>-1301</v>
      </c>
      <c r="H5" s="18">
        <v>-1694</v>
      </c>
      <c r="I5" s="18">
        <v>-1489</v>
      </c>
      <c r="J5" s="18">
        <v>-1807</v>
      </c>
      <c r="K5" s="18">
        <v>-1292</v>
      </c>
      <c r="L5" s="18">
        <v>-1726</v>
      </c>
      <c r="M5" s="18">
        <v>-1528</v>
      </c>
      <c r="N5" s="18">
        <v>-1969</v>
      </c>
      <c r="O5" s="19">
        <v>-1510</v>
      </c>
      <c r="S5" s="18"/>
      <c r="V5" s="18"/>
      <c r="W5" s="18">
        <v>-6016</v>
      </c>
      <c r="X5" s="18">
        <v>-6283</v>
      </c>
      <c r="Y5" s="18">
        <f>SUM(L5:O5)</f>
        <v>-6733</v>
      </c>
      <c r="Z5" s="19">
        <f>Z4*-0.56</f>
        <v>-7153.5744000000013</v>
      </c>
      <c r="AA5" s="18">
        <f t="shared" ref="AA5:AI5" si="1">AA4*-0.56</f>
        <v>-7725.8603520000024</v>
      </c>
      <c r="AB5" s="18">
        <f t="shared" si="1"/>
        <v>-8343.9291801600029</v>
      </c>
      <c r="AC5" s="18">
        <f t="shared" si="1"/>
        <v>-9011.4435145728039</v>
      </c>
      <c r="AD5" s="18">
        <f t="shared" si="1"/>
        <v>-9732.3589957386284</v>
      </c>
      <c r="AE5" s="18">
        <f t="shared" si="1"/>
        <v>-10510.947715397719</v>
      </c>
      <c r="AF5" s="18">
        <f t="shared" si="1"/>
        <v>-11351.823532629538</v>
      </c>
      <c r="AG5" s="18">
        <f t="shared" si="1"/>
        <v>-12259.969415239902</v>
      </c>
      <c r="AH5" s="18">
        <f t="shared" si="1"/>
        <v>-13240.766968459096</v>
      </c>
      <c r="AI5" s="18">
        <f t="shared" si="1"/>
        <v>-14300.028325935826</v>
      </c>
    </row>
    <row r="6" spans="1:125" x14ac:dyDescent="0.25">
      <c r="A6" s="2" t="s">
        <v>20</v>
      </c>
      <c r="B6" s="5">
        <f>B4*B5</f>
        <v>10900.556799</v>
      </c>
      <c r="C6" s="2" t="s">
        <v>32</v>
      </c>
      <c r="D6" s="18"/>
      <c r="E6" s="18">
        <f t="shared" ref="E6:O6" si="2">SUM(E4:E5)</f>
        <v>942</v>
      </c>
      <c r="F6" s="18">
        <f t="shared" si="2"/>
        <v>1261</v>
      </c>
      <c r="G6" s="18">
        <f t="shared" si="2"/>
        <v>903</v>
      </c>
      <c r="H6" s="18">
        <f t="shared" si="2"/>
        <v>1265</v>
      </c>
      <c r="I6" s="18">
        <f t="shared" si="2"/>
        <v>1153</v>
      </c>
      <c r="J6" s="18">
        <f t="shared" si="2"/>
        <v>1440</v>
      </c>
      <c r="K6" s="18">
        <f t="shared" si="2"/>
        <v>976</v>
      </c>
      <c r="L6" s="18">
        <f t="shared" si="2"/>
        <v>1343</v>
      </c>
      <c r="M6" s="18">
        <f t="shared" si="2"/>
        <v>1195</v>
      </c>
      <c r="N6" s="18">
        <f t="shared" si="2"/>
        <v>1514</v>
      </c>
      <c r="O6" s="19">
        <f t="shared" si="2"/>
        <v>1043</v>
      </c>
      <c r="Q6" s="18"/>
      <c r="R6" s="18"/>
      <c r="V6" s="18"/>
      <c r="W6" s="18">
        <f>SUM(W4:W5)</f>
        <v>4186</v>
      </c>
      <c r="X6" s="18">
        <f>SUM(X4:X5)</f>
        <v>4833</v>
      </c>
      <c r="Y6" s="18">
        <f>SUM(Y4:Y5)</f>
        <v>5095</v>
      </c>
      <c r="Z6" s="19">
        <f t="shared" ref="Z6:AI6" si="3">SUM(Z4:Z5)</f>
        <v>5620.6656000000003</v>
      </c>
      <c r="AA6" s="18">
        <f t="shared" si="3"/>
        <v>6070.3188479999999</v>
      </c>
      <c r="AB6" s="18">
        <f t="shared" si="3"/>
        <v>6555.9443558399998</v>
      </c>
      <c r="AC6" s="18">
        <f t="shared" si="3"/>
        <v>7080.4199043072003</v>
      </c>
      <c r="AD6" s="18">
        <f t="shared" si="3"/>
        <v>7646.8534966517764</v>
      </c>
      <c r="AE6" s="18">
        <f t="shared" si="3"/>
        <v>8258.6017763839209</v>
      </c>
      <c r="AF6" s="18">
        <f t="shared" si="3"/>
        <v>8919.2899184946345</v>
      </c>
      <c r="AG6" s="18">
        <f t="shared" si="3"/>
        <v>9632.833111974207</v>
      </c>
      <c r="AH6" s="18">
        <f t="shared" si="3"/>
        <v>10403.459760932144</v>
      </c>
      <c r="AI6" s="18">
        <f t="shared" si="3"/>
        <v>11235.736541806717</v>
      </c>
    </row>
    <row r="7" spans="1:125" x14ac:dyDescent="0.25">
      <c r="A7" s="2" t="s">
        <v>17</v>
      </c>
      <c r="B7" s="5">
        <v>99</v>
      </c>
      <c r="C7" s="2" t="s">
        <v>33</v>
      </c>
      <c r="D7" s="18"/>
      <c r="E7" s="18">
        <v>-824</v>
      </c>
      <c r="F7" s="18">
        <v>-926</v>
      </c>
      <c r="G7" s="18">
        <v>-865</v>
      </c>
      <c r="H7" s="18">
        <v>-904</v>
      </c>
      <c r="I7" s="18">
        <v>-922</v>
      </c>
      <c r="J7" s="18">
        <v>-990</v>
      </c>
      <c r="K7" s="18">
        <v>-983</v>
      </c>
      <c r="L7" s="18">
        <v>-932</v>
      </c>
      <c r="M7" s="18">
        <v>-989</v>
      </c>
      <c r="N7" s="18">
        <v>-1064</v>
      </c>
      <c r="O7" s="19">
        <v>-1015</v>
      </c>
      <c r="V7" s="18"/>
      <c r="W7" s="18">
        <v>-3414</v>
      </c>
      <c r="X7" s="18">
        <v>-3798</v>
      </c>
      <c r="Y7" s="18">
        <f>SUM(L7:O7)</f>
        <v>-4000</v>
      </c>
      <c r="Z7" s="19">
        <f>Y7*1.05</f>
        <v>-4200</v>
      </c>
      <c r="AA7" s="18">
        <f t="shared" ref="AA7:AI7" si="4">Z7*1.05</f>
        <v>-4410</v>
      </c>
      <c r="AB7" s="18">
        <f t="shared" si="4"/>
        <v>-4630.5</v>
      </c>
      <c r="AC7" s="18">
        <f t="shared" si="4"/>
        <v>-4862.0250000000005</v>
      </c>
      <c r="AD7" s="18">
        <f t="shared" si="4"/>
        <v>-5105.1262500000012</v>
      </c>
      <c r="AE7" s="18">
        <f t="shared" si="4"/>
        <v>-5360.3825625000018</v>
      </c>
      <c r="AF7" s="18">
        <f t="shared" si="4"/>
        <v>-5628.4016906250017</v>
      </c>
      <c r="AG7" s="18">
        <f t="shared" si="4"/>
        <v>-5909.8217751562524</v>
      </c>
      <c r="AH7" s="18">
        <f t="shared" si="4"/>
        <v>-6205.312863914065</v>
      </c>
      <c r="AI7" s="18">
        <f t="shared" si="4"/>
        <v>-6515.5785071097689</v>
      </c>
    </row>
    <row r="8" spans="1:125" x14ac:dyDescent="0.25">
      <c r="A8" s="2" t="s">
        <v>18</v>
      </c>
      <c r="B8" s="5">
        <f>O48+O50+O51</f>
        <v>5655</v>
      </c>
      <c r="C8" s="2" t="s">
        <v>34</v>
      </c>
      <c r="D8" s="18"/>
      <c r="E8" s="18">
        <v>-80</v>
      </c>
      <c r="F8" s="18">
        <v>-73</v>
      </c>
      <c r="G8" s="18">
        <v>-80</v>
      </c>
      <c r="H8" s="18">
        <v>-104</v>
      </c>
      <c r="I8" s="18">
        <v>-97</v>
      </c>
      <c r="J8" s="18">
        <v>-91</v>
      </c>
      <c r="K8" s="18">
        <v>-62</v>
      </c>
      <c r="L8" s="18">
        <v>-96</v>
      </c>
      <c r="M8" s="18">
        <v>-54</v>
      </c>
      <c r="N8" s="18">
        <v>-81</v>
      </c>
      <c r="O8" s="19">
        <v>-70</v>
      </c>
      <c r="V8" s="18"/>
      <c r="W8" s="18">
        <v>-298</v>
      </c>
      <c r="X8" s="18">
        <v>-355</v>
      </c>
      <c r="Y8" s="18">
        <f t="shared" ref="Y8:Y10" si="5">SUM(L8:O8)</f>
        <v>-301</v>
      </c>
      <c r="Z8" s="19">
        <f>Y8*1.02</f>
        <v>-307.02</v>
      </c>
      <c r="AA8" s="18">
        <f t="shared" ref="AA8:AI8" si="6">Z8*1.02</f>
        <v>-313.16039999999998</v>
      </c>
      <c r="AB8" s="18">
        <f t="shared" si="6"/>
        <v>-319.423608</v>
      </c>
      <c r="AC8" s="18">
        <f t="shared" si="6"/>
        <v>-325.81208015999999</v>
      </c>
      <c r="AD8" s="18">
        <f t="shared" si="6"/>
        <v>-332.32832176319999</v>
      </c>
      <c r="AE8" s="18">
        <f t="shared" si="6"/>
        <v>-338.97488819846399</v>
      </c>
      <c r="AF8" s="18">
        <f t="shared" si="6"/>
        <v>-345.75438596243328</v>
      </c>
      <c r="AG8" s="18">
        <f t="shared" si="6"/>
        <v>-352.66947368168195</v>
      </c>
      <c r="AH8" s="18">
        <f t="shared" si="6"/>
        <v>-359.72286315531562</v>
      </c>
      <c r="AI8" s="18">
        <f t="shared" si="6"/>
        <v>-366.91732041842192</v>
      </c>
    </row>
    <row r="9" spans="1:125" x14ac:dyDescent="0.25">
      <c r="A9" s="3" t="s">
        <v>19</v>
      </c>
      <c r="B9" s="6">
        <f>B6-B7+B8</f>
        <v>16456.556798999998</v>
      </c>
      <c r="C9" s="2" t="s">
        <v>35</v>
      </c>
      <c r="D9" s="18"/>
      <c r="E9" s="18">
        <v>82</v>
      </c>
      <c r="F9" s="18">
        <v>61</v>
      </c>
      <c r="G9" s="18">
        <v>26</v>
      </c>
      <c r="H9" s="18">
        <v>69</v>
      </c>
      <c r="I9" s="18">
        <v>49</v>
      </c>
      <c r="J9" s="18">
        <v>54</v>
      </c>
      <c r="K9" s="18">
        <v>43</v>
      </c>
      <c r="L9" s="18">
        <v>86</v>
      </c>
      <c r="M9" s="18">
        <v>33</v>
      </c>
      <c r="N9" s="18">
        <v>54</v>
      </c>
      <c r="O9" s="19">
        <v>76</v>
      </c>
      <c r="V9" s="18"/>
      <c r="W9" s="18">
        <v>216</v>
      </c>
      <c r="X9" s="18">
        <v>215</v>
      </c>
      <c r="Y9" s="18">
        <f t="shared" si="5"/>
        <v>249</v>
      </c>
      <c r="Z9" s="19">
        <f>Y9</f>
        <v>249</v>
      </c>
      <c r="AA9" s="18">
        <f t="shared" ref="AA9:AI9" si="7">Z9</f>
        <v>249</v>
      </c>
      <c r="AB9" s="18">
        <f t="shared" si="7"/>
        <v>249</v>
      </c>
      <c r="AC9" s="18">
        <f t="shared" si="7"/>
        <v>249</v>
      </c>
      <c r="AD9" s="18">
        <f t="shared" si="7"/>
        <v>249</v>
      </c>
      <c r="AE9" s="18">
        <f t="shared" si="7"/>
        <v>249</v>
      </c>
      <c r="AF9" s="18">
        <f t="shared" si="7"/>
        <v>249</v>
      </c>
      <c r="AG9" s="18">
        <f t="shared" si="7"/>
        <v>249</v>
      </c>
      <c r="AH9" s="18">
        <f t="shared" si="7"/>
        <v>249</v>
      </c>
      <c r="AI9" s="18">
        <f t="shared" si="7"/>
        <v>249</v>
      </c>
    </row>
    <row r="10" spans="1:125" x14ac:dyDescent="0.25">
      <c r="C10" s="2" t="s">
        <v>36</v>
      </c>
      <c r="D10" s="18"/>
      <c r="E10" s="18">
        <v>-55</v>
      </c>
      <c r="F10" s="18">
        <v>-31</v>
      </c>
      <c r="G10" s="18">
        <v>-41</v>
      </c>
      <c r="H10" s="18">
        <v>-29</v>
      </c>
      <c r="I10" s="18">
        <v>-44</v>
      </c>
      <c r="J10" s="18">
        <v>-46</v>
      </c>
      <c r="K10" s="18">
        <v>-23</v>
      </c>
      <c r="L10" s="18">
        <v>-51</v>
      </c>
      <c r="M10" s="18">
        <v>-50</v>
      </c>
      <c r="N10" s="18">
        <v>-40</v>
      </c>
      <c r="O10" s="19">
        <v>-50</v>
      </c>
      <c r="V10" s="18"/>
      <c r="W10" s="18">
        <v>-173</v>
      </c>
      <c r="X10" s="18">
        <v>-142</v>
      </c>
      <c r="Y10" s="18">
        <f t="shared" si="5"/>
        <v>-191</v>
      </c>
      <c r="Z10" s="19">
        <f>Y10*1.01</f>
        <v>-192.91</v>
      </c>
      <c r="AA10" s="18">
        <f t="shared" ref="AA10:AI10" si="8">Z10*1.01</f>
        <v>-194.8391</v>
      </c>
      <c r="AB10" s="18">
        <f t="shared" si="8"/>
        <v>-196.78749100000002</v>
      </c>
      <c r="AC10" s="18">
        <f t="shared" si="8"/>
        <v>-198.75536591000002</v>
      </c>
      <c r="AD10" s="18">
        <f t="shared" si="8"/>
        <v>-200.74291956910002</v>
      </c>
      <c r="AE10" s="18">
        <f t="shared" si="8"/>
        <v>-202.75034876479103</v>
      </c>
      <c r="AF10" s="18">
        <f t="shared" si="8"/>
        <v>-204.77785225243895</v>
      </c>
      <c r="AG10" s="18">
        <f t="shared" si="8"/>
        <v>-206.82563077496334</v>
      </c>
      <c r="AH10" s="18">
        <f t="shared" si="8"/>
        <v>-208.89388708271298</v>
      </c>
      <c r="AI10" s="18">
        <f t="shared" si="8"/>
        <v>-210.9828259535401</v>
      </c>
    </row>
    <row r="11" spans="1:125" x14ac:dyDescent="0.25">
      <c r="C11" s="1" t="s">
        <v>37</v>
      </c>
      <c r="D11" s="16"/>
      <c r="E11" s="16">
        <f t="shared" ref="E11:O11" si="9">SUM(E6:E10)</f>
        <v>65</v>
      </c>
      <c r="F11" s="16">
        <f t="shared" si="9"/>
        <v>292</v>
      </c>
      <c r="G11" s="16">
        <f t="shared" si="9"/>
        <v>-57</v>
      </c>
      <c r="H11" s="16">
        <f t="shared" si="9"/>
        <v>297</v>
      </c>
      <c r="I11" s="16">
        <f t="shared" si="9"/>
        <v>139</v>
      </c>
      <c r="J11" s="16">
        <f t="shared" si="9"/>
        <v>367</v>
      </c>
      <c r="K11" s="16">
        <f>SUM(K6:K10)</f>
        <v>-49</v>
      </c>
      <c r="L11" s="16">
        <f t="shared" si="9"/>
        <v>350</v>
      </c>
      <c r="M11" s="16">
        <f t="shared" si="9"/>
        <v>135</v>
      </c>
      <c r="N11" s="16">
        <f t="shared" si="9"/>
        <v>383</v>
      </c>
      <c r="O11" s="17">
        <f t="shared" si="9"/>
        <v>-16</v>
      </c>
      <c r="P11" s="1"/>
      <c r="V11" s="16">
        <v>708</v>
      </c>
      <c r="W11" s="16">
        <f>SUM(W6:W10)</f>
        <v>517</v>
      </c>
      <c r="X11" s="16">
        <f>SUM(X6:X10)</f>
        <v>753</v>
      </c>
      <c r="Y11" s="16">
        <f>SUM(Y6:Y10)</f>
        <v>852</v>
      </c>
      <c r="Z11" s="17">
        <f t="shared" ref="Z11:AI11" si="10">SUM(Z6:Z10)</f>
        <v>1169.7356000000002</v>
      </c>
      <c r="AA11" s="16">
        <f t="shared" si="10"/>
        <v>1401.319348</v>
      </c>
      <c r="AB11" s="16">
        <f t="shared" si="10"/>
        <v>1658.2332568399997</v>
      </c>
      <c r="AC11" s="16">
        <f t="shared" si="10"/>
        <v>1942.8274582372001</v>
      </c>
      <c r="AD11" s="16">
        <f t="shared" si="10"/>
        <v>2257.6560053194748</v>
      </c>
      <c r="AE11" s="16">
        <f t="shared" si="10"/>
        <v>2605.493976920664</v>
      </c>
      <c r="AF11" s="16">
        <f t="shared" si="10"/>
        <v>2989.3559896547604</v>
      </c>
      <c r="AG11" s="16">
        <f t="shared" si="10"/>
        <v>3412.516232361309</v>
      </c>
      <c r="AH11" s="16">
        <f t="shared" si="10"/>
        <v>3878.5301467800509</v>
      </c>
      <c r="AI11" s="16">
        <f t="shared" si="10"/>
        <v>4391.2578883249862</v>
      </c>
    </row>
    <row r="12" spans="1:125" x14ac:dyDescent="0.25">
      <c r="C12" s="2" t="s">
        <v>38</v>
      </c>
      <c r="D12" s="18"/>
      <c r="E12" s="18">
        <v>0</v>
      </c>
      <c r="F12" s="18">
        <v>1</v>
      </c>
      <c r="G12" s="18">
        <v>1</v>
      </c>
      <c r="H12" s="18">
        <v>2</v>
      </c>
      <c r="I12" s="18">
        <v>2</v>
      </c>
      <c r="J12" s="18">
        <v>6</v>
      </c>
      <c r="K12" s="18">
        <v>2</v>
      </c>
      <c r="L12" s="18">
        <v>6</v>
      </c>
      <c r="M12" s="18">
        <v>4</v>
      </c>
      <c r="N12" s="18">
        <v>5</v>
      </c>
      <c r="O12" s="19">
        <v>2</v>
      </c>
      <c r="V12" s="18"/>
      <c r="W12" s="18">
        <v>1</v>
      </c>
      <c r="X12" s="18">
        <v>13</v>
      </c>
      <c r="Y12" s="18">
        <f>SUM(L12:O12)</f>
        <v>17</v>
      </c>
      <c r="Z12" s="19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</row>
    <row r="13" spans="1:125" x14ac:dyDescent="0.25">
      <c r="C13" s="2" t="s">
        <v>39</v>
      </c>
      <c r="D13" s="18"/>
      <c r="E13" s="18">
        <v>-41</v>
      </c>
      <c r="F13" s="18">
        <v>-45</v>
      </c>
      <c r="G13" s="18">
        <v>-54</v>
      </c>
      <c r="H13" s="18">
        <v>-58</v>
      </c>
      <c r="I13" s="18">
        <v>-60</v>
      </c>
      <c r="J13" s="18">
        <v>-61</v>
      </c>
      <c r="K13" s="18">
        <v>-62</v>
      </c>
      <c r="L13" s="18">
        <v>-63</v>
      </c>
      <c r="M13" s="18">
        <v>-64</v>
      </c>
      <c r="N13" s="18">
        <v>-63</v>
      </c>
      <c r="O13" s="19">
        <v>-64</v>
      </c>
      <c r="V13" s="18"/>
      <c r="W13" s="18">
        <v>-179</v>
      </c>
      <c r="X13" s="18">
        <v>-241</v>
      </c>
      <c r="Y13" s="18">
        <f>SUM(L13:O13)</f>
        <v>-254</v>
      </c>
      <c r="Z13" s="19">
        <f>Y13*1.01</f>
        <v>-256.54000000000002</v>
      </c>
      <c r="AA13" s="18">
        <f t="shared" ref="AA13:AI13" si="11">Z13*1.01</f>
        <v>-259.10540000000003</v>
      </c>
      <c r="AB13" s="18">
        <f t="shared" si="11"/>
        <v>-261.69645400000002</v>
      </c>
      <c r="AC13" s="18">
        <f t="shared" si="11"/>
        <v>-264.31341854000004</v>
      </c>
      <c r="AD13" s="18">
        <f t="shared" si="11"/>
        <v>-266.95655272540006</v>
      </c>
      <c r="AE13" s="18">
        <f t="shared" si="11"/>
        <v>-269.62611825265407</v>
      </c>
      <c r="AF13" s="18">
        <f t="shared" si="11"/>
        <v>-272.32237943518061</v>
      </c>
      <c r="AG13" s="18">
        <f t="shared" si="11"/>
        <v>-275.04560322953239</v>
      </c>
      <c r="AH13" s="18">
        <f t="shared" si="11"/>
        <v>-277.79605926182774</v>
      </c>
      <c r="AI13" s="18">
        <f t="shared" si="11"/>
        <v>-280.57401985444602</v>
      </c>
    </row>
    <row r="14" spans="1:125" x14ac:dyDescent="0.25">
      <c r="C14" s="2" t="s">
        <v>40</v>
      </c>
      <c r="D14" s="18"/>
      <c r="E14" s="18">
        <f t="shared" ref="E14:O14" si="12">SUM(E11:E13)</f>
        <v>24</v>
      </c>
      <c r="F14" s="18">
        <f t="shared" si="12"/>
        <v>248</v>
      </c>
      <c r="G14" s="18">
        <f t="shared" si="12"/>
        <v>-110</v>
      </c>
      <c r="H14" s="18">
        <f t="shared" si="12"/>
        <v>241</v>
      </c>
      <c r="I14" s="18">
        <f t="shared" si="12"/>
        <v>81</v>
      </c>
      <c r="J14" s="18">
        <f t="shared" si="12"/>
        <v>312</v>
      </c>
      <c r="K14" s="18">
        <f t="shared" si="12"/>
        <v>-109</v>
      </c>
      <c r="L14" s="18">
        <f t="shared" si="12"/>
        <v>293</v>
      </c>
      <c r="M14" s="18">
        <f t="shared" si="12"/>
        <v>75</v>
      </c>
      <c r="N14" s="18">
        <f t="shared" si="12"/>
        <v>325</v>
      </c>
      <c r="O14" s="19">
        <f t="shared" si="12"/>
        <v>-78</v>
      </c>
      <c r="V14" s="18">
        <v>671</v>
      </c>
      <c r="W14" s="18">
        <f>SUM(W11:W13)</f>
        <v>339</v>
      </c>
      <c r="X14" s="18">
        <f>SUM(X11:X13)</f>
        <v>525</v>
      </c>
      <c r="Y14" s="18">
        <f t="shared" ref="Y14:AI14" si="13">SUM(Y11:Y13)</f>
        <v>615</v>
      </c>
      <c r="Z14" s="19">
        <f t="shared" si="13"/>
        <v>913.19560000000024</v>
      </c>
      <c r="AA14" s="18">
        <f t="shared" si="13"/>
        <v>1142.2139480000001</v>
      </c>
      <c r="AB14" s="18">
        <f t="shared" si="13"/>
        <v>1396.5368028399998</v>
      </c>
      <c r="AC14" s="18">
        <f t="shared" si="13"/>
        <v>1678.5140396972001</v>
      </c>
      <c r="AD14" s="18">
        <f t="shared" si="13"/>
        <v>1990.6994525940747</v>
      </c>
      <c r="AE14" s="18">
        <f t="shared" si="13"/>
        <v>2335.8678586680098</v>
      </c>
      <c r="AF14" s="18">
        <f t="shared" si="13"/>
        <v>2717.0336102195797</v>
      </c>
      <c r="AG14" s="18">
        <f t="shared" si="13"/>
        <v>3137.4706291317766</v>
      </c>
      <c r="AH14" s="18">
        <f t="shared" si="13"/>
        <v>3600.7340875182231</v>
      </c>
      <c r="AI14" s="18">
        <f t="shared" si="13"/>
        <v>4110.6838684705399</v>
      </c>
    </row>
    <row r="15" spans="1:125" x14ac:dyDescent="0.25">
      <c r="C15" s="2" t="s">
        <v>41</v>
      </c>
      <c r="D15" s="18"/>
      <c r="E15" s="18">
        <v>-9</v>
      </c>
      <c r="F15" s="18">
        <v>-48</v>
      </c>
      <c r="G15" s="18">
        <v>13</v>
      </c>
      <c r="H15" s="18">
        <v>-52</v>
      </c>
      <c r="I15" s="18">
        <v>-13</v>
      </c>
      <c r="J15" s="18">
        <v>-70</v>
      </c>
      <c r="K15" s="18">
        <v>17</v>
      </c>
      <c r="L15" s="18">
        <v>-62</v>
      </c>
      <c r="M15" s="18">
        <v>-17</v>
      </c>
      <c r="N15" s="18">
        <v>-67</v>
      </c>
      <c r="O15" s="19">
        <v>8</v>
      </c>
      <c r="V15" s="18">
        <f>V14*-0.22</f>
        <v>-147.62</v>
      </c>
      <c r="W15" s="18">
        <v>-79</v>
      </c>
      <c r="X15" s="18">
        <v>-117</v>
      </c>
      <c r="Y15" s="18">
        <f>SUM(L15:O15)</f>
        <v>-138</v>
      </c>
      <c r="Z15" s="19">
        <f>Z14*-0.22</f>
        <v>-200.90303200000005</v>
      </c>
      <c r="AA15" s="18">
        <f t="shared" ref="AA15:AI15" si="14">AA14*-0.22</f>
        <v>-251.28706856000002</v>
      </c>
      <c r="AB15" s="18">
        <f t="shared" si="14"/>
        <v>-307.23809662479999</v>
      </c>
      <c r="AC15" s="18">
        <f t="shared" si="14"/>
        <v>-369.27308873338404</v>
      </c>
      <c r="AD15" s="18">
        <f t="shared" si="14"/>
        <v>-437.95387957069642</v>
      </c>
      <c r="AE15" s="18">
        <f t="shared" si="14"/>
        <v>-513.89092890696213</v>
      </c>
      <c r="AF15" s="18">
        <f t="shared" si="14"/>
        <v>-597.7473942483075</v>
      </c>
      <c r="AG15" s="18">
        <f t="shared" si="14"/>
        <v>-690.24353840899084</v>
      </c>
      <c r="AH15" s="18">
        <f t="shared" si="14"/>
        <v>-792.16149925400907</v>
      </c>
      <c r="AI15" s="18">
        <f t="shared" si="14"/>
        <v>-904.35045106351879</v>
      </c>
    </row>
    <row r="16" spans="1:125" x14ac:dyDescent="0.25">
      <c r="C16" s="1" t="s">
        <v>42</v>
      </c>
      <c r="D16" s="16"/>
      <c r="E16" s="16">
        <f t="shared" ref="E16:O16" si="15">SUM(E14:E15)</f>
        <v>15</v>
      </c>
      <c r="F16" s="16">
        <f t="shared" si="15"/>
        <v>200</v>
      </c>
      <c r="G16" s="16">
        <f t="shared" si="15"/>
        <v>-97</v>
      </c>
      <c r="H16" s="16">
        <f t="shared" si="15"/>
        <v>189</v>
      </c>
      <c r="I16" s="16">
        <f t="shared" si="15"/>
        <v>68</v>
      </c>
      <c r="J16" s="16">
        <f t="shared" si="15"/>
        <v>242</v>
      </c>
      <c r="K16" s="16">
        <f t="shared" si="15"/>
        <v>-92</v>
      </c>
      <c r="L16" s="16">
        <f t="shared" si="15"/>
        <v>231</v>
      </c>
      <c r="M16" s="16">
        <f t="shared" si="15"/>
        <v>58</v>
      </c>
      <c r="N16" s="16">
        <f t="shared" si="15"/>
        <v>258</v>
      </c>
      <c r="O16" s="17">
        <f t="shared" si="15"/>
        <v>-70</v>
      </c>
      <c r="V16" s="16">
        <f>SUM(V14:V15)</f>
        <v>523.38</v>
      </c>
      <c r="W16" s="16">
        <f>SUM(W14:W15)</f>
        <v>260</v>
      </c>
      <c r="X16" s="16">
        <f>SUM(X14:X15)</f>
        <v>408</v>
      </c>
      <c r="Y16" s="16">
        <f t="shared" ref="Y16:AI16" si="16">SUM(Y14:Y15)</f>
        <v>477</v>
      </c>
      <c r="Z16" s="17">
        <f t="shared" si="16"/>
        <v>712.29256800000019</v>
      </c>
      <c r="AA16" s="16">
        <f t="shared" si="16"/>
        <v>890.92687943999999</v>
      </c>
      <c r="AB16" s="16">
        <f t="shared" si="16"/>
        <v>1089.2987062151999</v>
      </c>
      <c r="AC16" s="16">
        <f t="shared" si="16"/>
        <v>1309.240950963816</v>
      </c>
      <c r="AD16" s="16">
        <f t="shared" si="16"/>
        <v>1552.7455730233783</v>
      </c>
      <c r="AE16" s="16">
        <f t="shared" si="16"/>
        <v>1821.9769297610478</v>
      </c>
      <c r="AF16" s="16">
        <f t="shared" si="16"/>
        <v>2119.2862159712722</v>
      </c>
      <c r="AG16" s="16">
        <f t="shared" si="16"/>
        <v>2447.2270907227858</v>
      </c>
      <c r="AH16" s="16">
        <f t="shared" si="16"/>
        <v>2808.5725882642141</v>
      </c>
      <c r="AI16" s="16">
        <f t="shared" si="16"/>
        <v>3206.333417407021</v>
      </c>
      <c r="AJ16" s="16">
        <f>AI16*(1+$AL$20)</f>
        <v>3174.2700832329506</v>
      </c>
      <c r="AK16" s="16">
        <f t="shared" ref="AK16:CV16" si="17">AJ16*(1+$AL$20)</f>
        <v>3142.5273824006213</v>
      </c>
      <c r="AL16" s="16">
        <f t="shared" si="17"/>
        <v>3111.1021085766151</v>
      </c>
      <c r="AM16" s="16">
        <f t="shared" si="17"/>
        <v>3079.9910874908492</v>
      </c>
      <c r="AN16" s="16">
        <f t="shared" si="17"/>
        <v>3049.1911766159405</v>
      </c>
      <c r="AO16" s="16">
        <f t="shared" si="17"/>
        <v>3018.6992648497812</v>
      </c>
      <c r="AP16" s="16">
        <f t="shared" si="17"/>
        <v>2988.5122722012834</v>
      </c>
      <c r="AQ16" s="16">
        <f t="shared" si="17"/>
        <v>2958.6271494792704</v>
      </c>
      <c r="AR16" s="16">
        <f t="shared" si="17"/>
        <v>2929.0408779844779</v>
      </c>
      <c r="AS16" s="16">
        <f t="shared" si="17"/>
        <v>2899.7504692046332</v>
      </c>
      <c r="AT16" s="16">
        <f t="shared" si="17"/>
        <v>2870.7529645125869</v>
      </c>
      <c r="AU16" s="16">
        <f t="shared" si="17"/>
        <v>2842.0454348674612</v>
      </c>
      <c r="AV16" s="16">
        <f t="shared" si="17"/>
        <v>2813.6249805187867</v>
      </c>
      <c r="AW16" s="16">
        <f t="shared" si="17"/>
        <v>2785.4887307135987</v>
      </c>
      <c r="AX16" s="16">
        <f t="shared" si="17"/>
        <v>2757.6338434064628</v>
      </c>
      <c r="AY16" s="16">
        <f t="shared" si="17"/>
        <v>2730.057504972398</v>
      </c>
      <c r="AZ16" s="16">
        <f t="shared" si="17"/>
        <v>2702.7569299226739</v>
      </c>
      <c r="BA16" s="16">
        <f t="shared" si="17"/>
        <v>2675.7293606234471</v>
      </c>
      <c r="BB16" s="16">
        <f t="shared" si="17"/>
        <v>2648.9720670172128</v>
      </c>
      <c r="BC16" s="16">
        <f t="shared" si="17"/>
        <v>2622.4823463470407</v>
      </c>
      <c r="BD16" s="16">
        <f t="shared" si="17"/>
        <v>2596.2575228835703</v>
      </c>
      <c r="BE16" s="16">
        <f t="shared" si="17"/>
        <v>2570.2949476547346</v>
      </c>
      <c r="BF16" s="16">
        <f t="shared" si="17"/>
        <v>2544.5919981781872</v>
      </c>
      <c r="BG16" s="16">
        <f t="shared" si="17"/>
        <v>2519.1460781964051</v>
      </c>
      <c r="BH16" s="16">
        <f t="shared" si="17"/>
        <v>2493.9546174144411</v>
      </c>
      <c r="BI16" s="16">
        <f t="shared" si="17"/>
        <v>2469.0150712402965</v>
      </c>
      <c r="BJ16" s="16">
        <f t="shared" si="17"/>
        <v>2444.3249205278935</v>
      </c>
      <c r="BK16" s="16">
        <f t="shared" si="17"/>
        <v>2419.8816713226147</v>
      </c>
      <c r="BL16" s="16">
        <f t="shared" si="17"/>
        <v>2395.6828546093884</v>
      </c>
      <c r="BM16" s="16">
        <f t="shared" si="17"/>
        <v>2371.7260260632943</v>
      </c>
      <c r="BN16" s="16">
        <f t="shared" si="17"/>
        <v>2348.0087658026614</v>
      </c>
      <c r="BO16" s="16">
        <f t="shared" si="17"/>
        <v>2324.5286781446348</v>
      </c>
      <c r="BP16" s="16">
        <f t="shared" si="17"/>
        <v>2301.2833913631885</v>
      </c>
      <c r="BQ16" s="16">
        <f t="shared" si="17"/>
        <v>2278.2705574495567</v>
      </c>
      <c r="BR16" s="16">
        <f t="shared" si="17"/>
        <v>2255.4878518750611</v>
      </c>
      <c r="BS16" s="16">
        <f t="shared" si="17"/>
        <v>2232.9329733563104</v>
      </c>
      <c r="BT16" s="16">
        <f t="shared" si="17"/>
        <v>2210.6036436227473</v>
      </c>
      <c r="BU16" s="16">
        <f t="shared" si="17"/>
        <v>2188.4976071865199</v>
      </c>
      <c r="BV16" s="16">
        <f t="shared" si="17"/>
        <v>2166.6126311146545</v>
      </c>
      <c r="BW16" s="16">
        <f t="shared" si="17"/>
        <v>2144.9465048035081</v>
      </c>
      <c r="BX16" s="16">
        <f t="shared" si="17"/>
        <v>2123.497039755473</v>
      </c>
      <c r="BY16" s="16">
        <f t="shared" si="17"/>
        <v>2102.2620693579183</v>
      </c>
      <c r="BZ16" s="16">
        <f t="shared" si="17"/>
        <v>2081.2394486643393</v>
      </c>
      <c r="CA16" s="16">
        <f t="shared" si="17"/>
        <v>2060.4270541776959</v>
      </c>
      <c r="CB16" s="16">
        <f t="shared" si="17"/>
        <v>2039.822783635919</v>
      </c>
      <c r="CC16" s="16">
        <f t="shared" si="17"/>
        <v>2019.4245557995598</v>
      </c>
      <c r="CD16" s="16">
        <f t="shared" si="17"/>
        <v>1999.2303102415642</v>
      </c>
      <c r="CE16" s="16">
        <f t="shared" si="17"/>
        <v>1979.2380071391485</v>
      </c>
      <c r="CF16" s="16">
        <f t="shared" si="17"/>
        <v>1959.445627067757</v>
      </c>
      <c r="CG16" s="16">
        <f t="shared" si="17"/>
        <v>1939.8511707970795</v>
      </c>
      <c r="CH16" s="16">
        <f t="shared" si="17"/>
        <v>1920.4526590891087</v>
      </c>
      <c r="CI16" s="16">
        <f t="shared" si="17"/>
        <v>1901.2481324982175</v>
      </c>
      <c r="CJ16" s="16">
        <f t="shared" si="17"/>
        <v>1882.2356511732353</v>
      </c>
      <c r="CK16" s="16">
        <f t="shared" si="17"/>
        <v>1863.413294661503</v>
      </c>
      <c r="CL16" s="16">
        <f t="shared" si="17"/>
        <v>1844.779161714888</v>
      </c>
      <c r="CM16" s="16">
        <f t="shared" si="17"/>
        <v>1826.3313700977392</v>
      </c>
      <c r="CN16" s="16">
        <f t="shared" si="17"/>
        <v>1808.0680563967617</v>
      </c>
      <c r="CO16" s="16">
        <f t="shared" si="17"/>
        <v>1789.987375832794</v>
      </c>
      <c r="CP16" s="16">
        <f t="shared" si="17"/>
        <v>1772.0875020744661</v>
      </c>
      <c r="CQ16" s="16">
        <f t="shared" si="17"/>
        <v>1754.3666270537215</v>
      </c>
      <c r="CR16" s="16">
        <f t="shared" si="17"/>
        <v>1736.8229607831843</v>
      </c>
      <c r="CS16" s="16">
        <f t="shared" si="17"/>
        <v>1719.4547311753524</v>
      </c>
      <c r="CT16" s="16">
        <f t="shared" si="17"/>
        <v>1702.260183863599</v>
      </c>
      <c r="CU16" s="16">
        <f t="shared" si="17"/>
        <v>1685.2375820249629</v>
      </c>
      <c r="CV16" s="16">
        <f t="shared" si="17"/>
        <v>1668.3852062047133</v>
      </c>
      <c r="CW16" s="16">
        <f t="shared" ref="CW16:DU16" si="18">CV16*(1+$AL$20)</f>
        <v>1651.7013541426661</v>
      </c>
      <c r="CX16" s="16">
        <f t="shared" si="18"/>
        <v>1635.1843406012395</v>
      </c>
      <c r="CY16" s="16">
        <f t="shared" si="18"/>
        <v>1618.832497195227</v>
      </c>
      <c r="CZ16" s="16">
        <f t="shared" si="18"/>
        <v>1602.6441722232746</v>
      </c>
      <c r="DA16" s="16">
        <f t="shared" si="18"/>
        <v>1586.6177305010419</v>
      </c>
      <c r="DB16" s="16">
        <f t="shared" si="18"/>
        <v>1570.7515531960314</v>
      </c>
      <c r="DC16" s="16">
        <f t="shared" si="18"/>
        <v>1555.0440376640711</v>
      </c>
      <c r="DD16" s="16">
        <f t="shared" si="18"/>
        <v>1539.4935972874302</v>
      </c>
      <c r="DE16" s="16">
        <f t="shared" si="18"/>
        <v>1524.098661314556</v>
      </c>
      <c r="DF16" s="16">
        <f t="shared" si="18"/>
        <v>1508.8576747014104</v>
      </c>
      <c r="DG16" s="16">
        <f t="shared" si="18"/>
        <v>1493.7690979543963</v>
      </c>
      <c r="DH16" s="16">
        <f t="shared" si="18"/>
        <v>1478.8314069748524</v>
      </c>
      <c r="DI16" s="16">
        <f t="shared" si="18"/>
        <v>1464.0430929051038</v>
      </c>
      <c r="DJ16" s="16">
        <f t="shared" si="18"/>
        <v>1449.4026619760527</v>
      </c>
      <c r="DK16" s="16">
        <f t="shared" si="18"/>
        <v>1434.9086353562923</v>
      </c>
      <c r="DL16" s="16">
        <f t="shared" si="18"/>
        <v>1420.5595490027295</v>
      </c>
      <c r="DM16" s="16">
        <f t="shared" si="18"/>
        <v>1406.3539535127022</v>
      </c>
      <c r="DN16" s="16">
        <f t="shared" si="18"/>
        <v>1392.2904139775751</v>
      </c>
      <c r="DO16" s="16">
        <f t="shared" si="18"/>
        <v>1378.3675098377994</v>
      </c>
      <c r="DP16" s="16">
        <f t="shared" si="18"/>
        <v>1364.5838347394215</v>
      </c>
      <c r="DQ16" s="16">
        <f t="shared" si="18"/>
        <v>1350.9379963920273</v>
      </c>
      <c r="DR16" s="16">
        <f t="shared" si="18"/>
        <v>1337.428616428107</v>
      </c>
      <c r="DS16" s="16">
        <f t="shared" si="18"/>
        <v>1324.0543302638259</v>
      </c>
      <c r="DT16" s="16">
        <f t="shared" si="18"/>
        <v>1310.8137869611876</v>
      </c>
      <c r="DU16" s="16">
        <f t="shared" si="18"/>
        <v>1297.7056490915757</v>
      </c>
    </row>
    <row r="17" spans="3:38" x14ac:dyDescent="0.25">
      <c r="C17" s="2" t="s">
        <v>43</v>
      </c>
      <c r="E17" s="10">
        <v>153.52896899999999</v>
      </c>
      <c r="F17" s="10">
        <v>153.52896899999999</v>
      </c>
      <c r="G17" s="10">
        <v>153.52896899999999</v>
      </c>
      <c r="H17" s="10">
        <v>153.52896899999999</v>
      </c>
      <c r="I17" s="10">
        <v>153.52896899999999</v>
      </c>
      <c r="J17" s="10">
        <v>153.52896899999999</v>
      </c>
      <c r="K17" s="10">
        <v>153.52896899999999</v>
      </c>
      <c r="L17" s="10">
        <v>153.52896899999999</v>
      </c>
      <c r="M17" s="10">
        <v>153.52896899999999</v>
      </c>
      <c r="N17" s="10">
        <v>153.52896899999999</v>
      </c>
      <c r="O17" s="9">
        <v>153.52896899999999</v>
      </c>
      <c r="V17" s="10">
        <v>153.52896899999999</v>
      </c>
      <c r="W17" s="10">
        <v>153.52896899999999</v>
      </c>
      <c r="X17" s="10">
        <v>153.52896899999999</v>
      </c>
      <c r="Y17" s="10">
        <v>153.52896899999999</v>
      </c>
      <c r="Z17" s="9">
        <v>153.52896899999999</v>
      </c>
      <c r="AA17" s="10">
        <v>153.52896899999999</v>
      </c>
      <c r="AB17" s="10">
        <v>153.52896899999999</v>
      </c>
      <c r="AC17" s="10">
        <v>153.52896899999999</v>
      </c>
      <c r="AD17" s="10">
        <v>153.52896899999999</v>
      </c>
      <c r="AE17" s="10">
        <v>153.52896899999999</v>
      </c>
      <c r="AF17" s="10">
        <v>153.52896899999999</v>
      </c>
      <c r="AG17" s="10">
        <v>153.52896899999999</v>
      </c>
      <c r="AH17" s="10">
        <v>153.52896899999999</v>
      </c>
      <c r="AI17" s="10">
        <v>153.52896899999999</v>
      </c>
    </row>
    <row r="18" spans="3:38" x14ac:dyDescent="0.25">
      <c r="C18" s="2" t="s">
        <v>44</v>
      </c>
      <c r="D18" s="10" t="e">
        <f t="shared" ref="D18:O18" si="19">D16/D17</f>
        <v>#DIV/0!</v>
      </c>
      <c r="E18" s="10">
        <f t="shared" si="19"/>
        <v>9.7701431187230861E-2</v>
      </c>
      <c r="F18" s="10">
        <f t="shared" si="19"/>
        <v>1.3026857491630783</v>
      </c>
      <c r="G18" s="10">
        <f t="shared" si="19"/>
        <v>-0.63180258834409297</v>
      </c>
      <c r="H18" s="10">
        <f t="shared" si="19"/>
        <v>1.2310380329591089</v>
      </c>
      <c r="I18" s="10">
        <f t="shared" si="19"/>
        <v>0.44291315471544662</v>
      </c>
      <c r="J18" s="10">
        <f t="shared" si="19"/>
        <v>1.5762497564873246</v>
      </c>
      <c r="K18" s="10">
        <f t="shared" si="19"/>
        <v>-0.59923544461501599</v>
      </c>
      <c r="L18" s="10">
        <f t="shared" si="19"/>
        <v>1.5046020402833553</v>
      </c>
      <c r="M18" s="10">
        <f t="shared" si="19"/>
        <v>0.37777886725729271</v>
      </c>
      <c r="N18" s="10">
        <f>N16/N17</f>
        <v>1.6804646164203709</v>
      </c>
      <c r="O18" s="9">
        <f t="shared" si="19"/>
        <v>-0.45594001220707736</v>
      </c>
      <c r="V18" s="10">
        <f t="shared" ref="V18:W18" si="20">V16/V17</f>
        <v>3.4089983369848595</v>
      </c>
      <c r="W18" s="10">
        <f t="shared" si="20"/>
        <v>1.6934914739120017</v>
      </c>
      <c r="X18" s="10">
        <f>X16/X17</f>
        <v>2.6574789282926794</v>
      </c>
      <c r="Y18" s="10">
        <f>Y16/Y17</f>
        <v>3.1069055117539417</v>
      </c>
      <c r="Z18" s="9">
        <f>Z16/Z17</f>
        <v>4.6394668878418655</v>
      </c>
      <c r="AA18" s="10">
        <f t="shared" ref="AA18:AI18" si="21">AA16/AA17</f>
        <v>5.8029887469640995</v>
      </c>
      <c r="AB18" s="10">
        <f t="shared" si="21"/>
        <v>7.0950695058415976</v>
      </c>
      <c r="AC18" s="10">
        <f t="shared" si="21"/>
        <v>8.5276476452063985</v>
      </c>
      <c r="AD18" s="10">
        <f t="shared" si="21"/>
        <v>10.113697650268064</v>
      </c>
      <c r="AE18" s="10">
        <f t="shared" si="21"/>
        <v>11.867316908518079</v>
      </c>
      <c r="AF18" s="10">
        <f t="shared" si="21"/>
        <v>13.80381975971761</v>
      </c>
      <c r="AG18" s="10">
        <f t="shared" si="21"/>
        <v>15.939839280251963</v>
      </c>
      <c r="AH18" s="10">
        <f t="shared" si="21"/>
        <v>18.293437431109268</v>
      </c>
      <c r="AI18" s="10">
        <f t="shared" si="21"/>
        <v>20.884224249607389</v>
      </c>
    </row>
    <row r="19" spans="3:38" x14ac:dyDescent="0.25">
      <c r="AK19" s="2" t="s">
        <v>95</v>
      </c>
      <c r="AL19" s="22">
        <v>0.1</v>
      </c>
    </row>
    <row r="20" spans="3:38" x14ac:dyDescent="0.25">
      <c r="C20" s="1" t="s">
        <v>15</v>
      </c>
      <c r="D20" s="11"/>
      <c r="E20" s="11"/>
      <c r="F20" s="11"/>
      <c r="G20" s="11"/>
      <c r="H20" s="13"/>
      <c r="I20" s="13">
        <f t="shared" ref="I20:M20" si="22">(I4-E4)/E4</f>
        <v>0.14421827631009096</v>
      </c>
      <c r="J20" s="13">
        <f t="shared" si="22"/>
        <v>6.9499341238471679E-2</v>
      </c>
      <c r="K20" s="13">
        <f>(K4-G4)/G4</f>
        <v>2.9038112522686024E-2</v>
      </c>
      <c r="L20" s="13">
        <f t="shared" si="22"/>
        <v>3.717472118959108E-2</v>
      </c>
      <c r="M20" s="13">
        <f t="shared" si="22"/>
        <v>3.0658591975775928E-2</v>
      </c>
      <c r="N20" s="13">
        <f>(N4-J4)/J4</f>
        <v>7.2682476131813986E-2</v>
      </c>
      <c r="O20" s="14">
        <f>(O4-K4)/K4</f>
        <v>0.12566137566137567</v>
      </c>
      <c r="P20" s="13">
        <f t="shared" ref="P20" si="23">(P4-L4)/L4</f>
        <v>-1</v>
      </c>
      <c r="Q20" s="13">
        <f t="shared" ref="Q20" si="24">(Q4-M4)/M4</f>
        <v>-1</v>
      </c>
      <c r="R20" s="13">
        <f t="shared" ref="R20" si="25">(R4-N4)/N4</f>
        <v>-1</v>
      </c>
      <c r="S20" s="13">
        <f t="shared" ref="S20" si="26">(S4-O4)/O4</f>
        <v>-1</v>
      </c>
      <c r="T20" s="13"/>
      <c r="V20" s="13"/>
      <c r="W20" s="13">
        <f>(W4-V4)/V4</f>
        <v>7.5026343519494207E-2</v>
      </c>
      <c r="X20" s="13">
        <f>(X4-W4)/W4</f>
        <v>8.9590276416388948E-2</v>
      </c>
      <c r="Y20" s="13">
        <f t="shared" ref="Y20:AI20" si="27">(Y4-X4)/X4</f>
        <v>6.4051817200431807E-2</v>
      </c>
      <c r="Z20" s="14">
        <f t="shared" si="27"/>
        <v>8.000000000000014E-2</v>
      </c>
      <c r="AA20" s="13">
        <f t="shared" si="27"/>
        <v>8.0000000000000043E-2</v>
      </c>
      <c r="AB20" s="13">
        <f t="shared" si="27"/>
        <v>8.0000000000000016E-2</v>
      </c>
      <c r="AC20" s="13">
        <f t="shared" si="27"/>
        <v>8.0000000000000085E-2</v>
      </c>
      <c r="AD20" s="13">
        <f t="shared" si="27"/>
        <v>8.0000000000000016E-2</v>
      </c>
      <c r="AE20" s="13">
        <f t="shared" si="27"/>
        <v>8.000000000000014E-2</v>
      </c>
      <c r="AF20" s="13">
        <f t="shared" si="27"/>
        <v>8.0000000000000099E-2</v>
      </c>
      <c r="AG20" s="13">
        <f t="shared" si="27"/>
        <v>8.0000000000000154E-2</v>
      </c>
      <c r="AH20" s="13">
        <f t="shared" si="27"/>
        <v>8.0000000000000127E-2</v>
      </c>
      <c r="AI20" s="13">
        <f t="shared" si="27"/>
        <v>8.0000000000000085E-2</v>
      </c>
      <c r="AK20" s="2" t="s">
        <v>96</v>
      </c>
      <c r="AL20" s="22">
        <v>-0.01</v>
      </c>
    </row>
    <row r="21" spans="3:38" x14ac:dyDescent="0.25">
      <c r="C21" s="1" t="s">
        <v>108</v>
      </c>
      <c r="D21" s="11"/>
      <c r="E21" s="11"/>
      <c r="F21" s="11"/>
      <c r="G21" s="11"/>
      <c r="H21" s="13"/>
      <c r="I21" s="13">
        <v>0.108</v>
      </c>
      <c r="J21" s="13">
        <v>2.5000000000000001E-2</v>
      </c>
      <c r="K21" s="13">
        <v>-1.2E-2</v>
      </c>
      <c r="L21" s="13">
        <v>5.0000000000000001E-3</v>
      </c>
      <c r="M21" s="13">
        <v>8.0000000000000002E-3</v>
      </c>
      <c r="N21" s="13">
        <v>4.2999999999999997E-2</v>
      </c>
      <c r="O21" s="14">
        <v>8.5999999999999993E-2</v>
      </c>
      <c r="P21" s="13"/>
      <c r="Q21" s="13"/>
      <c r="R21" s="13"/>
      <c r="S21" s="13"/>
      <c r="T21" s="13"/>
      <c r="V21" s="13"/>
      <c r="W21" s="13"/>
      <c r="X21" s="13"/>
      <c r="Y21" s="13"/>
      <c r="Z21" s="14"/>
      <c r="AA21" s="13"/>
      <c r="AB21" s="13"/>
      <c r="AC21" s="13"/>
      <c r="AD21" s="13"/>
      <c r="AE21" s="13"/>
      <c r="AF21" s="13"/>
      <c r="AG21" s="13"/>
      <c r="AH21" s="13"/>
      <c r="AI21" s="13"/>
      <c r="AK21" s="23" t="s">
        <v>97</v>
      </c>
      <c r="AL21" s="24">
        <f>NPV(AL19,Y16:DU16)</f>
        <v>19406.647111433176</v>
      </c>
    </row>
    <row r="22" spans="3:38" x14ac:dyDescent="0.25">
      <c r="C22" s="2" t="s">
        <v>94</v>
      </c>
      <c r="D22" s="11"/>
      <c r="E22" s="11">
        <f t="shared" ref="E22:S22" si="28">E6/E4</f>
        <v>0.40796881766998699</v>
      </c>
      <c r="F22" s="11">
        <f t="shared" si="28"/>
        <v>0.41534914361001318</v>
      </c>
      <c r="G22" s="11">
        <f t="shared" si="28"/>
        <v>0.40970961887477314</v>
      </c>
      <c r="H22" s="11">
        <f t="shared" si="28"/>
        <v>0.42750929368029739</v>
      </c>
      <c r="I22" s="11">
        <f t="shared" si="28"/>
        <v>0.43641180923542772</v>
      </c>
      <c r="J22" s="11">
        <f t="shared" si="28"/>
        <v>0.44348629504157683</v>
      </c>
      <c r="K22" s="11">
        <f t="shared" si="28"/>
        <v>0.43033509700176364</v>
      </c>
      <c r="L22" s="11">
        <f t="shared" si="28"/>
        <v>0.43760182469859887</v>
      </c>
      <c r="M22" s="11">
        <f t="shared" si="28"/>
        <v>0.43885420492104299</v>
      </c>
      <c r="N22" s="11">
        <f t="shared" si="28"/>
        <v>0.43468274476026414</v>
      </c>
      <c r="O22" s="12">
        <f t="shared" si="28"/>
        <v>0.40853897375636505</v>
      </c>
      <c r="P22" s="11" t="e">
        <f t="shared" si="28"/>
        <v>#DIV/0!</v>
      </c>
      <c r="Q22" s="11" t="e">
        <f t="shared" si="28"/>
        <v>#DIV/0!</v>
      </c>
      <c r="R22" s="11" t="e">
        <f t="shared" si="28"/>
        <v>#DIV/0!</v>
      </c>
      <c r="S22" s="11" t="e">
        <f t="shared" si="28"/>
        <v>#DIV/0!</v>
      </c>
      <c r="T22" s="11"/>
      <c r="V22" s="13"/>
      <c r="W22" s="11">
        <f t="shared" ref="W22:AI22" si="29">W6/W4</f>
        <v>0.41031170358753188</v>
      </c>
      <c r="X22" s="11">
        <f t="shared" si="29"/>
        <v>0.43477869737315583</v>
      </c>
      <c r="Y22" s="11">
        <f t="shared" si="29"/>
        <v>0.43075752451809268</v>
      </c>
      <c r="Z22" s="12">
        <f t="shared" si="29"/>
        <v>0.43999999999999995</v>
      </c>
      <c r="AA22" s="11">
        <f t="shared" si="29"/>
        <v>0.43999999999999989</v>
      </c>
      <c r="AB22" s="11">
        <f t="shared" si="29"/>
        <v>0.43999999999999989</v>
      </c>
      <c r="AC22" s="11">
        <f t="shared" si="29"/>
        <v>0.43999999999999989</v>
      </c>
      <c r="AD22" s="11">
        <f t="shared" si="29"/>
        <v>0.43999999999999989</v>
      </c>
      <c r="AE22" s="11">
        <f t="shared" si="29"/>
        <v>0.43999999999999995</v>
      </c>
      <c r="AF22" s="11">
        <f t="shared" si="29"/>
        <v>0.43999999999999995</v>
      </c>
      <c r="AG22" s="11">
        <f t="shared" si="29"/>
        <v>0.43999999999999995</v>
      </c>
      <c r="AH22" s="11">
        <f t="shared" si="29"/>
        <v>0.43999999999999995</v>
      </c>
      <c r="AI22" s="11">
        <f t="shared" si="29"/>
        <v>0.43999999999999995</v>
      </c>
      <c r="AK22" s="2" t="s">
        <v>2</v>
      </c>
      <c r="AL22" s="10">
        <v>153.52896899999999</v>
      </c>
    </row>
    <row r="23" spans="3:38" x14ac:dyDescent="0.25">
      <c r="C23" s="2" t="s">
        <v>45</v>
      </c>
      <c r="D23" s="11" t="e">
        <f t="shared" ref="D23:S23" si="30">D11/D4</f>
        <v>#DIV/0!</v>
      </c>
      <c r="E23" s="11">
        <f t="shared" si="30"/>
        <v>2.8150714595062798E-2</v>
      </c>
      <c r="F23" s="11">
        <f t="shared" si="30"/>
        <v>9.6179183135704879E-2</v>
      </c>
      <c r="G23" s="11">
        <f t="shared" si="30"/>
        <v>-2.5862068965517241E-2</v>
      </c>
      <c r="H23" s="11">
        <f t="shared" si="30"/>
        <v>0.10037174721189591</v>
      </c>
      <c r="I23" s="11">
        <f t="shared" si="30"/>
        <v>5.2611657834973506E-2</v>
      </c>
      <c r="J23" s="11">
        <f t="shared" si="30"/>
        <v>0.11302740991684632</v>
      </c>
      <c r="K23" s="11">
        <f t="shared" si="30"/>
        <v>-2.1604938271604937E-2</v>
      </c>
      <c r="L23" s="11">
        <f t="shared" si="30"/>
        <v>0.11404366243075921</v>
      </c>
      <c r="M23" s="11">
        <f t="shared" si="30"/>
        <v>4.9577671685640839E-2</v>
      </c>
      <c r="N23" s="11">
        <f t="shared" si="30"/>
        <v>0.10996267585414872</v>
      </c>
      <c r="O23" s="12">
        <f t="shared" si="30"/>
        <v>-6.2671367019193104E-3</v>
      </c>
      <c r="P23" s="11" t="e">
        <f t="shared" si="30"/>
        <v>#DIV/0!</v>
      </c>
      <c r="Q23" s="11" t="e">
        <f t="shared" si="30"/>
        <v>#DIV/0!</v>
      </c>
      <c r="R23" s="11" t="e">
        <f t="shared" si="30"/>
        <v>#DIV/0!</v>
      </c>
      <c r="S23" s="11" t="e">
        <f t="shared" si="30"/>
        <v>#DIV/0!</v>
      </c>
      <c r="T23" s="11"/>
      <c r="V23" s="11">
        <f t="shared" ref="V23:AI23" si="31">V11/V4</f>
        <v>7.4604847207586936E-2</v>
      </c>
      <c r="W23" s="11">
        <f t="shared" si="31"/>
        <v>5.0676337972946482E-2</v>
      </c>
      <c r="X23" s="11">
        <f t="shared" si="31"/>
        <v>6.7740194314501623E-2</v>
      </c>
      <c r="Y23" s="11">
        <f t="shared" si="31"/>
        <v>7.2032465336489687E-2</v>
      </c>
      <c r="Z23" s="12">
        <f t="shared" si="31"/>
        <v>9.1569878129736104E-2</v>
      </c>
      <c r="AA23" s="11">
        <f t="shared" si="31"/>
        <v>0.10157300276296787</v>
      </c>
      <c r="AB23" s="11">
        <f t="shared" si="31"/>
        <v>0.11129176719745278</v>
      </c>
      <c r="AC23" s="11">
        <f t="shared" si="31"/>
        <v>0.12073352896829527</v>
      </c>
      <c r="AD23" s="11">
        <f t="shared" si="31"/>
        <v>0.1299055412498123</v>
      </c>
      <c r="AE23" s="11">
        <f t="shared" si="31"/>
        <v>0.13881494481588358</v>
      </c>
      <c r="AF23" s="11">
        <f t="shared" si="31"/>
        <v>0.14746876124305741</v>
      </c>
      <c r="AG23" s="11">
        <f t="shared" si="31"/>
        <v>0.15587388723391352</v>
      </c>
      <c r="AH23" s="11">
        <f t="shared" si="31"/>
        <v>0.16403708994884561</v>
      </c>
      <c r="AI23" s="11">
        <f t="shared" si="31"/>
        <v>0.17196500324422004</v>
      </c>
      <c r="AK23" s="2" t="s">
        <v>98</v>
      </c>
      <c r="AL23" s="10">
        <f>AL21/AL22</f>
        <v>126.40381315550408</v>
      </c>
    </row>
    <row r="24" spans="3:38" x14ac:dyDescent="0.25">
      <c r="C24" s="2" t="s">
        <v>157</v>
      </c>
      <c r="D24" s="2">
        <v>1</v>
      </c>
      <c r="E24" s="2">
        <v>4</v>
      </c>
      <c r="F24" s="2">
        <v>2</v>
      </c>
      <c r="G24" s="2">
        <v>6</v>
      </c>
      <c r="H24" s="2">
        <v>1</v>
      </c>
      <c r="I24" s="2">
        <v>3</v>
      </c>
      <c r="J24" s="2">
        <v>3</v>
      </c>
      <c r="K24" s="2">
        <v>4</v>
      </c>
      <c r="L24" s="2">
        <v>1</v>
      </c>
      <c r="M24" s="2">
        <v>5</v>
      </c>
      <c r="N24" s="2">
        <v>1</v>
      </c>
      <c r="O24" s="4">
        <v>6</v>
      </c>
      <c r="T24" s="11"/>
      <c r="W24" s="2">
        <f>SUM(D24:G24)</f>
        <v>13</v>
      </c>
      <c r="X24" s="2">
        <f>SUM(H24:K24)</f>
        <v>11</v>
      </c>
      <c r="Y24" s="2">
        <f>SUM(L24:O24)</f>
        <v>13</v>
      </c>
      <c r="Z24" s="4">
        <f>SUM(P24:S24)</f>
        <v>0</v>
      </c>
      <c r="AA24" s="11"/>
      <c r="AB24" s="11"/>
      <c r="AC24" s="11"/>
      <c r="AD24" s="11"/>
      <c r="AE24" s="11"/>
      <c r="AF24" s="11"/>
      <c r="AG24" s="11"/>
      <c r="AH24" s="11"/>
      <c r="AI24" s="11"/>
      <c r="AK24" s="1" t="s">
        <v>99</v>
      </c>
      <c r="AL24" s="13">
        <f>(AL23-B4)/B4</f>
        <v>0.7803353965563955</v>
      </c>
    </row>
    <row r="25" spans="3:38" x14ac:dyDescent="0.25">
      <c r="U25" s="2" t="s">
        <v>172</v>
      </c>
      <c r="X25" s="2">
        <v>1.1499999999999999</v>
      </c>
      <c r="Y25" s="2">
        <v>1.45</v>
      </c>
    </row>
    <row r="26" spans="3:38" x14ac:dyDescent="0.25">
      <c r="C26" s="3" t="s">
        <v>46</v>
      </c>
    </row>
    <row r="28" spans="3:38" x14ac:dyDescent="0.25">
      <c r="C28" s="2" t="s">
        <v>50</v>
      </c>
      <c r="D28" s="18"/>
      <c r="E28" s="18">
        <v>67</v>
      </c>
      <c r="F28" s="18">
        <v>65</v>
      </c>
      <c r="G28" s="18">
        <v>62</v>
      </c>
      <c r="H28" s="18">
        <v>62</v>
      </c>
      <c r="I28" s="18">
        <v>67</v>
      </c>
      <c r="J28" s="18">
        <v>70</v>
      </c>
      <c r="K28" s="18">
        <v>79</v>
      </c>
      <c r="L28" s="18">
        <v>91</v>
      </c>
      <c r="M28" s="18">
        <v>108</v>
      </c>
      <c r="N28" s="18">
        <v>119</v>
      </c>
      <c r="O28" s="19">
        <v>137</v>
      </c>
      <c r="P28" s="1"/>
      <c r="Q28" s="1"/>
      <c r="R28" s="1"/>
      <c r="S28" s="1"/>
      <c r="T28" s="1"/>
      <c r="U28" s="1"/>
    </row>
    <row r="29" spans="3:38" x14ac:dyDescent="0.25">
      <c r="C29" s="2" t="s">
        <v>92</v>
      </c>
      <c r="D29" s="18"/>
      <c r="E29" s="18">
        <v>109</v>
      </c>
      <c r="F29" s="18">
        <v>113</v>
      </c>
      <c r="G29" s="18">
        <v>113</v>
      </c>
      <c r="H29" s="18">
        <v>116</v>
      </c>
      <c r="I29" s="18">
        <v>118</v>
      </c>
      <c r="J29" s="18">
        <v>113</v>
      </c>
      <c r="K29" s="18">
        <v>118</v>
      </c>
      <c r="L29" s="18">
        <v>116</v>
      </c>
      <c r="M29" s="18">
        <v>116</v>
      </c>
      <c r="N29" s="18">
        <v>115</v>
      </c>
      <c r="O29" s="19">
        <v>110</v>
      </c>
    </row>
    <row r="30" spans="3:38" x14ac:dyDescent="0.25">
      <c r="C30" s="2" t="s">
        <v>51</v>
      </c>
      <c r="D30" s="18"/>
      <c r="E30" s="18">
        <v>15</v>
      </c>
      <c r="F30" s="18">
        <v>13</v>
      </c>
      <c r="G30" s="18">
        <v>8</v>
      </c>
      <c r="H30" s="18">
        <v>6</v>
      </c>
      <c r="I30" s="18">
        <v>4</v>
      </c>
      <c r="J30" s="18">
        <v>2</v>
      </c>
      <c r="K30" s="18">
        <v>0</v>
      </c>
      <c r="L30" s="18">
        <v>0</v>
      </c>
      <c r="M30" s="18">
        <v>0</v>
      </c>
      <c r="N30" s="18">
        <v>0</v>
      </c>
      <c r="O30" s="19">
        <v>0</v>
      </c>
    </row>
    <row r="31" spans="3:38" x14ac:dyDescent="0.25">
      <c r="C31" s="2" t="s">
        <v>52</v>
      </c>
      <c r="D31" s="18"/>
      <c r="E31" s="18">
        <v>4159</v>
      </c>
      <c r="F31" s="18">
        <v>4605</v>
      </c>
      <c r="G31" s="18">
        <v>5115</v>
      </c>
      <c r="H31" s="18">
        <v>5146</v>
      </c>
      <c r="I31" s="18">
        <v>5072</v>
      </c>
      <c r="J31" s="18">
        <v>5327</v>
      </c>
      <c r="K31" s="18">
        <v>5237</v>
      </c>
      <c r="L31" s="18">
        <v>5147</v>
      </c>
      <c r="M31" s="18">
        <v>5092</v>
      </c>
      <c r="N31" s="18">
        <v>5070</v>
      </c>
      <c r="O31" s="19">
        <v>5022</v>
      </c>
    </row>
    <row r="32" spans="3:38" x14ac:dyDescent="0.25">
      <c r="C32" s="2" t="s">
        <v>53</v>
      </c>
      <c r="D32" s="18"/>
      <c r="E32" s="18">
        <v>443</v>
      </c>
      <c r="F32" s="18">
        <v>454</v>
      </c>
      <c r="G32" s="18">
        <v>473</v>
      </c>
      <c r="H32" s="18">
        <v>470</v>
      </c>
      <c r="I32" s="18">
        <v>474</v>
      </c>
      <c r="J32" s="18">
        <v>440</v>
      </c>
      <c r="K32" s="18">
        <v>458</v>
      </c>
      <c r="L32" s="18">
        <v>502</v>
      </c>
      <c r="M32" s="18">
        <v>560</v>
      </c>
      <c r="N32" s="18">
        <v>565</v>
      </c>
      <c r="O32" s="19">
        <v>598</v>
      </c>
    </row>
    <row r="33" spans="3:15" x14ac:dyDescent="0.25">
      <c r="C33" s="2" t="s">
        <v>54</v>
      </c>
      <c r="D33" s="18"/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9">
        <v>9</v>
      </c>
    </row>
    <row r="34" spans="3:15" x14ac:dyDescent="0.25">
      <c r="C34" s="2" t="s">
        <v>78</v>
      </c>
      <c r="D34" s="18"/>
      <c r="E34" s="18">
        <v>195</v>
      </c>
      <c r="F34" s="18">
        <v>198</v>
      </c>
      <c r="G34" s="18">
        <v>199</v>
      </c>
      <c r="H34" s="18">
        <v>189</v>
      </c>
      <c r="I34" s="18">
        <v>197</v>
      </c>
      <c r="J34" s="18">
        <v>195</v>
      </c>
      <c r="K34" s="18">
        <v>209</v>
      </c>
      <c r="L34" s="18">
        <v>200</v>
      </c>
      <c r="M34" s="18">
        <v>205</v>
      </c>
      <c r="N34" s="18">
        <v>204</v>
      </c>
      <c r="O34" s="19">
        <v>225</v>
      </c>
    </row>
    <row r="35" spans="3:15" x14ac:dyDescent="0.25">
      <c r="C35" s="2" t="s">
        <v>55</v>
      </c>
      <c r="D35" s="18"/>
      <c r="E35" s="18">
        <v>3078</v>
      </c>
      <c r="F35" s="18">
        <v>2740</v>
      </c>
      <c r="G35" s="18">
        <v>2593</v>
      </c>
      <c r="H35" s="18">
        <v>2566</v>
      </c>
      <c r="I35" s="18">
        <v>2742</v>
      </c>
      <c r="J35" s="18">
        <v>2332</v>
      </c>
      <c r="K35" s="18">
        <v>2622</v>
      </c>
      <c r="L35" s="18">
        <v>2681</v>
      </c>
      <c r="M35" s="18">
        <v>2983</v>
      </c>
      <c r="N35" s="18">
        <v>2951</v>
      </c>
      <c r="O35" s="19">
        <v>3000</v>
      </c>
    </row>
    <row r="36" spans="3:15" x14ac:dyDescent="0.25">
      <c r="C36" s="2" t="s">
        <v>56</v>
      </c>
      <c r="D36" s="18"/>
      <c r="E36" s="18">
        <v>12</v>
      </c>
      <c r="F36" s="18">
        <v>12</v>
      </c>
      <c r="G36" s="18">
        <v>27</v>
      </c>
      <c r="H36" s="18">
        <v>16</v>
      </c>
      <c r="I36" s="18">
        <v>12</v>
      </c>
      <c r="J36" s="18">
        <v>17</v>
      </c>
      <c r="K36" s="18">
        <v>16</v>
      </c>
      <c r="L36" s="18">
        <v>17</v>
      </c>
      <c r="M36" s="18">
        <v>11</v>
      </c>
      <c r="N36" s="18">
        <v>15</v>
      </c>
      <c r="O36" s="19">
        <v>15</v>
      </c>
    </row>
    <row r="37" spans="3:15" x14ac:dyDescent="0.25">
      <c r="C37" s="2" t="s">
        <v>57</v>
      </c>
      <c r="D37" s="18"/>
      <c r="E37" s="18">
        <v>40</v>
      </c>
      <c r="F37" s="18">
        <v>37</v>
      </c>
      <c r="G37" s="18">
        <v>40</v>
      </c>
      <c r="H37" s="18">
        <v>37</v>
      </c>
      <c r="I37" s="18">
        <v>43</v>
      </c>
      <c r="J37" s="18">
        <v>39</v>
      </c>
      <c r="K37" s="18">
        <v>49</v>
      </c>
      <c r="L37" s="18">
        <v>48</v>
      </c>
      <c r="M37" s="18">
        <v>54</v>
      </c>
      <c r="N37" s="18">
        <v>14</v>
      </c>
      <c r="O37" s="19">
        <v>21</v>
      </c>
    </row>
    <row r="38" spans="3:15" x14ac:dyDescent="0.25">
      <c r="C38" s="2" t="s">
        <v>58</v>
      </c>
      <c r="D38" s="18"/>
      <c r="E38" s="18">
        <v>79</v>
      </c>
      <c r="F38" s="18">
        <v>39</v>
      </c>
      <c r="G38" s="18">
        <v>42</v>
      </c>
      <c r="H38" s="18">
        <v>69</v>
      </c>
      <c r="I38" s="18">
        <v>81</v>
      </c>
      <c r="J38" s="18">
        <v>86</v>
      </c>
      <c r="K38" s="18">
        <v>140</v>
      </c>
      <c r="L38" s="18">
        <v>110</v>
      </c>
      <c r="M38" s="18">
        <v>107</v>
      </c>
      <c r="N38" s="18">
        <v>107</v>
      </c>
      <c r="O38" s="19">
        <v>117</v>
      </c>
    </row>
    <row r="39" spans="3:15" x14ac:dyDescent="0.25">
      <c r="C39" s="2" t="s">
        <v>59</v>
      </c>
      <c r="D39" s="18"/>
      <c r="E39" s="18">
        <v>132</v>
      </c>
      <c r="F39" s="18">
        <v>119</v>
      </c>
      <c r="G39" s="18">
        <v>182</v>
      </c>
      <c r="H39" s="18">
        <v>394</v>
      </c>
      <c r="I39" s="18">
        <v>100</v>
      </c>
      <c r="J39" s="18">
        <v>420</v>
      </c>
      <c r="K39" s="18">
        <v>171</v>
      </c>
      <c r="L39" s="18">
        <v>488</v>
      </c>
      <c r="M39" s="18">
        <v>138</v>
      </c>
      <c r="N39" s="18">
        <v>123</v>
      </c>
      <c r="O39" s="19">
        <v>99</v>
      </c>
    </row>
    <row r="40" spans="3:15" x14ac:dyDescent="0.25">
      <c r="C40" s="1" t="s">
        <v>60</v>
      </c>
      <c r="D40" s="16">
        <f t="shared" ref="D40:M40" si="32">SUM(D28:D39)</f>
        <v>0</v>
      </c>
      <c r="E40" s="16">
        <f t="shared" si="32"/>
        <v>8329</v>
      </c>
      <c r="F40" s="16">
        <f t="shared" si="32"/>
        <v>8395</v>
      </c>
      <c r="G40" s="16">
        <f t="shared" si="32"/>
        <v>8854</v>
      </c>
      <c r="H40" s="16">
        <f t="shared" si="32"/>
        <v>9071</v>
      </c>
      <c r="I40" s="16">
        <f t="shared" si="32"/>
        <v>8910</v>
      </c>
      <c r="J40" s="16">
        <f t="shared" si="32"/>
        <v>9041</v>
      </c>
      <c r="K40" s="16">
        <f t="shared" si="32"/>
        <v>9099</v>
      </c>
      <c r="L40" s="16">
        <f t="shared" si="32"/>
        <v>9400</v>
      </c>
      <c r="M40" s="16">
        <f t="shared" si="32"/>
        <v>9374</v>
      </c>
      <c r="N40" s="16">
        <f>SUM(N28:N39)</f>
        <v>9283</v>
      </c>
      <c r="O40" s="17">
        <f>SUM(O28:O39)</f>
        <v>9353</v>
      </c>
    </row>
    <row r="41" spans="3:15" x14ac:dyDescent="0.25">
      <c r="C41" s="2" t="s">
        <v>61</v>
      </c>
      <c r="D41" s="18"/>
      <c r="E41" s="18">
        <v>5</v>
      </c>
      <c r="F41" s="18">
        <v>5</v>
      </c>
      <c r="G41" s="18">
        <v>5</v>
      </c>
      <c r="H41" s="18">
        <v>5</v>
      </c>
      <c r="I41" s="18">
        <v>5</v>
      </c>
      <c r="J41" s="18">
        <v>5</v>
      </c>
      <c r="K41" s="18">
        <v>5</v>
      </c>
      <c r="L41" s="18">
        <v>5</v>
      </c>
      <c r="M41" s="18">
        <v>5</v>
      </c>
      <c r="N41" s="18">
        <v>5</v>
      </c>
      <c r="O41" s="19">
        <v>5</v>
      </c>
    </row>
    <row r="42" spans="3:15" x14ac:dyDescent="0.25">
      <c r="C42" s="2" t="s">
        <v>62</v>
      </c>
      <c r="D42" s="18"/>
      <c r="E42" s="18">
        <v>1</v>
      </c>
      <c r="F42" s="18">
        <v>1</v>
      </c>
      <c r="G42" s="18">
        <v>1</v>
      </c>
      <c r="H42" s="18">
        <v>1</v>
      </c>
      <c r="I42" s="18">
        <v>1</v>
      </c>
      <c r="J42" s="18">
        <v>1</v>
      </c>
      <c r="K42" s="18">
        <v>1</v>
      </c>
      <c r="L42" s="18">
        <v>1</v>
      </c>
      <c r="M42" s="18">
        <v>1</v>
      </c>
      <c r="N42" s="18">
        <v>1</v>
      </c>
      <c r="O42" s="19">
        <v>1</v>
      </c>
    </row>
    <row r="43" spans="3:15" x14ac:dyDescent="0.25">
      <c r="C43" s="2" t="s">
        <v>63</v>
      </c>
      <c r="D43" s="18"/>
      <c r="E43" s="18">
        <v>28</v>
      </c>
      <c r="F43" s="18">
        <v>-28</v>
      </c>
      <c r="G43" s="18">
        <v>-54</v>
      </c>
      <c r="H43" s="18">
        <v>-9</v>
      </c>
      <c r="I43" s="18">
        <v>-17</v>
      </c>
      <c r="J43" s="18">
        <v>-53</v>
      </c>
      <c r="K43" s="18">
        <v>-17</v>
      </c>
      <c r="L43" s="18">
        <v>-29</v>
      </c>
      <c r="M43" s="18">
        <v>-30</v>
      </c>
      <c r="N43" s="18">
        <v>-34</v>
      </c>
      <c r="O43" s="19">
        <v>-148</v>
      </c>
    </row>
    <row r="44" spans="3:15" x14ac:dyDescent="0.25">
      <c r="C44" s="2" t="s">
        <v>64</v>
      </c>
      <c r="D44" s="18"/>
      <c r="E44" s="18">
        <v>1372</v>
      </c>
      <c r="F44" s="18">
        <v>1420</v>
      </c>
      <c r="G44" s="18">
        <v>1323</v>
      </c>
      <c r="H44" s="18">
        <v>1512</v>
      </c>
      <c r="I44" s="18">
        <v>1476</v>
      </c>
      <c r="J44" s="18">
        <v>1719</v>
      </c>
      <c r="K44" s="18">
        <v>1605</v>
      </c>
      <c r="L44" s="18">
        <v>1836</v>
      </c>
      <c r="M44" s="18">
        <v>1719</v>
      </c>
      <c r="N44" s="18">
        <v>1953</v>
      </c>
      <c r="O44" s="19">
        <v>1885</v>
      </c>
    </row>
    <row r="45" spans="3:15" x14ac:dyDescent="0.25">
      <c r="C45" s="15" t="s">
        <v>65</v>
      </c>
      <c r="D45" s="20">
        <f t="shared" ref="D45:M45" si="33">SUM(D41:D44)</f>
        <v>0</v>
      </c>
      <c r="E45" s="20">
        <f t="shared" si="33"/>
        <v>1406</v>
      </c>
      <c r="F45" s="20">
        <f t="shared" si="33"/>
        <v>1398</v>
      </c>
      <c r="G45" s="20">
        <f t="shared" si="33"/>
        <v>1275</v>
      </c>
      <c r="H45" s="20">
        <f t="shared" si="33"/>
        <v>1509</v>
      </c>
      <c r="I45" s="20">
        <f t="shared" si="33"/>
        <v>1465</v>
      </c>
      <c r="J45" s="20">
        <f t="shared" si="33"/>
        <v>1672</v>
      </c>
      <c r="K45" s="20">
        <f t="shared" si="33"/>
        <v>1594</v>
      </c>
      <c r="L45" s="20">
        <f t="shared" si="33"/>
        <v>1813</v>
      </c>
      <c r="M45" s="20">
        <f t="shared" si="33"/>
        <v>1695</v>
      </c>
      <c r="N45" s="20">
        <f>SUM(N41:N44)</f>
        <v>1925</v>
      </c>
      <c r="O45" s="21">
        <f>SUM(O41:O44)</f>
        <v>1743</v>
      </c>
    </row>
    <row r="46" spans="3:15" x14ac:dyDescent="0.25">
      <c r="C46" s="2" t="s">
        <v>66</v>
      </c>
      <c r="D46" s="18"/>
      <c r="E46" s="18">
        <v>60</v>
      </c>
      <c r="F46" s="18">
        <v>57</v>
      </c>
      <c r="G46" s="18">
        <v>51</v>
      </c>
      <c r="H46" s="18">
        <v>46</v>
      </c>
      <c r="I46" s="18">
        <v>47</v>
      </c>
      <c r="J46" s="18">
        <v>20</v>
      </c>
      <c r="K46" s="18">
        <v>20</v>
      </c>
      <c r="L46" s="18">
        <v>20</v>
      </c>
      <c r="M46" s="18">
        <v>10</v>
      </c>
      <c r="N46" s="18">
        <v>0</v>
      </c>
      <c r="O46" s="19">
        <v>0</v>
      </c>
    </row>
    <row r="47" spans="3:15" x14ac:dyDescent="0.25">
      <c r="C47" s="2" t="s">
        <v>67</v>
      </c>
      <c r="D47" s="18"/>
      <c r="E47" s="18">
        <v>122</v>
      </c>
      <c r="F47" s="18">
        <v>111</v>
      </c>
      <c r="G47" s="18">
        <v>115</v>
      </c>
      <c r="H47" s="18">
        <v>118</v>
      </c>
      <c r="I47" s="18">
        <v>123</v>
      </c>
      <c r="J47" s="18">
        <v>131</v>
      </c>
      <c r="K47" s="18">
        <v>131</v>
      </c>
      <c r="L47" s="18">
        <v>130</v>
      </c>
      <c r="M47" s="18">
        <v>130</v>
      </c>
      <c r="N47" s="18">
        <v>130</v>
      </c>
      <c r="O47" s="19">
        <v>144</v>
      </c>
    </row>
    <row r="48" spans="3:15" x14ac:dyDescent="0.25">
      <c r="C48" s="2" t="s">
        <v>68</v>
      </c>
      <c r="D48" s="18"/>
      <c r="E48" s="18">
        <v>3775</v>
      </c>
      <c r="F48" s="18">
        <v>4167</v>
      </c>
      <c r="G48" s="18">
        <v>4616</v>
      </c>
      <c r="H48" s="18">
        <v>4641</v>
      </c>
      <c r="I48" s="18">
        <v>4586</v>
      </c>
      <c r="J48" s="18">
        <v>4810</v>
      </c>
      <c r="K48" s="18">
        <v>4740</v>
      </c>
      <c r="L48" s="18">
        <v>4670</v>
      </c>
      <c r="M48" s="18">
        <v>4620</v>
      </c>
      <c r="N48" s="18">
        <v>4586</v>
      </c>
      <c r="O48" s="19">
        <v>4546</v>
      </c>
    </row>
    <row r="49" spans="3:25" x14ac:dyDescent="0.25">
      <c r="C49" s="2" t="s">
        <v>69</v>
      </c>
      <c r="D49" s="18"/>
      <c r="E49" s="18">
        <v>98</v>
      </c>
      <c r="F49" s="18">
        <v>101</v>
      </c>
      <c r="G49" s="18">
        <v>70</v>
      </c>
      <c r="H49" s="18">
        <v>72</v>
      </c>
      <c r="I49" s="18">
        <v>74</v>
      </c>
      <c r="J49" s="18">
        <v>35</v>
      </c>
      <c r="K49" s="18">
        <v>36</v>
      </c>
      <c r="L49" s="18">
        <v>36</v>
      </c>
      <c r="M49" s="18">
        <v>18</v>
      </c>
      <c r="N49" s="18">
        <v>0</v>
      </c>
      <c r="O49" s="19">
        <v>0</v>
      </c>
    </row>
    <row r="50" spans="3:25" x14ac:dyDescent="0.25">
      <c r="C50" s="2" t="s">
        <v>70</v>
      </c>
      <c r="D50" s="18"/>
      <c r="E50" s="18">
        <v>530</v>
      </c>
      <c r="F50" s="18">
        <v>305</v>
      </c>
      <c r="G50" s="18">
        <v>386</v>
      </c>
      <c r="H50" s="18">
        <v>3</v>
      </c>
      <c r="I50" s="18">
        <v>93</v>
      </c>
      <c r="J50" s="18">
        <v>19</v>
      </c>
      <c r="K50" s="18">
        <v>20</v>
      </c>
      <c r="L50" s="18">
        <v>10</v>
      </c>
      <c r="M50" s="18">
        <v>146</v>
      </c>
      <c r="N50" s="18">
        <v>177</v>
      </c>
      <c r="O50" s="19">
        <v>173</v>
      </c>
    </row>
    <row r="51" spans="3:25" x14ac:dyDescent="0.25">
      <c r="C51" s="2" t="s">
        <v>68</v>
      </c>
      <c r="D51" s="18"/>
      <c r="E51" s="18">
        <v>723</v>
      </c>
      <c r="F51" s="18">
        <v>783</v>
      </c>
      <c r="G51" s="18">
        <v>848</v>
      </c>
      <c r="H51" s="18">
        <v>872</v>
      </c>
      <c r="I51" s="18">
        <v>869</v>
      </c>
      <c r="J51" s="18">
        <v>908</v>
      </c>
      <c r="K51" s="18">
        <v>905</v>
      </c>
      <c r="L51" s="18">
        <v>900</v>
      </c>
      <c r="M51" s="18">
        <v>911</v>
      </c>
      <c r="N51" s="18">
        <v>935</v>
      </c>
      <c r="O51" s="19">
        <v>936</v>
      </c>
    </row>
    <row r="52" spans="3:25" x14ac:dyDescent="0.25">
      <c r="C52" s="2" t="s">
        <v>71</v>
      </c>
      <c r="D52" s="18"/>
      <c r="E52" s="18">
        <v>805</v>
      </c>
      <c r="F52" s="18">
        <v>527</v>
      </c>
      <c r="G52" s="18">
        <v>635</v>
      </c>
      <c r="H52" s="18">
        <v>862</v>
      </c>
      <c r="I52" s="18">
        <v>789</v>
      </c>
      <c r="J52" s="18">
        <v>373</v>
      </c>
      <c r="K52" s="18">
        <v>724</v>
      </c>
      <c r="L52" s="18">
        <v>859</v>
      </c>
      <c r="M52" s="18">
        <v>961</v>
      </c>
      <c r="N52" s="18">
        <v>656</v>
      </c>
      <c r="O52" s="19">
        <v>816</v>
      </c>
    </row>
    <row r="53" spans="3:25" x14ac:dyDescent="0.25">
      <c r="C53" s="2" t="s">
        <v>89</v>
      </c>
      <c r="D53" s="18"/>
      <c r="E53" s="18">
        <v>14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9">
        <v>0</v>
      </c>
    </row>
    <row r="54" spans="3:25" x14ac:dyDescent="0.25">
      <c r="C54" s="2" t="s">
        <v>72</v>
      </c>
      <c r="D54" s="18"/>
      <c r="E54" s="18">
        <v>55</v>
      </c>
      <c r="F54" s="18">
        <v>81</v>
      </c>
      <c r="G54" s="18">
        <v>16</v>
      </c>
      <c r="H54" s="18">
        <v>34</v>
      </c>
      <c r="I54" s="18">
        <v>17</v>
      </c>
      <c r="J54" s="18">
        <v>46</v>
      </c>
      <c r="K54" s="18">
        <v>23</v>
      </c>
      <c r="L54" s="18">
        <v>53</v>
      </c>
      <c r="M54" s="18">
        <v>58</v>
      </c>
      <c r="N54" s="18">
        <v>101</v>
      </c>
      <c r="O54" s="19">
        <v>44</v>
      </c>
    </row>
    <row r="55" spans="3:25" x14ac:dyDescent="0.25">
      <c r="C55" s="2" t="s">
        <v>73</v>
      </c>
      <c r="D55" s="18"/>
      <c r="E55" s="18">
        <v>22</v>
      </c>
      <c r="F55" s="18">
        <v>22</v>
      </c>
      <c r="G55" s="18">
        <v>22</v>
      </c>
      <c r="H55" s="18">
        <v>23</v>
      </c>
      <c r="I55" s="18">
        <v>23</v>
      </c>
      <c r="J55" s="18">
        <v>23</v>
      </c>
      <c r="K55" s="18">
        <v>23</v>
      </c>
      <c r="L55" s="18">
        <v>23</v>
      </c>
      <c r="M55" s="18">
        <v>24</v>
      </c>
      <c r="N55" s="18">
        <v>24</v>
      </c>
      <c r="O55" s="19">
        <v>25</v>
      </c>
    </row>
    <row r="56" spans="3:25" x14ac:dyDescent="0.25">
      <c r="C56" s="2" t="s">
        <v>74</v>
      </c>
      <c r="D56" s="18"/>
      <c r="E56" s="18">
        <v>176</v>
      </c>
      <c r="F56" s="18">
        <v>244</v>
      </c>
      <c r="G56" s="18">
        <v>189</v>
      </c>
      <c r="H56" s="18">
        <v>273</v>
      </c>
      <c r="I56" s="18">
        <v>196</v>
      </c>
      <c r="J56" s="18">
        <v>303</v>
      </c>
      <c r="K56" s="18">
        <v>204</v>
      </c>
      <c r="L56" s="18">
        <v>271</v>
      </c>
      <c r="M56" s="18">
        <v>229</v>
      </c>
      <c r="N56" s="18">
        <v>171</v>
      </c>
      <c r="O56" s="19">
        <v>225</v>
      </c>
    </row>
    <row r="57" spans="3:25" x14ac:dyDescent="0.25">
      <c r="C57" s="2" t="s">
        <v>75</v>
      </c>
      <c r="D57" s="18"/>
      <c r="E57" s="18">
        <v>542</v>
      </c>
      <c r="F57" s="18">
        <v>598</v>
      </c>
      <c r="G57" s="18">
        <v>630</v>
      </c>
      <c r="H57" s="18">
        <v>619</v>
      </c>
      <c r="I57" s="18">
        <v>626</v>
      </c>
      <c r="J57" s="18">
        <v>702</v>
      </c>
      <c r="K57" s="18">
        <v>678</v>
      </c>
      <c r="L57" s="18">
        <v>615</v>
      </c>
      <c r="M57" s="18">
        <v>571</v>
      </c>
      <c r="N57" s="18">
        <v>578</v>
      </c>
      <c r="O57" s="19">
        <v>701</v>
      </c>
    </row>
    <row r="58" spans="3:25" x14ac:dyDescent="0.25">
      <c r="C58" s="15" t="s">
        <v>76</v>
      </c>
      <c r="D58" s="20">
        <f t="shared" ref="D58:M58" si="34">SUM(D46:D57)</f>
        <v>0</v>
      </c>
      <c r="E58" s="20">
        <f t="shared" si="34"/>
        <v>6922</v>
      </c>
      <c r="F58" s="20">
        <f>SUM(F46:F57)</f>
        <v>6996</v>
      </c>
      <c r="G58" s="20">
        <f t="shared" si="34"/>
        <v>7578</v>
      </c>
      <c r="H58" s="20">
        <f t="shared" si="34"/>
        <v>7563</v>
      </c>
      <c r="I58" s="20">
        <f t="shared" si="34"/>
        <v>7443</v>
      </c>
      <c r="J58" s="20">
        <f t="shared" si="34"/>
        <v>7370</v>
      </c>
      <c r="K58" s="20">
        <f t="shared" si="34"/>
        <v>7504</v>
      </c>
      <c r="L58" s="20">
        <f t="shared" si="34"/>
        <v>7587</v>
      </c>
      <c r="M58" s="20">
        <f t="shared" si="34"/>
        <v>7678</v>
      </c>
      <c r="N58" s="20">
        <f>SUM(N46:N57)</f>
        <v>7358</v>
      </c>
      <c r="O58" s="21">
        <f>SUM(O46:O57)</f>
        <v>7610</v>
      </c>
    </row>
    <row r="59" spans="3:25" x14ac:dyDescent="0.25">
      <c r="C59" s="1" t="s">
        <v>77</v>
      </c>
      <c r="D59" s="16">
        <f t="shared" ref="D59:M59" si="35">D58+D45</f>
        <v>0</v>
      </c>
      <c r="E59" s="16">
        <f t="shared" si="35"/>
        <v>8328</v>
      </c>
      <c r="F59" s="16">
        <f t="shared" si="35"/>
        <v>8394</v>
      </c>
      <c r="G59" s="16">
        <f t="shared" si="35"/>
        <v>8853</v>
      </c>
      <c r="H59" s="16">
        <f t="shared" si="35"/>
        <v>9072</v>
      </c>
      <c r="I59" s="16">
        <f t="shared" si="35"/>
        <v>8908</v>
      </c>
      <c r="J59" s="16">
        <f t="shared" si="35"/>
        <v>9042</v>
      </c>
      <c r="K59" s="16">
        <f t="shared" si="35"/>
        <v>9098</v>
      </c>
      <c r="L59" s="16">
        <f t="shared" si="35"/>
        <v>9400</v>
      </c>
      <c r="M59" s="16">
        <f t="shared" si="35"/>
        <v>9373</v>
      </c>
      <c r="N59" s="16">
        <f>N58+N45</f>
        <v>9283</v>
      </c>
      <c r="O59" s="17">
        <f>O58+O45</f>
        <v>9353</v>
      </c>
    </row>
    <row r="60" spans="3:25" x14ac:dyDescent="0.25"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3:25" x14ac:dyDescent="0.25">
      <c r="C61" s="3" t="s">
        <v>109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3:25" x14ac:dyDescent="0.25">
      <c r="C62" s="2" t="s">
        <v>111</v>
      </c>
      <c r="D62" s="18">
        <f t="shared" ref="D62:M62" si="36">D11</f>
        <v>0</v>
      </c>
      <c r="E62" s="18">
        <f t="shared" si="36"/>
        <v>65</v>
      </c>
      <c r="F62" s="18">
        <f t="shared" si="36"/>
        <v>292</v>
      </c>
      <c r="G62" s="18">
        <f t="shared" si="36"/>
        <v>-57</v>
      </c>
      <c r="H62" s="18">
        <f t="shared" si="36"/>
        <v>297</v>
      </c>
      <c r="I62" s="18">
        <f t="shared" si="36"/>
        <v>139</v>
      </c>
      <c r="J62" s="18">
        <f t="shared" si="36"/>
        <v>367</v>
      </c>
      <c r="K62" s="18">
        <f t="shared" si="36"/>
        <v>-49</v>
      </c>
      <c r="L62" s="18">
        <f t="shared" si="36"/>
        <v>350</v>
      </c>
      <c r="M62" s="18">
        <f t="shared" si="36"/>
        <v>135</v>
      </c>
      <c r="N62" s="18">
        <f>N11</f>
        <v>383</v>
      </c>
      <c r="O62" s="19">
        <f>O11</f>
        <v>-16</v>
      </c>
      <c r="X62" s="18">
        <f>X11</f>
        <v>753</v>
      </c>
      <c r="Y62" s="18">
        <f>Y11</f>
        <v>852</v>
      </c>
    </row>
    <row r="63" spans="3:25" x14ac:dyDescent="0.25">
      <c r="C63" s="2" t="s">
        <v>112</v>
      </c>
      <c r="D63" s="18"/>
      <c r="E63" s="18">
        <v>65</v>
      </c>
      <c r="F63" s="18">
        <v>292</v>
      </c>
      <c r="G63" s="18">
        <v>-57</v>
      </c>
      <c r="H63" s="18">
        <v>296</v>
      </c>
      <c r="I63" s="18">
        <v>139</v>
      </c>
      <c r="J63" s="18">
        <v>367</v>
      </c>
      <c r="K63" s="18">
        <v>-49</v>
      </c>
      <c r="L63" s="18">
        <v>351</v>
      </c>
      <c r="M63" s="18">
        <v>135</v>
      </c>
      <c r="N63" s="18">
        <v>383</v>
      </c>
      <c r="O63" s="4">
        <v>-15</v>
      </c>
    </row>
    <row r="64" spans="3:25" x14ac:dyDescent="0.25">
      <c r="C64" s="2" t="s">
        <v>113</v>
      </c>
      <c r="D64" s="18"/>
      <c r="E64" s="18">
        <v>206</v>
      </c>
      <c r="F64" s="18">
        <v>207</v>
      </c>
      <c r="G64" s="18">
        <v>228</v>
      </c>
      <c r="H64" s="18">
        <v>228</v>
      </c>
      <c r="I64" s="18">
        <v>235</v>
      </c>
      <c r="J64" s="18">
        <v>236</v>
      </c>
      <c r="K64" s="18">
        <v>242</v>
      </c>
      <c r="L64" s="18">
        <v>237</v>
      </c>
      <c r="M64" s="18">
        <v>240</v>
      </c>
      <c r="N64" s="18">
        <v>241</v>
      </c>
      <c r="O64" s="4">
        <v>247</v>
      </c>
    </row>
    <row r="65" spans="3:17" x14ac:dyDescent="0.25">
      <c r="C65" s="2" t="s">
        <v>114</v>
      </c>
      <c r="D65" s="18"/>
      <c r="E65" s="18">
        <v>0</v>
      </c>
      <c r="F65" s="18">
        <v>0</v>
      </c>
      <c r="G65" s="18">
        <v>1</v>
      </c>
      <c r="H65" s="18">
        <v>0</v>
      </c>
      <c r="I65" s="18">
        <v>0</v>
      </c>
      <c r="J65" s="18">
        <v>0</v>
      </c>
      <c r="K65" s="18">
        <v>1</v>
      </c>
      <c r="L65" s="18">
        <v>0</v>
      </c>
      <c r="M65" s="18">
        <v>0</v>
      </c>
      <c r="N65" s="18">
        <v>0</v>
      </c>
      <c r="O65" s="4">
        <v>0</v>
      </c>
    </row>
    <row r="66" spans="3:17" x14ac:dyDescent="0.25">
      <c r="C66" s="2" t="s">
        <v>115</v>
      </c>
      <c r="D66" s="18"/>
      <c r="E66" s="18">
        <v>4</v>
      </c>
      <c r="F66" s="18">
        <v>0</v>
      </c>
      <c r="G66" s="18">
        <v>8</v>
      </c>
      <c r="H66" s="18">
        <v>1</v>
      </c>
      <c r="I66" s="18">
        <v>-1</v>
      </c>
      <c r="J66" s="18">
        <v>0</v>
      </c>
      <c r="K66" s="18">
        <v>0</v>
      </c>
      <c r="L66" s="18">
        <v>0</v>
      </c>
      <c r="M66" s="18">
        <v>-2</v>
      </c>
      <c r="N66" s="18">
        <v>1</v>
      </c>
      <c r="O66" s="4">
        <v>22</v>
      </c>
    </row>
    <row r="67" spans="3:17" x14ac:dyDescent="0.25">
      <c r="C67" s="2" t="s">
        <v>73</v>
      </c>
      <c r="D67" s="18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1</v>
      </c>
      <c r="K67" s="18">
        <v>1</v>
      </c>
      <c r="L67" s="18">
        <v>1</v>
      </c>
      <c r="M67" s="18">
        <v>0</v>
      </c>
      <c r="N67" s="18">
        <v>2</v>
      </c>
      <c r="O67" s="4">
        <v>1</v>
      </c>
    </row>
    <row r="68" spans="3:17" x14ac:dyDescent="0.25">
      <c r="C68" s="2" t="s">
        <v>116</v>
      </c>
      <c r="D68" s="18"/>
      <c r="E68" s="18">
        <v>0</v>
      </c>
      <c r="F68" s="18">
        <v>1</v>
      </c>
      <c r="G68" s="18">
        <v>1</v>
      </c>
      <c r="H68" s="18">
        <v>2</v>
      </c>
      <c r="I68" s="18">
        <v>2</v>
      </c>
      <c r="J68" s="18">
        <v>6</v>
      </c>
      <c r="K68" s="18">
        <v>2</v>
      </c>
      <c r="L68" s="18">
        <v>6</v>
      </c>
      <c r="M68" s="18">
        <v>4</v>
      </c>
      <c r="N68" s="18">
        <v>5</v>
      </c>
      <c r="O68" s="4">
        <v>2</v>
      </c>
    </row>
    <row r="69" spans="3:17" x14ac:dyDescent="0.25">
      <c r="C69" s="2" t="s">
        <v>117</v>
      </c>
      <c r="D69" s="18"/>
      <c r="E69" s="18">
        <v>-41</v>
      </c>
      <c r="F69" s="18">
        <v>-45</v>
      </c>
      <c r="G69" s="18">
        <v>-54</v>
      </c>
      <c r="H69" s="18">
        <v>-58</v>
      </c>
      <c r="I69" s="18">
        <v>-60</v>
      </c>
      <c r="J69" s="18">
        <v>-61</v>
      </c>
      <c r="K69" s="18">
        <v>-62</v>
      </c>
      <c r="L69" s="18">
        <v>-63</v>
      </c>
      <c r="M69" s="18">
        <v>-64</v>
      </c>
      <c r="N69" s="18">
        <v>-63</v>
      </c>
      <c r="O69" s="4">
        <v>-64</v>
      </c>
    </row>
    <row r="70" spans="3:17" x14ac:dyDescent="0.25">
      <c r="C70" s="2" t="s">
        <v>118</v>
      </c>
      <c r="D70" s="18"/>
      <c r="E70" s="18">
        <v>-34</v>
      </c>
      <c r="F70" s="2">
        <v>-36</v>
      </c>
      <c r="G70" s="18">
        <v>-38</v>
      </c>
      <c r="H70" s="18">
        <v>-21</v>
      </c>
      <c r="I70" s="18">
        <v>-40</v>
      </c>
      <c r="J70" s="18">
        <v>-24</v>
      </c>
      <c r="K70" s="18">
        <v>-27</v>
      </c>
      <c r="L70" s="18">
        <v>-23</v>
      </c>
      <c r="M70" s="18">
        <v>-18</v>
      </c>
      <c r="N70" s="18">
        <v>-22</v>
      </c>
      <c r="O70" s="4">
        <v>-33</v>
      </c>
    </row>
    <row r="71" spans="3:17" x14ac:dyDescent="0.25">
      <c r="C71" s="2" t="s">
        <v>119</v>
      </c>
      <c r="E71" s="2">
        <f>-216+6-213</f>
        <v>-423</v>
      </c>
      <c r="F71" s="2">
        <f>345-32-130</f>
        <v>183</v>
      </c>
      <c r="G71" s="2">
        <v>152</v>
      </c>
      <c r="H71" s="2">
        <v>314</v>
      </c>
      <c r="I71" s="2">
        <v>-279</v>
      </c>
      <c r="J71" s="2">
        <v>73</v>
      </c>
      <c r="K71" s="2">
        <v>-70</v>
      </c>
      <c r="L71" s="2">
        <v>97</v>
      </c>
      <c r="M71" s="2">
        <v>-297</v>
      </c>
      <c r="N71" s="2">
        <v>-299</v>
      </c>
      <c r="O71" s="4">
        <v>112</v>
      </c>
    </row>
    <row r="72" spans="3:17" x14ac:dyDescent="0.25">
      <c r="C72" s="1" t="s">
        <v>79</v>
      </c>
      <c r="D72" s="16">
        <f t="shared" ref="D72:M72" si="37">SUM(D63:D71)</f>
        <v>0</v>
      </c>
      <c r="E72" s="16">
        <f t="shared" si="37"/>
        <v>-223</v>
      </c>
      <c r="F72" s="16">
        <f>SUM(F63:F71)</f>
        <v>602</v>
      </c>
      <c r="G72" s="16">
        <f>SUM(G63:G71)</f>
        <v>241</v>
      </c>
      <c r="H72" s="16">
        <f t="shared" si="37"/>
        <v>762</v>
      </c>
      <c r="I72" s="16">
        <f t="shared" si="37"/>
        <v>-4</v>
      </c>
      <c r="J72" s="16">
        <f t="shared" si="37"/>
        <v>598</v>
      </c>
      <c r="K72" s="16">
        <f t="shared" si="37"/>
        <v>38</v>
      </c>
      <c r="L72" s="16">
        <f t="shared" si="37"/>
        <v>606</v>
      </c>
      <c r="M72" s="16">
        <f t="shared" si="37"/>
        <v>-2</v>
      </c>
      <c r="N72" s="16">
        <f>SUM(N63:N71)</f>
        <v>248</v>
      </c>
      <c r="O72" s="17">
        <f>SUM(O63:O71)</f>
        <v>272</v>
      </c>
      <c r="P72" s="1"/>
      <c r="Q72" s="1"/>
    </row>
    <row r="74" spans="3:17" x14ac:dyDescent="0.25">
      <c r="C74" s="2" t="s">
        <v>120</v>
      </c>
      <c r="E74" s="2">
        <f>-4-41</f>
        <v>-45</v>
      </c>
      <c r="F74" s="2">
        <f>-65</f>
        <v>-65</v>
      </c>
      <c r="G74" s="2">
        <f>-2-38</f>
        <v>-40</v>
      </c>
      <c r="H74" s="2">
        <f>-4-27</f>
        <v>-31</v>
      </c>
      <c r="I74" s="2">
        <f>-10-40</f>
        <v>-50</v>
      </c>
      <c r="J74" s="2">
        <f>-9-14</f>
        <v>-23</v>
      </c>
      <c r="K74" s="2">
        <f>-13-49</f>
        <v>-62</v>
      </c>
      <c r="L74" s="2">
        <f>-17-86</f>
        <v>-103</v>
      </c>
      <c r="M74" s="2">
        <f>-21-97</f>
        <v>-118</v>
      </c>
      <c r="N74" s="2">
        <f>-11-39</f>
        <v>-50</v>
      </c>
      <c r="O74" s="4">
        <v>-134</v>
      </c>
    </row>
    <row r="75" spans="3:17" x14ac:dyDescent="0.25">
      <c r="C75" s="1" t="s">
        <v>81</v>
      </c>
      <c r="D75" s="1">
        <f t="shared" ref="D75:M75" si="38">D74</f>
        <v>0</v>
      </c>
      <c r="E75" s="1">
        <f t="shared" si="38"/>
        <v>-45</v>
      </c>
      <c r="F75" s="1">
        <f t="shared" si="38"/>
        <v>-65</v>
      </c>
      <c r="G75" s="1">
        <f t="shared" si="38"/>
        <v>-40</v>
      </c>
      <c r="H75" s="1">
        <f t="shared" si="38"/>
        <v>-31</v>
      </c>
      <c r="I75" s="1">
        <f t="shared" si="38"/>
        <v>-50</v>
      </c>
      <c r="J75" s="1">
        <f t="shared" si="38"/>
        <v>-23</v>
      </c>
      <c r="K75" s="1">
        <f t="shared" si="38"/>
        <v>-62</v>
      </c>
      <c r="L75" s="1">
        <f t="shared" si="38"/>
        <v>-103</v>
      </c>
      <c r="M75" s="1">
        <f t="shared" si="38"/>
        <v>-118</v>
      </c>
      <c r="N75" s="1">
        <f>N74</f>
        <v>-50</v>
      </c>
      <c r="O75" s="25">
        <f>O74</f>
        <v>-134</v>
      </c>
      <c r="P75" s="1"/>
    </row>
    <row r="77" spans="3:17" x14ac:dyDescent="0.25">
      <c r="C77" s="2" t="s">
        <v>121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L77" s="2">
        <v>0</v>
      </c>
      <c r="M77" s="2">
        <v>0</v>
      </c>
      <c r="N77" s="2">
        <v>-24</v>
      </c>
      <c r="O77" s="4">
        <v>0</v>
      </c>
    </row>
    <row r="78" spans="3:17" x14ac:dyDescent="0.25">
      <c r="C78" s="2" t="s">
        <v>122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-22</v>
      </c>
      <c r="L78" s="2">
        <v>0</v>
      </c>
      <c r="M78" s="2">
        <v>0</v>
      </c>
      <c r="N78" s="2">
        <v>0</v>
      </c>
      <c r="O78" s="4">
        <v>0</v>
      </c>
    </row>
    <row r="79" spans="3:17" x14ac:dyDescent="0.25">
      <c r="C79" s="2" t="s">
        <v>123</v>
      </c>
      <c r="E79" s="2">
        <v>387</v>
      </c>
      <c r="F79" s="2">
        <v>-244</v>
      </c>
      <c r="G79" s="2">
        <v>43</v>
      </c>
      <c r="H79" s="2">
        <v>-361</v>
      </c>
      <c r="I79" s="2">
        <v>60</v>
      </c>
      <c r="J79" s="2">
        <v>-71</v>
      </c>
      <c r="K79" s="2">
        <v>0</v>
      </c>
      <c r="L79" s="2">
        <v>0</v>
      </c>
      <c r="M79" s="2">
        <v>123</v>
      </c>
      <c r="N79" s="2">
        <v>29</v>
      </c>
      <c r="O79" s="4">
        <v>-15</v>
      </c>
    </row>
    <row r="80" spans="3:17" x14ac:dyDescent="0.25">
      <c r="C80" s="2" t="s">
        <v>124</v>
      </c>
      <c r="E80" s="2">
        <v>-3</v>
      </c>
      <c r="F80" s="2">
        <v>-8</v>
      </c>
      <c r="G80" s="2">
        <v>0</v>
      </c>
      <c r="H80" s="2">
        <v>-3</v>
      </c>
      <c r="I80" s="2">
        <v>-3</v>
      </c>
      <c r="J80" s="2">
        <v>-12</v>
      </c>
      <c r="K80" s="2">
        <v>-8</v>
      </c>
      <c r="L80" s="2">
        <v>-10</v>
      </c>
      <c r="M80" s="2">
        <v>0</v>
      </c>
      <c r="N80" s="2">
        <v>-10</v>
      </c>
      <c r="O80" s="4">
        <v>0</v>
      </c>
    </row>
    <row r="81" spans="3:15" x14ac:dyDescent="0.25">
      <c r="C81" s="2" t="s">
        <v>125</v>
      </c>
      <c r="E81" s="2">
        <v>-164</v>
      </c>
      <c r="F81" s="2">
        <v>-146</v>
      </c>
      <c r="G81" s="2">
        <v>-184</v>
      </c>
      <c r="H81" s="2">
        <v>-157</v>
      </c>
      <c r="I81" s="2">
        <v>-195</v>
      </c>
      <c r="J81" s="2">
        <v>-171</v>
      </c>
      <c r="K81" s="2">
        <v>-190</v>
      </c>
      <c r="L81" s="2">
        <v>-174</v>
      </c>
      <c r="M81" s="2">
        <v>-180</v>
      </c>
      <c r="N81" s="2">
        <v>-208</v>
      </c>
      <c r="O81" s="4">
        <v>-147</v>
      </c>
    </row>
    <row r="82" spans="3:15" x14ac:dyDescent="0.25">
      <c r="C82" s="2" t="s">
        <v>126</v>
      </c>
      <c r="E82" s="2">
        <v>0</v>
      </c>
      <c r="F82" s="2">
        <v>-152</v>
      </c>
      <c r="G82" s="2">
        <v>0</v>
      </c>
      <c r="H82" s="2">
        <v>0</v>
      </c>
      <c r="I82" s="2">
        <v>-105</v>
      </c>
      <c r="J82" s="2">
        <v>0</v>
      </c>
      <c r="K82" s="2">
        <v>0</v>
      </c>
      <c r="L82" s="2">
        <v>0</v>
      </c>
      <c r="M82" s="2">
        <v>-174</v>
      </c>
      <c r="N82" s="2">
        <v>0</v>
      </c>
      <c r="O82" s="4">
        <v>0</v>
      </c>
    </row>
    <row r="83" spans="3:15" x14ac:dyDescent="0.25">
      <c r="C83" s="1" t="s">
        <v>80</v>
      </c>
      <c r="D83" s="1">
        <f t="shared" ref="D83:L83" si="39">SUM(D77:D82)</f>
        <v>0</v>
      </c>
      <c r="E83" s="1">
        <f t="shared" si="39"/>
        <v>220</v>
      </c>
      <c r="F83" s="1">
        <f t="shared" si="39"/>
        <v>-550</v>
      </c>
      <c r="G83" s="1">
        <f t="shared" si="39"/>
        <v>-141</v>
      </c>
      <c r="H83" s="1">
        <f t="shared" si="39"/>
        <v>-521</v>
      </c>
      <c r="I83" s="1">
        <f t="shared" si="39"/>
        <v>-243</v>
      </c>
      <c r="J83" s="1">
        <f t="shared" si="39"/>
        <v>-254</v>
      </c>
      <c r="K83" s="1">
        <f t="shared" si="39"/>
        <v>-220</v>
      </c>
      <c r="L83" s="1">
        <f t="shared" si="39"/>
        <v>-184</v>
      </c>
      <c r="M83" s="1">
        <f>SUM(M77:M82)</f>
        <v>-231</v>
      </c>
      <c r="N83" s="1">
        <f>SUM(N77:N82)</f>
        <v>-213</v>
      </c>
      <c r="O83" s="25">
        <f>SUM(O77:O82)</f>
        <v>-162</v>
      </c>
    </row>
    <row r="85" spans="3:15" x14ac:dyDescent="0.25">
      <c r="C85" s="2" t="s">
        <v>127</v>
      </c>
      <c r="E85" s="2">
        <v>0</v>
      </c>
      <c r="F85" s="2">
        <v>0</v>
      </c>
      <c r="G85" s="2">
        <v>4</v>
      </c>
      <c r="H85" s="2">
        <v>0</v>
      </c>
      <c r="I85" s="2">
        <v>0</v>
      </c>
      <c r="J85" s="2">
        <v>0</v>
      </c>
      <c r="K85" s="2">
        <v>-4</v>
      </c>
      <c r="L85" s="2">
        <v>-2</v>
      </c>
      <c r="M85" s="2">
        <v>0</v>
      </c>
      <c r="N85" s="2">
        <v>1</v>
      </c>
      <c r="O85" s="4">
        <v>0</v>
      </c>
    </row>
    <row r="87" spans="3:15" x14ac:dyDescent="0.25">
      <c r="C87" s="2" t="s">
        <v>128</v>
      </c>
      <c r="D87" s="18">
        <f t="shared" ref="D87:M87" si="40">D72+D75+D83+D85</f>
        <v>0</v>
      </c>
      <c r="E87" s="18">
        <f t="shared" si="40"/>
        <v>-48</v>
      </c>
      <c r="F87" s="18">
        <f t="shared" si="40"/>
        <v>-13</v>
      </c>
      <c r="G87" s="18">
        <f t="shared" si="40"/>
        <v>64</v>
      </c>
      <c r="H87" s="18">
        <f t="shared" si="40"/>
        <v>210</v>
      </c>
      <c r="I87" s="18">
        <f t="shared" si="40"/>
        <v>-297</v>
      </c>
      <c r="J87" s="18">
        <f t="shared" si="40"/>
        <v>321</v>
      </c>
      <c r="K87" s="18">
        <f t="shared" si="40"/>
        <v>-248</v>
      </c>
      <c r="L87" s="18">
        <f t="shared" si="40"/>
        <v>317</v>
      </c>
      <c r="M87" s="18">
        <f t="shared" si="40"/>
        <v>-351</v>
      </c>
      <c r="N87" s="18">
        <f>N72+N75+N83+N85</f>
        <v>-14</v>
      </c>
      <c r="O87" s="19">
        <f>O72+O75+O83+O85</f>
        <v>-24</v>
      </c>
    </row>
    <row r="89" spans="3:15" x14ac:dyDescent="0.25">
      <c r="C89" s="2" t="s">
        <v>129</v>
      </c>
      <c r="D89" s="18">
        <f t="shared" ref="D89:M89" si="41">D72+D74</f>
        <v>0</v>
      </c>
      <c r="E89" s="18">
        <f t="shared" si="41"/>
        <v>-268</v>
      </c>
      <c r="F89" s="18">
        <f t="shared" si="41"/>
        <v>537</v>
      </c>
      <c r="G89" s="18">
        <f t="shared" si="41"/>
        <v>201</v>
      </c>
      <c r="H89" s="18">
        <f t="shared" si="41"/>
        <v>731</v>
      </c>
      <c r="I89" s="18">
        <f t="shared" si="41"/>
        <v>-54</v>
      </c>
      <c r="J89" s="18">
        <f t="shared" si="41"/>
        <v>575</v>
      </c>
      <c r="K89" s="18">
        <f t="shared" si="41"/>
        <v>-24</v>
      </c>
      <c r="L89" s="18">
        <f t="shared" si="41"/>
        <v>503</v>
      </c>
      <c r="M89" s="18">
        <f t="shared" si="41"/>
        <v>-120</v>
      </c>
      <c r="N89" s="18">
        <f>N72+N74</f>
        <v>198</v>
      </c>
      <c r="O89" s="19">
        <f>O72+O74</f>
        <v>138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8E0-3BA5-6740-BE74-082DF7085DA4}">
  <dimension ref="B3:V28"/>
  <sheetViews>
    <sheetView showGridLines="0" workbookViewId="0">
      <pane xSplit="2" ySplit="5" topLeftCell="M6" activePane="bottomRight" state="frozen"/>
      <selection pane="topRight" activeCell="C1" sqref="C1"/>
      <selection pane="bottomLeft" activeCell="A6" sqref="A6"/>
      <selection pane="bottomRight" activeCell="S15" sqref="S15"/>
    </sheetView>
  </sheetViews>
  <sheetFormatPr baseColWidth="10" defaultRowHeight="19" x14ac:dyDescent="0.25"/>
  <cols>
    <col min="1" max="1" width="4.33203125" style="2" customWidth="1"/>
    <col min="2" max="2" width="25.83203125" style="2" customWidth="1"/>
    <col min="3" max="3" width="17.1640625" style="2" customWidth="1"/>
    <col min="4" max="4" width="17.5" style="2" customWidth="1"/>
    <col min="5" max="5" width="16.83203125" style="2" customWidth="1"/>
    <col min="6" max="7" width="16.6640625" style="2" customWidth="1"/>
    <col min="8" max="8" width="17.33203125" style="2" customWidth="1"/>
    <col min="9" max="9" width="17" style="2" customWidth="1"/>
    <col min="10" max="12" width="17.33203125" style="2" customWidth="1"/>
    <col min="13" max="13" width="17.1640625" style="2" customWidth="1"/>
    <col min="14" max="14" width="17" style="2" customWidth="1"/>
    <col min="15" max="15" width="17.5" style="2" customWidth="1"/>
    <col min="16" max="18" width="18" style="2" customWidth="1"/>
    <col min="19" max="20" width="17.5" style="2" customWidth="1"/>
    <col min="21" max="21" width="15.6640625" style="2" bestFit="1" customWidth="1"/>
    <col min="22" max="22" width="15.33203125" style="2" customWidth="1"/>
    <col min="23" max="16384" width="10.83203125" style="2"/>
  </cols>
  <sheetData>
    <row r="3" spans="2:22" x14ac:dyDescent="0.25">
      <c r="C3" s="7" t="s">
        <v>110</v>
      </c>
      <c r="D3" s="7" t="s">
        <v>88</v>
      </c>
      <c r="E3" s="7" t="s">
        <v>49</v>
      </c>
      <c r="F3" s="7" t="s">
        <v>87</v>
      </c>
      <c r="H3" s="7" t="s">
        <v>85</v>
      </c>
      <c r="I3" s="7" t="s">
        <v>83</v>
      </c>
      <c r="J3" s="7" t="s">
        <v>48</v>
      </c>
      <c r="K3" s="7" t="s">
        <v>86</v>
      </c>
      <c r="M3" s="7" t="s">
        <v>84</v>
      </c>
      <c r="N3" s="7" t="s">
        <v>82</v>
      </c>
      <c r="O3" s="7" t="s">
        <v>47</v>
      </c>
      <c r="P3" s="7" t="s">
        <v>93</v>
      </c>
      <c r="R3" s="7" t="s">
        <v>104</v>
      </c>
      <c r="S3" s="7" t="s">
        <v>105</v>
      </c>
      <c r="T3" s="7" t="s">
        <v>106</v>
      </c>
      <c r="U3" s="7" t="s">
        <v>107</v>
      </c>
    </row>
    <row r="5" spans="2:22" x14ac:dyDescent="0.25">
      <c r="B5" s="2" t="s">
        <v>130</v>
      </c>
      <c r="C5" s="7" t="s">
        <v>3</v>
      </c>
      <c r="D5" s="7" t="s">
        <v>4</v>
      </c>
      <c r="E5" s="7" t="s">
        <v>5</v>
      </c>
      <c r="F5" s="7" t="s">
        <v>6</v>
      </c>
      <c r="G5" s="31" t="s">
        <v>145</v>
      </c>
      <c r="H5" s="7" t="s">
        <v>7</v>
      </c>
      <c r="I5" s="7" t="s">
        <v>8</v>
      </c>
      <c r="J5" s="7" t="s">
        <v>9</v>
      </c>
      <c r="K5" s="7" t="s">
        <v>10</v>
      </c>
      <c r="L5" s="38" t="s">
        <v>144</v>
      </c>
      <c r="M5" s="7" t="s">
        <v>11</v>
      </c>
      <c r="N5" s="7" t="s">
        <v>12</v>
      </c>
      <c r="O5" s="7" t="s">
        <v>13</v>
      </c>
      <c r="P5" s="7" t="s">
        <v>14</v>
      </c>
      <c r="Q5" s="38" t="s">
        <v>143</v>
      </c>
      <c r="R5" s="7" t="s">
        <v>100</v>
      </c>
      <c r="S5" s="7" t="s">
        <v>101</v>
      </c>
      <c r="T5" s="7" t="s">
        <v>102</v>
      </c>
      <c r="U5" s="7" t="s">
        <v>103</v>
      </c>
      <c r="V5" s="38" t="s">
        <v>147</v>
      </c>
    </row>
    <row r="6" spans="2:22" x14ac:dyDescent="0.25">
      <c r="B6" s="1" t="s">
        <v>131</v>
      </c>
      <c r="G6" s="1"/>
      <c r="L6" s="39"/>
      <c r="Q6" s="39"/>
      <c r="V6" s="39"/>
    </row>
    <row r="7" spans="2:22" x14ac:dyDescent="0.25">
      <c r="B7" s="2" t="s">
        <v>132</v>
      </c>
      <c r="C7" s="18">
        <f>H7*0.947</f>
        <v>1577.702</v>
      </c>
      <c r="D7" s="18">
        <v>1351</v>
      </c>
      <c r="E7" s="18">
        <v>1777</v>
      </c>
      <c r="F7" s="18">
        <v>1301</v>
      </c>
      <c r="G7" s="16">
        <f>SUM(C7:F7)</f>
        <v>6006.7020000000002</v>
      </c>
      <c r="H7" s="18">
        <v>1666</v>
      </c>
      <c r="I7" s="18">
        <v>1502</v>
      </c>
      <c r="J7" s="18">
        <v>1881</v>
      </c>
      <c r="K7" s="18">
        <v>1333</v>
      </c>
      <c r="L7" s="40">
        <f>SUM(H7:K7)</f>
        <v>6382</v>
      </c>
      <c r="M7" s="18">
        <v>1715</v>
      </c>
      <c r="N7" s="18">
        <v>1559</v>
      </c>
      <c r="O7" s="18">
        <v>2071</v>
      </c>
      <c r="P7" s="18">
        <v>1518</v>
      </c>
      <c r="Q7" s="40">
        <f>SUM(M7:P7)</f>
        <v>6863</v>
      </c>
      <c r="R7" s="18"/>
      <c r="S7" s="18"/>
      <c r="T7" s="18"/>
      <c r="V7" s="40">
        <f>SUM(R7:U7)</f>
        <v>0</v>
      </c>
    </row>
    <row r="8" spans="2:22" x14ac:dyDescent="0.25">
      <c r="B8" s="15" t="s">
        <v>133</v>
      </c>
      <c r="C8" s="30"/>
      <c r="D8" s="30">
        <v>6.6000000000000003E-2</v>
      </c>
      <c r="E8" s="30">
        <v>3.9E-2</v>
      </c>
      <c r="F8" s="30">
        <v>4.5999999999999999E-2</v>
      </c>
      <c r="G8" s="34"/>
      <c r="H8" s="30">
        <v>5.7000000000000002E-2</v>
      </c>
      <c r="I8" s="30">
        <v>0.112</v>
      </c>
      <c r="J8" s="30">
        <v>5.8000000000000003E-2</v>
      </c>
      <c r="K8" s="30">
        <v>2.5000000000000001E-2</v>
      </c>
      <c r="L8" s="41">
        <f>(L7-G7)/G7</f>
        <v>6.2479876644454771E-2</v>
      </c>
      <c r="M8" s="30">
        <v>2.9000000000000001E-2</v>
      </c>
      <c r="N8" s="30">
        <v>3.7999999999999999E-2</v>
      </c>
      <c r="O8" s="30">
        <v>0.10100000000000001</v>
      </c>
      <c r="P8" s="30">
        <v>0.13800000000000001</v>
      </c>
      <c r="Q8" s="41">
        <f>(Q7-L7)/L7</f>
        <v>7.5368223127546222E-2</v>
      </c>
      <c r="R8" s="30"/>
      <c r="S8" s="30"/>
      <c r="T8" s="30"/>
      <c r="V8" s="41">
        <f>(V7-Q7)/Q7</f>
        <v>-1</v>
      </c>
    </row>
    <row r="9" spans="2:22" x14ac:dyDescent="0.25">
      <c r="B9" s="15" t="s">
        <v>134</v>
      </c>
      <c r="C9" s="30"/>
      <c r="D9" s="30">
        <v>0.04</v>
      </c>
      <c r="E9" s="30">
        <v>2.8000000000000001E-2</v>
      </c>
      <c r="F9" s="30">
        <v>3.4000000000000002E-2</v>
      </c>
      <c r="G9" s="34"/>
      <c r="H9" s="30">
        <v>5.3999999999999999E-2</v>
      </c>
      <c r="I9" s="30">
        <v>0.1</v>
      </c>
      <c r="J9" s="30">
        <v>4.5999999999999999E-2</v>
      </c>
      <c r="K9" s="30">
        <v>1.0999999999999999E-2</v>
      </c>
      <c r="L9" s="41"/>
      <c r="M9" s="30">
        <v>1.4E-2</v>
      </c>
      <c r="N9" s="30">
        <v>2.1999999999999999E-2</v>
      </c>
      <c r="O9" s="30">
        <v>7.0000000000000007E-2</v>
      </c>
      <c r="P9" s="30">
        <v>9.4E-2</v>
      </c>
      <c r="Q9" s="41"/>
      <c r="R9" s="30"/>
      <c r="S9" s="30"/>
      <c r="T9" s="30"/>
      <c r="V9" s="41"/>
    </row>
    <row r="10" spans="2:22" x14ac:dyDescent="0.25">
      <c r="B10" s="2" t="s">
        <v>135</v>
      </c>
      <c r="C10" s="18">
        <f>315*0.947</f>
        <v>298.30500000000001</v>
      </c>
      <c r="D10" s="18">
        <v>208</v>
      </c>
      <c r="E10" s="18">
        <v>321</v>
      </c>
      <c r="F10" s="18">
        <v>153</v>
      </c>
      <c r="G10" s="16">
        <f>SUM(C10:F10)</f>
        <v>980.30500000000006</v>
      </c>
      <c r="H10" s="18">
        <v>315</v>
      </c>
      <c r="I10" s="18">
        <v>244</v>
      </c>
      <c r="J10" s="18">
        <v>382</v>
      </c>
      <c r="K10" s="18">
        <v>133</v>
      </c>
      <c r="L10" s="40">
        <f>SUM(H10:K10)</f>
        <v>1074</v>
      </c>
      <c r="M10" s="18">
        <v>356</v>
      </c>
      <c r="N10" s="18">
        <v>245</v>
      </c>
      <c r="O10" s="18">
        <v>424</v>
      </c>
      <c r="P10" s="18">
        <v>208</v>
      </c>
      <c r="Q10" s="40">
        <f>SUM(M10:P10)</f>
        <v>1233</v>
      </c>
      <c r="R10" s="18"/>
      <c r="S10" s="18"/>
      <c r="T10" s="18"/>
      <c r="V10" s="40">
        <f>SUM(R10:U10)</f>
        <v>0</v>
      </c>
    </row>
    <row r="11" spans="2:22" x14ac:dyDescent="0.25">
      <c r="B11" s="15" t="s">
        <v>139</v>
      </c>
      <c r="C11" s="30">
        <f>C10/C7</f>
        <v>0.18907563025210083</v>
      </c>
      <c r="D11" s="30">
        <v>0.154</v>
      </c>
      <c r="E11" s="30">
        <v>0.18</v>
      </c>
      <c r="F11" s="30">
        <v>0.11799999999999999</v>
      </c>
      <c r="G11" s="34">
        <f>G10/G7</f>
        <v>0.1632018701776782</v>
      </c>
      <c r="H11" s="30">
        <v>0.189</v>
      </c>
      <c r="I11" s="30">
        <v>0.16300000000000001</v>
      </c>
      <c r="J11" s="30">
        <v>0.29299999999999998</v>
      </c>
      <c r="K11" s="30">
        <v>0.1</v>
      </c>
      <c r="L11" s="41">
        <f>L10/L7</f>
        <v>0.16828580382325289</v>
      </c>
      <c r="M11" s="30">
        <v>0.20799999999999999</v>
      </c>
      <c r="N11" s="30">
        <v>0.157</v>
      </c>
      <c r="O11" s="30">
        <v>0.20499999999999999</v>
      </c>
      <c r="P11" s="30">
        <v>0.13700000000000001</v>
      </c>
      <c r="Q11" s="41">
        <f>Q10/Q7</f>
        <v>0.17965904123561124</v>
      </c>
      <c r="R11" s="30"/>
      <c r="S11" s="30"/>
      <c r="T11" s="30"/>
      <c r="V11" s="41" t="e">
        <f>V10/V7</f>
        <v>#DIV/0!</v>
      </c>
    </row>
    <row r="12" spans="2:22" x14ac:dyDescent="0.25">
      <c r="B12" s="23" t="s">
        <v>136</v>
      </c>
      <c r="C12" s="23">
        <v>0</v>
      </c>
      <c r="D12" s="23">
        <v>0</v>
      </c>
      <c r="E12" s="23">
        <v>0</v>
      </c>
      <c r="F12" s="23">
        <v>1</v>
      </c>
      <c r="G12" s="35">
        <f>SUM(C12:F12)</f>
        <v>1</v>
      </c>
      <c r="H12" s="23">
        <v>0</v>
      </c>
      <c r="I12" s="23">
        <v>1</v>
      </c>
      <c r="J12" s="23">
        <v>0</v>
      </c>
      <c r="K12" s="23">
        <v>2</v>
      </c>
      <c r="L12" s="42">
        <f>SUM(H12:K12)</f>
        <v>3</v>
      </c>
      <c r="M12" s="23">
        <v>0</v>
      </c>
      <c r="N12" s="23">
        <v>2</v>
      </c>
      <c r="O12" s="23">
        <v>1</v>
      </c>
      <c r="P12" s="23">
        <v>5</v>
      </c>
      <c r="Q12" s="42">
        <f>SUM(M12:P12)</f>
        <v>8</v>
      </c>
      <c r="R12" s="23"/>
      <c r="S12" s="23"/>
      <c r="T12" s="23"/>
      <c r="U12" s="26"/>
      <c r="V12" s="42">
        <f>SUM(R12:U12)</f>
        <v>0</v>
      </c>
    </row>
    <row r="13" spans="2:22" x14ac:dyDescent="0.25">
      <c r="B13" s="1" t="s">
        <v>137</v>
      </c>
      <c r="G13" s="1"/>
      <c r="L13" s="39"/>
      <c r="Q13" s="39"/>
      <c r="V13" s="39"/>
    </row>
    <row r="14" spans="2:22" x14ac:dyDescent="0.25">
      <c r="B14" s="2" t="s">
        <v>132</v>
      </c>
      <c r="C14" s="18">
        <f>591*0.858</f>
        <v>507.07799999999997</v>
      </c>
      <c r="D14" s="18">
        <v>499</v>
      </c>
      <c r="E14" s="18">
        <v>706</v>
      </c>
      <c r="F14" s="18">
        <v>454</v>
      </c>
      <c r="G14" s="16">
        <f>SUM(C14:F14)</f>
        <v>2166.078</v>
      </c>
      <c r="H14" s="18">
        <v>591</v>
      </c>
      <c r="I14" s="18">
        <v>555</v>
      </c>
      <c r="J14" s="18">
        <v>730</v>
      </c>
      <c r="K14" s="18">
        <v>474</v>
      </c>
      <c r="L14" s="40">
        <f>SUM(H14:K14)</f>
        <v>2350</v>
      </c>
      <c r="M14" s="18">
        <v>627</v>
      </c>
      <c r="N14" s="18">
        <v>595</v>
      </c>
      <c r="O14" s="18">
        <v>776</v>
      </c>
      <c r="P14" s="18">
        <v>530</v>
      </c>
      <c r="Q14" s="40">
        <f>SUM(M14:P14)</f>
        <v>2528</v>
      </c>
      <c r="R14" s="18"/>
      <c r="S14" s="18"/>
      <c r="T14" s="18"/>
      <c r="V14" s="40">
        <f>SUM(R14:U14)</f>
        <v>0</v>
      </c>
    </row>
    <row r="15" spans="2:22" x14ac:dyDescent="0.25">
      <c r="B15" s="28" t="s">
        <v>133</v>
      </c>
      <c r="C15" s="30"/>
      <c r="D15" s="30">
        <v>0.14499999999999999</v>
      </c>
      <c r="E15" s="30">
        <v>8.6999999999999994E-2</v>
      </c>
      <c r="F15" s="30">
        <v>2.5999999999999999E-2</v>
      </c>
      <c r="G15" s="34"/>
      <c r="H15" s="30">
        <v>0.14199999999999999</v>
      </c>
      <c r="I15" s="30">
        <v>0.11</v>
      </c>
      <c r="J15" s="30">
        <v>3.4000000000000002E-2</v>
      </c>
      <c r="K15" s="30">
        <v>4.2999999999999997E-2</v>
      </c>
      <c r="L15" s="41">
        <f>(L14-G14)/G14</f>
        <v>8.4910146356687075E-2</v>
      </c>
      <c r="M15" s="30">
        <v>6.2E-2</v>
      </c>
      <c r="N15" s="30">
        <v>7.2999999999999995E-2</v>
      </c>
      <c r="O15" s="30">
        <v>6.3E-2</v>
      </c>
      <c r="P15" s="30">
        <v>0.11799999999999999</v>
      </c>
      <c r="Q15" s="41">
        <f>(Q14-L14)/L14</f>
        <v>7.5744680851063825E-2</v>
      </c>
      <c r="R15" s="30"/>
      <c r="S15" s="30"/>
      <c r="T15" s="30"/>
      <c r="V15" s="41">
        <f>(V14-Q14)/Q14</f>
        <v>-1</v>
      </c>
    </row>
    <row r="16" spans="2:22" x14ac:dyDescent="0.25">
      <c r="B16" s="28" t="s">
        <v>140</v>
      </c>
      <c r="C16" s="30"/>
      <c r="D16" s="30">
        <v>7.0000000000000007E-2</v>
      </c>
      <c r="E16" s="30">
        <v>4.8000000000000001E-2</v>
      </c>
      <c r="F16" s="30">
        <v>6.5000000000000002E-2</v>
      </c>
      <c r="G16" s="34"/>
      <c r="H16" s="30">
        <v>0.214</v>
      </c>
      <c r="I16" s="30">
        <v>0.13800000000000001</v>
      </c>
      <c r="J16" s="30">
        <v>0.10299999999999999</v>
      </c>
      <c r="K16" s="30">
        <v>7.6999999999999999E-2</v>
      </c>
      <c r="L16" s="43"/>
      <c r="M16" s="30">
        <v>0.05</v>
      </c>
      <c r="N16" s="30">
        <v>0.13700000000000001</v>
      </c>
      <c r="O16" s="30">
        <v>7.2999999999999995E-2</v>
      </c>
      <c r="P16" s="30">
        <v>0.14499999999999999</v>
      </c>
      <c r="Q16" s="43"/>
      <c r="R16" s="30"/>
      <c r="S16" s="30"/>
      <c r="T16" s="30"/>
      <c r="V16" s="43"/>
    </row>
    <row r="17" spans="2:22" x14ac:dyDescent="0.25">
      <c r="B17" s="28" t="s">
        <v>141</v>
      </c>
      <c r="C17" s="30"/>
      <c r="D17" s="30">
        <v>3.2000000000000001E-2</v>
      </c>
      <c r="E17" s="30">
        <v>5.0000000000000001E-3</v>
      </c>
      <c r="F17" s="30">
        <v>1.2E-2</v>
      </c>
      <c r="G17" s="34"/>
      <c r="H17" s="30">
        <v>0.13900000000000001</v>
      </c>
      <c r="I17" s="30">
        <v>8.5999999999999993E-2</v>
      </c>
      <c r="J17" s="30">
        <v>2.9000000000000001E-2</v>
      </c>
      <c r="K17" s="30">
        <v>1.0999999999999999E-2</v>
      </c>
      <c r="L17" s="43"/>
      <c r="M17" s="30">
        <v>-1.7999999999999999E-2</v>
      </c>
      <c r="N17" s="30">
        <v>2.8000000000000001E-2</v>
      </c>
      <c r="O17" s="30">
        <v>-2E-3</v>
      </c>
      <c r="P17" s="30">
        <v>0.06</v>
      </c>
      <c r="Q17" s="43"/>
      <c r="R17" s="30"/>
      <c r="S17" s="30"/>
      <c r="T17" s="11"/>
      <c r="V17" s="43"/>
    </row>
    <row r="18" spans="2:22" x14ac:dyDescent="0.25">
      <c r="B18" s="2" t="s">
        <v>135</v>
      </c>
      <c r="C18" s="18">
        <f>H18*0.85</f>
        <v>67.149999999999991</v>
      </c>
      <c r="D18" s="18">
        <v>40</v>
      </c>
      <c r="E18" s="18">
        <v>123</v>
      </c>
      <c r="F18" s="18">
        <v>20</v>
      </c>
      <c r="G18" s="16">
        <f>SUM(C18:F18)</f>
        <v>250.14999999999998</v>
      </c>
      <c r="H18" s="18">
        <v>79</v>
      </c>
      <c r="I18" s="18">
        <v>55</v>
      </c>
      <c r="J18" s="18">
        <v>125</v>
      </c>
      <c r="K18" s="18">
        <v>14</v>
      </c>
      <c r="L18" s="40">
        <f>SUM(H18:K18)</f>
        <v>273</v>
      </c>
      <c r="M18" s="18">
        <v>86</v>
      </c>
      <c r="N18" s="18">
        <v>52</v>
      </c>
      <c r="O18" s="18">
        <v>122</v>
      </c>
      <c r="P18" s="18">
        <v>19</v>
      </c>
      <c r="Q18" s="40">
        <f>SUM(M18:P18)</f>
        <v>279</v>
      </c>
      <c r="R18" s="18"/>
      <c r="S18" s="18"/>
      <c r="T18" s="20"/>
      <c r="V18" s="40">
        <f>SUM(R18:U18)</f>
        <v>0</v>
      </c>
    </row>
    <row r="19" spans="2:22" x14ac:dyDescent="0.25">
      <c r="B19" s="15" t="s">
        <v>139</v>
      </c>
      <c r="C19" s="30">
        <f>C18/C14</f>
        <v>0.13242538623249281</v>
      </c>
      <c r="D19" s="30">
        <v>0.08</v>
      </c>
      <c r="E19" s="30">
        <v>0.17399999999999999</v>
      </c>
      <c r="F19" s="30">
        <v>4.2999999999999997E-2</v>
      </c>
      <c r="G19" s="34">
        <f>G18/G14</f>
        <v>0.11548522260047883</v>
      </c>
      <c r="H19" s="30">
        <v>0.13300000000000001</v>
      </c>
      <c r="I19" s="30">
        <v>9.9000000000000005E-2</v>
      </c>
      <c r="J19" s="30">
        <v>0.17100000000000001</v>
      </c>
      <c r="K19" s="30">
        <v>0.03</v>
      </c>
      <c r="L19" s="41">
        <f>L18/L14</f>
        <v>0.11617021276595745</v>
      </c>
      <c r="M19" s="30">
        <v>0.13700000000000001</v>
      </c>
      <c r="N19" s="30">
        <v>8.7999999999999995E-2</v>
      </c>
      <c r="O19" s="30">
        <v>0.158</v>
      </c>
      <c r="P19" s="29">
        <v>3.5999999999999997E-2</v>
      </c>
      <c r="Q19" s="41">
        <f>Q18/Q14</f>
        <v>0.11036392405063292</v>
      </c>
      <c r="R19" s="30"/>
      <c r="S19" s="30"/>
      <c r="T19" s="30"/>
      <c r="V19" s="41" t="e">
        <f>V18/V14</f>
        <v>#DIV/0!</v>
      </c>
    </row>
    <row r="20" spans="2:22" x14ac:dyDescent="0.25">
      <c r="B20" s="23" t="s">
        <v>136</v>
      </c>
      <c r="C20" s="23"/>
      <c r="D20" s="23">
        <v>1</v>
      </c>
      <c r="E20" s="23">
        <v>1</v>
      </c>
      <c r="F20" s="23">
        <v>2</v>
      </c>
      <c r="G20" s="35">
        <f>SUM(C20:F20)</f>
        <v>4</v>
      </c>
      <c r="H20" s="23">
        <v>0</v>
      </c>
      <c r="I20" s="23">
        <v>1</v>
      </c>
      <c r="J20" s="23">
        <v>2</v>
      </c>
      <c r="K20" s="23">
        <v>1</v>
      </c>
      <c r="L20" s="42">
        <f>SUM(H20:K20)</f>
        <v>4</v>
      </c>
      <c r="M20" s="23">
        <v>1</v>
      </c>
      <c r="N20" s="23">
        <v>3</v>
      </c>
      <c r="O20" s="23">
        <v>0</v>
      </c>
      <c r="P20" s="23">
        <v>1</v>
      </c>
      <c r="Q20" s="42">
        <f>SUM(M20:P20)</f>
        <v>5</v>
      </c>
      <c r="R20" s="23"/>
      <c r="S20" s="23"/>
      <c r="T20" s="23"/>
      <c r="U20" s="26"/>
      <c r="V20" s="42">
        <f>SUM(R20:U20)</f>
        <v>0</v>
      </c>
    </row>
    <row r="21" spans="2:22" x14ac:dyDescent="0.25">
      <c r="B21" s="1" t="s">
        <v>138</v>
      </c>
      <c r="G21" s="1"/>
      <c r="L21" s="39"/>
      <c r="Q21" s="39"/>
      <c r="V21" s="39"/>
    </row>
    <row r="22" spans="2:22" x14ac:dyDescent="0.25">
      <c r="B22" s="2" t="s">
        <v>132</v>
      </c>
      <c r="C22" s="18">
        <f>702*0.745</f>
        <v>522.99</v>
      </c>
      <c r="D22" s="18">
        <v>459</v>
      </c>
      <c r="E22" s="18">
        <v>553</v>
      </c>
      <c r="F22" s="18">
        <v>449</v>
      </c>
      <c r="G22" s="16">
        <f>SUM(C22:F22)</f>
        <v>1983.99</v>
      </c>
      <c r="H22" s="18">
        <v>702</v>
      </c>
      <c r="I22" s="18">
        <v>586</v>
      </c>
      <c r="J22" s="18">
        <v>637</v>
      </c>
      <c r="K22" s="18">
        <v>461</v>
      </c>
      <c r="L22" s="40">
        <f>SUM(H22:K22)</f>
        <v>2386</v>
      </c>
      <c r="M22" s="18">
        <v>727</v>
      </c>
      <c r="N22" s="18">
        <v>569</v>
      </c>
      <c r="O22" s="18">
        <v>636</v>
      </c>
      <c r="P22" s="18">
        <v>506</v>
      </c>
      <c r="Q22" s="40">
        <f>SUM(M22:P22)</f>
        <v>2438</v>
      </c>
      <c r="R22" s="18"/>
      <c r="S22" s="18"/>
      <c r="T22" s="18"/>
      <c r="V22" s="40">
        <f>SUM(R22:U22)</f>
        <v>0</v>
      </c>
    </row>
    <row r="23" spans="2:22" x14ac:dyDescent="0.25">
      <c r="B23" s="28" t="s">
        <v>133</v>
      </c>
      <c r="C23" s="30"/>
      <c r="D23" s="30">
        <v>0.183</v>
      </c>
      <c r="E23" s="30">
        <v>0.28499999999999998</v>
      </c>
      <c r="F23" s="30">
        <v>0.29499999999999998</v>
      </c>
      <c r="G23" s="34"/>
      <c r="H23" s="30">
        <v>0.255</v>
      </c>
      <c r="I23" s="30">
        <v>0.27700000000000002</v>
      </c>
      <c r="J23" s="30">
        <v>0.152</v>
      </c>
      <c r="K23" s="30">
        <v>2.5000000000000001E-2</v>
      </c>
      <c r="L23" s="41">
        <f>(L22-G22)/G22</f>
        <v>0.20262702937010771</v>
      </c>
      <c r="M23" s="30">
        <v>3.5999999999999997E-2</v>
      </c>
      <c r="N23" s="30">
        <v>-2.9000000000000001E-2</v>
      </c>
      <c r="O23" s="30">
        <v>-1E-3</v>
      </c>
      <c r="P23" s="30">
        <v>9.8000000000000004E-2</v>
      </c>
      <c r="Q23" s="41">
        <f>(Q22-L22)/L22</f>
        <v>2.179379715004191E-2</v>
      </c>
      <c r="R23" s="15"/>
      <c r="S23" s="15"/>
      <c r="V23" s="41">
        <f>(V22-Q22)/Q22</f>
        <v>-1</v>
      </c>
    </row>
    <row r="24" spans="2:22" x14ac:dyDescent="0.25">
      <c r="B24" s="28" t="s">
        <v>140</v>
      </c>
      <c r="C24" s="30"/>
      <c r="D24" s="30">
        <v>0.216</v>
      </c>
      <c r="E24" s="30">
        <v>0.153</v>
      </c>
      <c r="F24" s="30">
        <v>0.214</v>
      </c>
      <c r="G24" s="34"/>
      <c r="H24" s="30">
        <v>0.15</v>
      </c>
      <c r="I24" s="30">
        <v>0.18099999999999999</v>
      </c>
      <c r="J24" s="30">
        <v>8.6999999999999994E-2</v>
      </c>
      <c r="K24" s="30">
        <v>1E-3</v>
      </c>
      <c r="L24" s="43"/>
      <c r="M24" s="30">
        <v>3.5000000000000003E-2</v>
      </c>
      <c r="N24" s="30">
        <v>-5.0000000000000001E-3</v>
      </c>
      <c r="O24" s="30">
        <v>-4.0000000000000001E-3</v>
      </c>
      <c r="P24" s="30">
        <v>0.16500000000000001</v>
      </c>
      <c r="Q24" s="43"/>
      <c r="R24" s="15"/>
      <c r="S24" s="15"/>
      <c r="V24" s="43"/>
    </row>
    <row r="25" spans="2:22" x14ac:dyDescent="0.25">
      <c r="B25" s="28" t="s">
        <v>141</v>
      </c>
      <c r="C25" s="30"/>
      <c r="D25" s="30">
        <v>1.7999999999999999E-2</v>
      </c>
      <c r="E25" s="30">
        <v>-6.0000000000000001E-3</v>
      </c>
      <c r="F25" s="30">
        <v>0.10100000000000001</v>
      </c>
      <c r="G25" s="34"/>
      <c r="H25" s="30">
        <v>0</v>
      </c>
      <c r="I25" s="30">
        <v>7.6999999999999999E-2</v>
      </c>
      <c r="J25" s="30">
        <v>-2.1000000000000001E-2</v>
      </c>
      <c r="K25" s="30">
        <v>-8.8999999999999996E-2</v>
      </c>
      <c r="L25" s="43"/>
      <c r="M25" s="30">
        <v>-1.2E-2</v>
      </c>
      <c r="N25" s="30">
        <v>-5.3999999999999999E-2</v>
      </c>
      <c r="O25" s="30">
        <v>6.0000000000000001E-3</v>
      </c>
      <c r="P25" s="30">
        <v>8.5000000000000006E-2</v>
      </c>
      <c r="Q25" s="43"/>
      <c r="R25" s="15"/>
      <c r="S25" s="15"/>
      <c r="V25" s="43"/>
    </row>
    <row r="26" spans="2:22" x14ac:dyDescent="0.25">
      <c r="B26" s="2" t="s">
        <v>135</v>
      </c>
      <c r="C26" s="32">
        <f>H26*0.75</f>
        <v>21.75</v>
      </c>
      <c r="D26" s="2">
        <v>-24</v>
      </c>
      <c r="E26" s="2">
        <v>5</v>
      </c>
      <c r="F26" s="2">
        <v>-52</v>
      </c>
      <c r="G26" s="33">
        <f>SUM(C26:F26)</f>
        <v>-49.25</v>
      </c>
      <c r="H26" s="2">
        <v>29</v>
      </c>
      <c r="I26" s="2">
        <v>3</v>
      </c>
      <c r="J26" s="2">
        <v>26</v>
      </c>
      <c r="K26" s="2">
        <v>-50</v>
      </c>
      <c r="L26" s="44">
        <f>SUM(H26:K26)</f>
        <v>8</v>
      </c>
      <c r="M26" s="2">
        <v>41</v>
      </c>
      <c r="N26" s="2">
        <v>-1</v>
      </c>
      <c r="O26" s="2">
        <v>23</v>
      </c>
      <c r="P26" s="2">
        <v>-34</v>
      </c>
      <c r="Q26" s="44">
        <f>SUM(M26:P26)</f>
        <v>29</v>
      </c>
      <c r="V26" s="44">
        <f>SUM(R26:U26)</f>
        <v>0</v>
      </c>
    </row>
    <row r="27" spans="2:22" x14ac:dyDescent="0.25">
      <c r="B27" s="15" t="s">
        <v>139</v>
      </c>
      <c r="C27" s="30">
        <f>C26/C22</f>
        <v>4.1587793265645615E-2</v>
      </c>
      <c r="D27" s="30">
        <v>-5.2999999999999999E-2</v>
      </c>
      <c r="E27" s="30">
        <v>8.9999999999999993E-3</v>
      </c>
      <c r="F27" s="30">
        <v>-0.11600000000000001</v>
      </c>
      <c r="G27" s="34">
        <f>G26/G22</f>
        <v>-2.482371382920277E-2</v>
      </c>
      <c r="H27" s="30">
        <v>4.2000000000000003E-2</v>
      </c>
      <c r="I27" s="30">
        <v>5.0000000000000001E-3</v>
      </c>
      <c r="J27" s="30">
        <v>4.1000000000000002E-2</v>
      </c>
      <c r="K27" s="30">
        <v>-0.109</v>
      </c>
      <c r="L27" s="41">
        <f>L26/L22</f>
        <v>3.3528918692372171E-3</v>
      </c>
      <c r="M27" s="30">
        <v>5.7000000000000002E-2</v>
      </c>
      <c r="N27" s="30">
        <v>-1E-3</v>
      </c>
      <c r="O27" s="30">
        <v>3.5999999999999997E-2</v>
      </c>
      <c r="P27" s="30">
        <v>-6.7000000000000004E-2</v>
      </c>
      <c r="Q27" s="41">
        <f>Q26/Q22</f>
        <v>1.1894995898277276E-2</v>
      </c>
      <c r="R27" s="28"/>
      <c r="S27" s="28"/>
      <c r="T27" s="27"/>
      <c r="V27" s="41" t="e">
        <f>V26/V22</f>
        <v>#DIV/0!</v>
      </c>
    </row>
    <row r="28" spans="2:22" x14ac:dyDescent="0.25">
      <c r="B28" s="23" t="s">
        <v>136</v>
      </c>
      <c r="C28" s="23"/>
      <c r="D28" s="23">
        <v>3</v>
      </c>
      <c r="E28" s="23">
        <v>1</v>
      </c>
      <c r="F28" s="23">
        <v>3</v>
      </c>
      <c r="G28" s="35">
        <f>SUM(C28:F28)</f>
        <v>7</v>
      </c>
      <c r="H28" s="23">
        <v>1</v>
      </c>
      <c r="I28" s="23">
        <v>1</v>
      </c>
      <c r="J28" s="23">
        <v>1</v>
      </c>
      <c r="K28" s="23">
        <v>1</v>
      </c>
      <c r="L28" s="42">
        <f>SUM(H28:K28)</f>
        <v>4</v>
      </c>
      <c r="M28" s="23">
        <v>0</v>
      </c>
      <c r="N28" s="23">
        <v>0</v>
      </c>
      <c r="O28" s="23">
        <v>0</v>
      </c>
      <c r="P28" s="23">
        <v>0</v>
      </c>
      <c r="Q28" s="42">
        <f>SUM(M28:P28)</f>
        <v>0</v>
      </c>
      <c r="R28" s="23"/>
      <c r="S28" s="23"/>
      <c r="T28" s="23"/>
      <c r="U28" s="23"/>
      <c r="V28" s="42">
        <f>SUM(R28:U28)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C4:F6"/>
  <sheetViews>
    <sheetView showGridLines="0" workbookViewId="0">
      <selection activeCell="E18" sqref="E18"/>
    </sheetView>
  </sheetViews>
  <sheetFormatPr baseColWidth="10" defaultRowHeight="16" x14ac:dyDescent="0.2"/>
  <cols>
    <col min="3" max="3" width="44.1640625" bestFit="1" customWidth="1"/>
    <col min="4" max="7" width="33.1640625" bestFit="1" customWidth="1"/>
  </cols>
  <sheetData>
    <row r="4" spans="3:6" ht="92" x14ac:dyDescent="1">
      <c r="C4" s="36"/>
      <c r="D4" s="36" t="s">
        <v>158</v>
      </c>
      <c r="E4" s="36" t="s">
        <v>159</v>
      </c>
      <c r="F4" s="36" t="s">
        <v>167</v>
      </c>
    </row>
    <row r="5" spans="3:6" ht="92" x14ac:dyDescent="1">
      <c r="C5" s="36" t="s">
        <v>90</v>
      </c>
      <c r="D5" s="37">
        <f>Modell!$B$9/Modell!Z11</f>
        <v>14.068612427457962</v>
      </c>
      <c r="E5" s="37">
        <f>Modell!$B$9/Modell!AA11</f>
        <v>11.743616344473677</v>
      </c>
      <c r="F5" s="37">
        <f>Modell!$B$9/Modell!AB11</f>
        <v>9.9241507376111358</v>
      </c>
    </row>
    <row r="6" spans="3:6" ht="92" x14ac:dyDescent="1">
      <c r="C6" s="36" t="s">
        <v>91</v>
      </c>
      <c r="D6" s="37">
        <f>Modell!$B$4/Modell!Z18</f>
        <v>15.303482429427786</v>
      </c>
      <c r="E6" s="37">
        <f>Modell!$B$4/Modell!AA18</f>
        <v>12.23507456173243</v>
      </c>
      <c r="F6" s="37">
        <f>Modell!$B$4/Modell!AB18</f>
        <v>10.006949183731523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Info</vt:lpstr>
      <vt:lpstr>Modell</vt:lpstr>
      <vt:lpstr>Segementer</vt:lpstr>
      <vt:lpstr>Nøkkeltall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2025-06-26T07:40:54Z</dcterms:modified>
</cp:coreProperties>
</file>