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K45" i="2"/>
  <c r="G10" i="1"/>
</calcChain>
</file>

<file path=xl/sharedStrings.xml><?xml version="1.0" encoding="utf-8"?>
<sst xmlns="http://schemas.openxmlformats.org/spreadsheetml/2006/main" count="327" uniqueCount="208">
  <si>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</si>
  <si>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</si>
  <si>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</si>
  <si>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</si>
  <si>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</si>
  <si>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</si>
  <si>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</si>
  <si>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</si>
  <si>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</si>
  <si>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</si>
  <si>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</si>
  <si>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</si>
  <si>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</si>
  <si>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</si>
  <si>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</si>
  <si>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</si>
  <si>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</si>
  <si>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</si>
  <si>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</si>
  <si>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</si>
  <si>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</si>
  <si>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</si>
  <si>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</si>
  <si>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</si>
  <si>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</si>
  <si>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</si>
  <si>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</si>
  <si>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</si>
  <si>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</si>
  <si>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</si>
  <si>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</si>
  <si>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</si>
  <si>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</si>
  <si>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</si>
  <si>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</si>
  <si>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</si>
  <si>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</si>
  <si>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</si>
  <si>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</si>
  <si>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</si>
  <si>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</si>
  <si>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</si>
  <si>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</si>
  <si>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</si>
  <si>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</si>
  <si>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</si>
  <si>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</si>
  <si>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</si>
  <si>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</si>
  <si>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</si>
  <si>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</si>
  <si>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</si>
  <si>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</si>
  <si>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</si>
  <si>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</si>
  <si>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</si>
  <si>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</si>
  <si>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</si>
  <si>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</si>
  <si>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</si>
  <si>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</si>
  <si>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</si>
  <si>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</si>
  <si>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</si>
  <si>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</si>
  <si>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</si>
  <si>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</si>
  <si>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</si>
  <si>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</si>
  <si>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</si>
  <si>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</si>
  <si>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</si>
  <si>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</si>
  <si>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</si>
  <si>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</si>
  <si>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</si>
  <si>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</si>
  <si>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</si>
  <si>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</si>
  <si>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</si>
  <si>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</si>
  <si>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</si>
  <si>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</si>
  <si>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</si>
  <si>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</si>
  <si>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</si>
  <si>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</si>
  <si>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</si>
  <si>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</si>
  <si>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</si>
  <si>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</si>
  <si>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</si>
  <si>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</si>
  <si>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</si>
  <si>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</si>
  <si>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</si>
  <si>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</si>
  <si>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</si>
  <si>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</si>
  <si>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</si>
  <si>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</si>
  <si>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</si>
  <si>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</si>
  <si>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</si>
  <si>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</si>
  <si>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</si>
  <si>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</si>
  <si>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</si>
  <si>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</si>
  <si>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</si>
  <si>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</si>
  <si>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</si>
  <si>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</si>
  <si>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</si>
  <si>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</si>
  <si>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</si>
  <si>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</si>
  <si>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</si>
  <si>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</si>
  <si>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</si>
  <si>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</si>
  <si>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</si>
  <si>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</si>
  <si>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</si>
  <si>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</si>
  <si>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</si>
  <si>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</si>
  <si>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</si>
  <si>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</si>
  <si>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</si>
  <si>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</si>
  <si>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</si>
  <si>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</si>
  <si>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</si>
  <si>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</si>
  <si>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</si>
  <si>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</si>
  <si>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</si>
  <si>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</si>
  <si>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</si>
  <si>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</si>
  <si>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</si>
  <si>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</si>
  <si>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</si>
  <si>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</si>
  <si>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Flor Angela Buitrago Escobar</t>
  </si>
  <si>
    <t>Cuaderno de Estudio</t>
  </si>
  <si>
    <t>Fotografía</t>
  </si>
  <si>
    <t>Vertical</t>
  </si>
  <si>
    <t>Horizontal</t>
  </si>
  <si>
    <t>IMG10</t>
  </si>
  <si>
    <t>IMG11</t>
  </si>
  <si>
    <t>Colombia, un Estado Social de Derecho</t>
  </si>
  <si>
    <t>CS_11_09_CO</t>
  </si>
  <si>
    <t>Comisión Interamericana de Derechos Humanos</t>
  </si>
  <si>
    <t>mapa antiguo de Mercator</t>
  </si>
  <si>
    <t>banderas al viento</t>
  </si>
  <si>
    <t>foto del Rey Abdalá</t>
  </si>
  <si>
    <t>es posible cambiar por otra de Aula Planeta, si hay</t>
  </si>
  <si>
    <t>No encontré en Shutter ni en AulaP una equivalente. No sé si haya otro banco de imágenes.</t>
  </si>
  <si>
    <t>monarcas de los Paises Bajos</t>
  </si>
  <si>
    <t>Edificio Asamblea Nacional Turca</t>
  </si>
  <si>
    <t>Palacio Carondelet, Ecuador</t>
  </si>
  <si>
    <t>Palacio de Nariño</t>
  </si>
  <si>
    <t>http://aulaplaneta.planetasaber.com/AtlasOnline/</t>
  </si>
  <si>
    <t>Mapa político de Suiza</t>
  </si>
  <si>
    <t>Mapa político de Brasil</t>
  </si>
  <si>
    <t>Mapa político de España</t>
  </si>
  <si>
    <t>enfatizar que la división es en estados, denominados Cantones</t>
  </si>
  <si>
    <t>enfatizar que la división es en estados federales</t>
  </si>
  <si>
    <t>enfatizar que la división es en comunidades autónomas</t>
  </si>
  <si>
    <t>Madres Plaza de Mayo, dictadura argentina</t>
  </si>
  <si>
    <t>IMG12</t>
  </si>
  <si>
    <t>IMG13</t>
  </si>
  <si>
    <t>IMG14</t>
  </si>
  <si>
    <t>IMG15</t>
  </si>
  <si>
    <t>IMG16</t>
  </si>
  <si>
    <t>IMG17</t>
  </si>
  <si>
    <t>IMG18</t>
  </si>
  <si>
    <t>IMG19</t>
  </si>
  <si>
    <t>IMG20</t>
  </si>
  <si>
    <t>IMG21</t>
  </si>
  <si>
    <t>según parece está libre de derechos. En Aula Planeta hay un artículo sobre él, pero no tiene imagen</t>
  </si>
  <si>
    <t>ilustración de Guamán Poma, del siglo XVI</t>
  </si>
  <si>
    <t>libre de derechos</t>
  </si>
  <si>
    <t>http://aulaplaneta.planetasaber.com/encyclopedia/default.asp?idpack=9&amp;idpil=001DA801&amp;ruta=Buscador</t>
  </si>
  <si>
    <t>grabado de 1801, firma de tratado Haití</t>
  </si>
  <si>
    <t>http://upload.wikimedia.org/wikipedia/commons/2/28/Santiago_Martinez_Delgado_in_the_colombian_congress.jpg</t>
  </si>
  <si>
    <t>Mural de Santiago Martínez Delgado, consititución de 1821</t>
  </si>
  <si>
    <t>Palacio de Justicia, Bogotá</t>
  </si>
  <si>
    <t>Estampilla conmemorativa votacion mujer, 1962</t>
  </si>
  <si>
    <t>Algunos derechos reservados. Revisar si puede usarse o no. De no ser posible, entonces imagen de portada Constitución 1821: http://commons.wikimedia.org/wiki/File:Constituci%C3%B3n_pol%C3%ADtica_de_Colombia_de_1821.jpg</t>
  </si>
  <si>
    <t>¿no hay en Aula Planeta?</t>
  </si>
  <si>
    <t>Ilustración</t>
  </si>
  <si>
    <t>Elaborar un esquema siguiendo este modelo.</t>
  </si>
  <si>
    <t>NO sé aquí como es el manejo de derechos de autor para un esquema. En todo caso, el esquema tiene unos colores verde y naranja que no tienen relevancia. Por ejemplo, pareciera emparentar Fiscalía, Gobernaciones y Defensoría del pueblo, y eso no es así.</t>
  </si>
  <si>
    <t>Vista de Bogotá</t>
  </si>
  <si>
    <t>mano en protesta formada por personas</t>
  </si>
  <si>
    <t>http://www.elespectador.com/noticias/politica/el-truquito-de-candidatos-firmas-articulo-550272</t>
  </si>
  <si>
    <t>recolección de firmas en Colombia, con fines políticos</t>
  </si>
  <si>
    <t>http://aulaplaneta.planetasaber.com/encyclopedia/default.asp?idpack=9&amp;idpil=001M4901&amp;ruta=Buscador </t>
  </si>
  <si>
    <t>http://commons.wikimedia.org /wiki/File:Criollos-Españoles_Perìodo_Colonial_en_América.jpg</t>
  </si>
  <si>
    <t>http://commons.wikimedia.org/wiki/File:Estructura_del_estado_colombiano.svg </t>
  </si>
  <si>
    <r>
      <t>121080436</t>
    </r>
    <r>
      <rPr>
        <sz val="10"/>
        <color theme="1"/>
        <rFont val="Cambria"/>
        <family val="1"/>
      </rPr>
      <t> </t>
    </r>
  </si>
  <si>
    <t>http://www.eltiempo.com/mundo/latinoamerica/marco-antonio-ponce-cidh-pide-medidas-de-proteccion/15436911 </t>
  </si>
  <si>
    <t>125735678 </t>
  </si>
  <si>
    <t>http://en.wikipedia.org/wiki/Abdullah_of_Saudi_Arabia#/media/File:Abdullah_of_Saudi_Arabia.jpg </t>
  </si>
  <si>
    <t xml:space="preserve">Es imagen de El Espectador. No sé cómo cambiar la imagen, no hallé ninguna equivalente en Shutter. Hay otra en la Registraduría. Usar la que mejor sirva por cuestión de derechos.  http://www.registraduria.gov.co/La-Registraduria-certifica-que-las.html.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</si>
</sst>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name val="Cambria"/>
      <family val="1"/>
    </font>
    <font>
      <sz val="10"/>
      <color theme="1"/>
      <name val="Cambria"/>
      <family val="1"/>
    </font>
    <font>
      <sz val="10"/>
      <color rgb="FF000000"/>
      <name val="Cambria"/>
      <family val="1"/>
    </font>
    <font>
      <sz val="10"/>
      <color rgb="FF262626"/>
      <name val="Cambr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
      <left/>
      <right/>
      <top style="thin">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5" xfId="0" applyFont="1" applyFill="1" applyBorder="1" applyAlignment="1">
      <alignment vertical="center" wrapText="1"/>
    </xf>
    <xf numFmtId="0" fontId="0" fillId="0" borderId="0" xfId="0" applyFill="1" applyAlignment="1">
      <alignment vertical="center" wrapText="1"/>
    </xf>
    <xf numFmtId="0" fontId="14" fillId="0" borderId="26" xfId="0" applyFont="1" applyFill="1" applyBorder="1" applyAlignment="1">
      <alignment vertical="center" wrapText="1"/>
    </xf>
    <xf numFmtId="0" fontId="15" fillId="0" borderId="26" xfId="0" applyFont="1" applyFill="1" applyBorder="1" applyAlignment="1">
      <alignment vertical="center" wrapText="1"/>
    </xf>
    <xf numFmtId="0" fontId="14" fillId="0" borderId="26" xfId="0" applyFont="1" applyFill="1" applyBorder="1" applyAlignment="1">
      <alignment vertical="center"/>
    </xf>
    <xf numFmtId="0" fontId="14" fillId="0" borderId="26" xfId="0" applyFont="1" applyBorder="1" applyAlignment="1">
      <alignment vertical="center" wrapText="1"/>
    </xf>
    <xf numFmtId="0" fontId="16" fillId="0" borderId="26" xfId="0" applyFont="1" applyBorder="1" applyAlignment="1">
      <alignment vertical="center" wrapText="1"/>
    </xf>
    <xf numFmtId="0" fontId="15" fillId="0" borderId="26" xfId="0" applyFont="1" applyBorder="1" applyAlignment="1">
      <alignment vertical="center" wrapText="1"/>
    </xf>
    <xf numFmtId="0" fontId="17" fillId="0" borderId="0" xfId="0" applyFont="1" applyAlignment="1">
      <alignment vertical="center" wrapText="1"/>
    </xf>
    <xf numFmtId="0" fontId="18" fillId="0" borderId="26"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7" xfId="0" applyFill="1" applyBorder="1" applyAlignment="1">
      <alignment vertical="center" wrapText="1"/>
    </xf>
    <xf numFmtId="0" fontId="0" fillId="0" borderId="27" xfId="0" applyBorder="1" applyAlignment="1">
      <alignment vertical="center" wrapText="1"/>
    </xf>
    <xf numFmtId="0" fontId="0" fillId="0" borderId="27" xfId="0" applyBorder="1" applyAlignment="1">
      <alignment vertical="center"/>
    </xf>
    <xf numFmtId="0" fontId="0" fillId="8" borderId="28" xfId="0" applyFill="1"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7" fillId="0" borderId="0" xfId="0" applyNumberFormat="1" applyFont="1" applyBorder="1" applyAlignment="1">
      <alignment horizontal="center"/>
    </xf>
    <xf numFmtId="0" fontId="9" fillId="0" borderId="29" xfId="0" applyFont="1" applyBorder="1" applyAlignment="1">
      <alignment vertical="center" wrapText="1"/>
    </xf>
    <xf numFmtId="0" fontId="0" fillId="0" borderId="28" xfId="0" quotePrefix="1" applyBorder="1" applyAlignment="1">
      <alignment vertical="center" wrapText="1"/>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164" fontId="7" fillId="0" borderId="24" xfId="0" applyNumberFormat="1" applyFont="1" applyBorder="1" applyAlignment="1">
      <alignment horizontal="center"/>
    </xf>
    <xf numFmtId="164" fontId="7" fillId="0" borderId="23" xfId="0" applyNumberFormat="1" applyFont="1" applyBorder="1" applyAlignment="1">
      <alignment horizont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0" fillId="6" borderId="11"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1" fillId="0" borderId="5" xfId="0" applyFont="1" applyBorder="1" applyAlignment="1">
      <alignment horizontal="left" wrapText="1"/>
    </xf>
    <xf numFmtId="0" fontId="20" fillId="0" borderId="5" xfId="0" applyFont="1" applyFill="1" applyBorder="1" applyAlignment="1">
      <alignment horizontal="left" vertical="center" wrapText="1"/>
    </xf>
    <xf numFmtId="0" fontId="20" fillId="0" borderId="0" xfId="0" applyFont="1" applyFill="1" applyBorder="1" applyAlignment="1">
      <alignment horizontal="left" wrapText="1"/>
    </xf>
    <xf numFmtId="0" fontId="21" fillId="0" borderId="0" xfId="0" applyFont="1" applyAlignment="1">
      <alignment horizontal="left" vertical="center"/>
    </xf>
    <xf numFmtId="0" fontId="20" fillId="0" borderId="5" xfId="0" applyFont="1" applyFill="1" applyBorder="1" applyAlignment="1">
      <alignment horizontal="left" wrapText="1"/>
    </xf>
    <xf numFmtId="0" fontId="22" fillId="0" borderId="5" xfId="0" applyFont="1" applyBorder="1" applyAlignment="1">
      <alignment horizontal="left" vertical="center" wrapText="1"/>
    </xf>
    <xf numFmtId="0" fontId="21" fillId="0" borderId="5" xfId="0" applyFont="1" applyBorder="1" applyAlignment="1">
      <alignment horizontal="left" vertical="center" wrapText="1"/>
    </xf>
    <xf numFmtId="1" fontId="20" fillId="0" borderId="21" xfId="0" applyNumberFormat="1" applyFont="1" applyFill="1" applyBorder="1" applyAlignment="1">
      <alignment horizontal="left" vertical="center" wrapText="1"/>
    </xf>
    <xf numFmtId="1" fontId="20" fillId="0" borderId="22" xfId="0" applyNumberFormat="1" applyFont="1" applyFill="1" applyBorder="1" applyAlignment="1">
      <alignment horizontal="left" vertical="center" wrapText="1"/>
    </xf>
    <xf numFmtId="0" fontId="23" fillId="0" borderId="5" xfId="0" applyFont="1" applyBorder="1" applyAlignment="1">
      <alignment horizontal="left" wrapText="1"/>
    </xf>
    <xf numFmtId="1" fontId="20" fillId="0" borderId="32" xfId="0" applyNumberFormat="1" applyFont="1" applyFill="1" applyBorder="1" applyAlignment="1">
      <alignment horizontal="left" vertical="center" wrapText="1"/>
    </xf>
    <xf numFmtId="1" fontId="20" fillId="0" borderId="34" xfId="0" applyNumberFormat="1" applyFont="1" applyFill="1" applyBorder="1" applyAlignment="1">
      <alignment horizontal="left" vertical="center" wrapText="1"/>
    </xf>
    <xf numFmtId="0" fontId="3" fillId="5" borderId="5" xfId="0" applyFont="1" applyFill="1" applyBorder="1" applyAlignment="1">
      <alignment horizontal="center" vertical="center"/>
    </xf>
    <xf numFmtId="0" fontId="3" fillId="5" borderId="5" xfId="0" applyFont="1" applyFill="1" applyBorder="1" applyAlignment="1">
      <alignment horizontal="center" vertical="center" wrapText="1"/>
    </xf>
    <xf numFmtId="0" fontId="8" fillId="5" borderId="24" xfId="0" applyFont="1" applyFill="1" applyBorder="1" applyAlignment="1">
      <alignment horizontal="center" vertical="center"/>
    </xf>
    <xf numFmtId="0" fontId="3" fillId="5" borderId="35" xfId="0" applyFont="1" applyFill="1" applyBorder="1" applyAlignment="1">
      <alignment horizontal="center" vertical="center"/>
    </xf>
    <xf numFmtId="0" fontId="3" fillId="5" borderId="23" xfId="0" applyFont="1" applyFill="1" applyBorder="1" applyAlignment="1">
      <alignment horizontal="center" vertical="center"/>
    </xf>
    <xf numFmtId="0" fontId="20" fillId="0" borderId="33" xfId="0" applyFont="1" applyFill="1" applyBorder="1" applyAlignment="1">
      <alignment horizontal="left" vertical="center" wrapText="1"/>
    </xf>
    <xf numFmtId="0" fontId="21" fillId="0" borderId="33" xfId="0" applyFont="1" applyBorder="1" applyAlignment="1">
      <alignment horizontal="left" vertical="center" wrapText="1"/>
    </xf>
    <xf numFmtId="0" fontId="8" fillId="5" borderId="5" xfId="0" applyFont="1" applyFill="1" applyBorder="1" applyAlignment="1">
      <alignment horizontal="center" vertical="center"/>
    </xf>
    <xf numFmtId="0" fontId="20" fillId="0" borderId="33" xfId="0" applyFont="1" applyBorder="1" applyAlignment="1">
      <alignment horizontal="left" vertical="center" wrapText="1"/>
    </xf>
    <xf numFmtId="0" fontId="20" fillId="0" borderId="5" xfId="0" applyFont="1" applyBorder="1" applyAlignment="1">
      <alignment horizontal="left" vertical="center" wrapText="1"/>
    </xf>
    <xf numFmtId="0" fontId="20" fillId="0" borderId="5" xfId="0" applyFont="1" applyBorder="1" applyAlignment="1">
      <alignment horizontal="left" wrapText="1"/>
    </xf>
    <xf numFmtId="0" fontId="20" fillId="0" borderId="5" xfId="51" applyFont="1" applyBorder="1" applyAlignment="1">
      <alignment horizontal="left" vertical="center" wrapText="1"/>
    </xf>
    <xf numFmtId="0" fontId="21" fillId="0" borderId="22"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3"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8"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3"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8"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upload.wikimedia.org/wikipedia/commons/2/28/Santiago_Martinez_Delgado_in_the_colombian_congress.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71" t="s">
        <v>23</v>
      </c>
      <c r="D2" s="72"/>
      <c r="F2" s="67" t="s">
        <v>0</v>
      </c>
      <c r="G2" s="68"/>
      <c r="H2" s="44"/>
      <c r="I2" s="44"/>
      <c r="J2" s="16"/>
    </row>
    <row r="3" spans="1:16" ht="15.75" x14ac:dyDescent="0.25">
      <c r="A3" s="1"/>
      <c r="B3" s="4" t="s">
        <v>8</v>
      </c>
      <c r="C3" s="73">
        <v>11</v>
      </c>
      <c r="D3" s="74"/>
      <c r="F3" s="69">
        <v>42120</v>
      </c>
      <c r="G3" s="70"/>
      <c r="H3" s="44"/>
      <c r="I3" s="44"/>
      <c r="J3" s="16"/>
    </row>
    <row r="4" spans="1:16" ht="16.5" x14ac:dyDescent="0.3">
      <c r="A4" s="1"/>
      <c r="B4" s="4" t="s">
        <v>54</v>
      </c>
      <c r="C4" s="73" t="s">
        <v>152</v>
      </c>
      <c r="D4" s="74"/>
      <c r="E4" s="5"/>
      <c r="F4" s="43" t="s">
        <v>55</v>
      </c>
      <c r="G4" s="42" t="s">
        <v>146</v>
      </c>
      <c r="H4" s="44"/>
      <c r="I4" s="44"/>
      <c r="J4" s="16"/>
      <c r="K4" s="16"/>
    </row>
    <row r="5" spans="1:16" ht="16.5" thickBot="1" x14ac:dyDescent="0.3">
      <c r="A5" s="1"/>
      <c r="B5" s="6" t="s">
        <v>1</v>
      </c>
      <c r="C5" s="75" t="s">
        <v>145</v>
      </c>
      <c r="D5" s="76"/>
      <c r="E5" s="5"/>
      <c r="F5" s="41" t="str">
        <f>IF(G4="Recurso","Motor del recurso","")</f>
        <v/>
      </c>
      <c r="G5" s="41"/>
      <c r="H5" s="44"/>
      <c r="I5" s="64"/>
      <c r="J5" s="16"/>
      <c r="K5" s="16"/>
    </row>
    <row r="6" spans="1:16" ht="16.5" thickBot="1" x14ac:dyDescent="0.3">
      <c r="A6" s="1"/>
      <c r="B6" s="1"/>
      <c r="C6" s="1"/>
      <c r="D6" s="1"/>
      <c r="E6" s="7"/>
      <c r="F6" s="1"/>
      <c r="G6" s="1"/>
      <c r="H6" s="44"/>
      <c r="I6" s="44"/>
      <c r="J6" s="16"/>
      <c r="K6" s="16"/>
    </row>
    <row r="7" spans="1:16" ht="15" customHeight="1" x14ac:dyDescent="0.25">
      <c r="A7" s="1"/>
      <c r="B7" s="28" t="s">
        <v>40</v>
      </c>
      <c r="C7" s="8" t="s">
        <v>153</v>
      </c>
      <c r="D7" s="27" t="s">
        <v>39</v>
      </c>
      <c r="F7" s="1"/>
      <c r="G7" s="1"/>
      <c r="H7" s="1"/>
      <c r="I7" s="1"/>
      <c r="J7" s="16"/>
      <c r="K7" s="16"/>
    </row>
    <row r="8" spans="1:16" s="9" customFormat="1" ht="15.75" x14ac:dyDescent="0.25">
      <c r="A8" s="10"/>
      <c r="B8" s="10"/>
      <c r="C8" s="10"/>
      <c r="D8" s="11"/>
      <c r="E8" s="11"/>
      <c r="F8" s="109" t="s">
        <v>62</v>
      </c>
      <c r="G8" s="110"/>
      <c r="H8" s="110"/>
      <c r="I8" s="111"/>
      <c r="J8" s="18"/>
      <c r="K8" s="12"/>
      <c r="L8" s="2"/>
      <c r="M8" s="2"/>
      <c r="N8" s="2"/>
      <c r="O8" s="2"/>
      <c r="P8" s="2"/>
    </row>
    <row r="9" spans="1:16" ht="25.5" x14ac:dyDescent="0.25">
      <c r="A9" s="107" t="s">
        <v>2</v>
      </c>
      <c r="B9" s="108" t="s">
        <v>9</v>
      </c>
      <c r="C9" s="107" t="s">
        <v>3</v>
      </c>
      <c r="D9" s="107" t="s">
        <v>4</v>
      </c>
      <c r="E9" s="107" t="s">
        <v>5</v>
      </c>
      <c r="F9" s="114" t="s">
        <v>61</v>
      </c>
      <c r="G9" s="114" t="s">
        <v>59</v>
      </c>
      <c r="H9" s="114" t="s">
        <v>60</v>
      </c>
      <c r="I9" s="114" t="s">
        <v>121</v>
      </c>
      <c r="J9" s="108" t="s">
        <v>6</v>
      </c>
      <c r="K9" s="108" t="s">
        <v>7</v>
      </c>
    </row>
    <row r="10" spans="1:16" s="97" customFormat="1" ht="63.75" x14ac:dyDescent="0.2">
      <c r="A10" s="105" t="str">
        <f>IF(OR(B10&lt;&gt;"",J10&lt;&gt;""),"IMG01","")</f>
        <v>IMG01</v>
      </c>
      <c r="B10" s="115" t="s">
        <v>204</v>
      </c>
      <c r="C10" s="106" t="str">
        <f>IF(OR(B10&lt;&gt;"",J10&lt;&gt;""),IF($G$4="Recurso",CONCATENATE($G$4," ",$G$5),$G$4),"")</f>
        <v>Cuaderno de Estudio</v>
      </c>
      <c r="D10" s="112" t="s">
        <v>147</v>
      </c>
      <c r="E10" s="112" t="s">
        <v>149</v>
      </c>
      <c r="F10" s="112" t="str">
        <f>IF(OR(B10&lt;&gt;"",J10&lt;&gt;""),CONCATENATE($C$7,"_",$A10,IF($G$4="Cuaderno de Estudio","_small",CONCATENATE(IF(I10="","","n"),IF(LEFT($G$5,1)="F",".jpg",".png")))),"")</f>
        <v>CS_11_09_CO_IMG01_small</v>
      </c>
      <c r="G10" s="112" t="str">
        <f>IF(F10&lt;&gt;"",IF($G$4="Recurso",IF(LEFT($G$5,1)="M",VLOOKUP($G$5,'Definición técnica de imagenes'!$A$3:$G$17,5,FALSE),IF($G$5="F1",'Definición técnica de imagenes'!$E$15,'Definición técnica de imagenes'!$F$13)),'Definición técnica de imagenes'!$E$16),"")</f>
        <v>526 x 370 px</v>
      </c>
      <c r="H10" s="112" t="str">
        <f>IF(AND(I10&lt;&gt;"",I10&lt;&gt;0),IF(OR(B10&lt;&gt;"",J10&lt;&gt;""),CONCATENATE($C$7,"_",$A10,IF($G$4="Cuaderno de Estudio","_zoom",CONCATENATE("a",IF(LEFT($G$5,1)="F",".jpg",".png")))),""),"")</f>
        <v>CS_11_09_CO_IMG01_zoom</v>
      </c>
      <c r="I10" s="112" t="str">
        <f>IF(OR(B10&lt;&gt;"",J10&lt;&gt;""),IF($G$4="Recurso",IF(LEFT($G$5,1)="M",IF(VLOOKUP($G$5,'Definición técnica de imagenes'!$A$3:$G$17,6,FALSE)=0,"",VLOOKUP($G$5,'Definición técnica de imagenes'!$A$3:$G$17,6,FALSE)),IF($G$5="F1","","")),'Definición técnica de imagenes'!$F$16),"")</f>
        <v>800 x 600 px</v>
      </c>
      <c r="J10" s="112" t="s">
        <v>154</v>
      </c>
      <c r="K10" s="113" t="s">
        <v>159</v>
      </c>
    </row>
    <row r="11" spans="1:16" s="97" customFormat="1" ht="13.9" customHeight="1" x14ac:dyDescent="0.2">
      <c r="A11" s="102" t="str">
        <f>IF(OR(B11&lt;&gt;"",J11&lt;&gt;""),CONCATENATE(LEFT(A10,3),IF(MID(A10,4,2)+1&lt;10,CONCATENATE("0",MID(A10,4,2)+1))),"")</f>
        <v>IMG02</v>
      </c>
      <c r="B11" s="116">
        <v>129602879</v>
      </c>
      <c r="C11" s="103" t="str">
        <f t="shared" ref="C11:C22" si="0">IF(OR(B11&lt;&gt;"",J11&lt;&gt;""),IF($G$4="Recurso",CONCATENATE($G$4," ",$G$5),$G$4),"")</f>
        <v>Cuaderno de Estudio</v>
      </c>
      <c r="D11" s="96" t="s">
        <v>147</v>
      </c>
      <c r="E11" s="96" t="s">
        <v>149</v>
      </c>
      <c r="F11" s="96" t="str">
        <f t="shared" ref="F11:F74" si="1">IF(OR(B11&lt;&gt;"",J11&lt;&gt;""),CONCATENATE($C$7,"_",$A11,IF($G$4="Cuaderno de Estudio","_small",CONCATENATE(IF(I11="","","n"),IF(LEFT($G$5,1)="F",".jpg",".png")))),"")</f>
        <v>CS_11_09_CO_IMG02_small</v>
      </c>
      <c r="G11" s="96" t="str">
        <f>IF(F11&lt;&gt;"",IF($G$4="Recurso",IF(LEFT($G$5,1)="M",VLOOKUP($G$5,'Definición técnica de imagenes'!$A$3:$G$17,5,FALSE),IF($G$5="F1",'Definición técnica de imagenes'!$E$15,'Definición técnica de imagenes'!$F$13)),'Definición técnica de imagenes'!$E$16),"")</f>
        <v>526 x 370 px</v>
      </c>
      <c r="H11" s="96" t="str">
        <f t="shared" ref="H11:H74" si="2">IF(AND(I11&lt;&gt;"",I11&lt;&gt;0),IF(OR(B11&lt;&gt;"",J11&lt;&gt;""),CONCATENATE($C$7,"_",$A11,IF($G$4="Cuaderno de Estudio","_zoom",CONCATENATE("a",IF(LEFT($G$5,1)="F",".jpg",".png")))),""),"")</f>
        <v>CS_11_09_CO_IMG02_zoom</v>
      </c>
      <c r="I11" s="96" t="str">
        <f>IF(OR(B11&lt;&gt;"",J11&lt;&gt;""),IF($G$4="Recurso",IF(LEFT($G$5,1)="M",IF(VLOOKUP($G$5,'Definición técnica de imagenes'!$A$3:$G$17,6,FALSE)=0,"",VLOOKUP($G$5,'Definición técnica de imagenes'!$A$3:$G$17,6,FALSE)),IF($G$5="F1","","")),'Definición técnica de imagenes'!$F$16),"")</f>
        <v>800 x 600 px</v>
      </c>
      <c r="J11" s="101" t="s">
        <v>155</v>
      </c>
      <c r="K11" s="96"/>
    </row>
    <row r="12" spans="1:16" s="97" customFormat="1" ht="25.5" x14ac:dyDescent="0.2">
      <c r="A12" s="102" t="str">
        <f t="shared" ref="A12:A30" si="3">IF(OR(B12&lt;&gt;"",J12&lt;&gt;""),CONCATENATE(LEFT(A11,3),IF(MID(A11,4,2)+1&lt;10,CONCATENATE("0",MID(A11,4,2)+1))),"")</f>
        <v>IMG03</v>
      </c>
      <c r="B12" s="116" t="s">
        <v>205</v>
      </c>
      <c r="C12" s="103" t="str">
        <f t="shared" si="0"/>
        <v>Cuaderno de Estudio</v>
      </c>
      <c r="D12" s="96" t="s">
        <v>147</v>
      </c>
      <c r="E12" s="96" t="s">
        <v>148</v>
      </c>
      <c r="F12" s="96" t="str">
        <f t="shared" si="1"/>
        <v>CS_11_09_CO_IMG03_small</v>
      </c>
      <c r="G12" s="96" t="str">
        <f>IF(F12&lt;&gt;"",IF($G$4="Recurso",IF(LEFT($G$5,1)="M",VLOOKUP($G$5,'Definición técnica de imagenes'!$A$3:$G$17,5,FALSE),IF($G$5="F1",'Definición técnica de imagenes'!$E$15,'Definición técnica de imagenes'!$F$13)),'Definición técnica de imagenes'!$E$16),"")</f>
        <v>526 x 370 px</v>
      </c>
      <c r="H12" s="96" t="str">
        <f t="shared" si="2"/>
        <v>CS_11_09_CO_IMG03_zoom</v>
      </c>
      <c r="I12" s="96" t="str">
        <f>IF(OR(B12&lt;&gt;"",J12&lt;&gt;""),IF($G$4="Recurso",IF(LEFT($G$5,1)="M",IF(VLOOKUP($G$5,'Definición técnica de imagenes'!$A$3:$G$17,6,FALSE)=0,"",VLOOKUP($G$5,'Definición técnica de imagenes'!$A$3:$G$17,6,FALSE)),IF($G$5="F1","","")),'Definición técnica de imagenes'!$F$16),"")</f>
        <v>800 x 600 px</v>
      </c>
      <c r="J12" s="101" t="s">
        <v>156</v>
      </c>
      <c r="K12" s="101" t="s">
        <v>158</v>
      </c>
    </row>
    <row r="13" spans="1:16" s="97" customFormat="1" ht="51" x14ac:dyDescent="0.2">
      <c r="A13" s="102" t="str">
        <f t="shared" si="3"/>
        <v>IMG04</v>
      </c>
      <c r="B13" s="116" t="s">
        <v>206</v>
      </c>
      <c r="C13" s="103" t="str">
        <f t="shared" si="0"/>
        <v>Cuaderno de Estudio</v>
      </c>
      <c r="D13" s="96" t="s">
        <v>147</v>
      </c>
      <c r="E13" s="96" t="s">
        <v>148</v>
      </c>
      <c r="F13" s="96" t="str">
        <f t="shared" si="1"/>
        <v>CS_11_09_CO_IMG04_small</v>
      </c>
      <c r="G13" s="96" t="str">
        <f>IF(F13&lt;&gt;"",IF($G$4="Recurso",IF(LEFT($G$5,1)="M",VLOOKUP($G$5,'Definición técnica de imagenes'!$A$3:$G$17,5,FALSE),IF($G$5="F1",'Definición técnica de imagenes'!$E$15,'Definición técnica de imagenes'!$F$13)),'Definición técnica de imagenes'!$E$16),"")</f>
        <v>526 x 370 px</v>
      </c>
      <c r="H13" s="96" t="str">
        <f t="shared" si="2"/>
        <v>CS_11_09_CO_IMG04_zoom</v>
      </c>
      <c r="I13" s="96" t="str">
        <f>IF(OR(B13&lt;&gt;"",J13&lt;&gt;""),IF($G$4="Recurso",IF(LEFT($G$5,1)="M",IF(VLOOKUP($G$5,'Definición técnica de imagenes'!$A$3:$G$17,6,FALSE)=0,"",VLOOKUP($G$5,'Definición técnica de imagenes'!$A$3:$G$17,6,FALSE)),IF($G$5="F1","","")),'Definición técnica de imagenes'!$F$16),"")</f>
        <v>800 x 600 px</v>
      </c>
      <c r="J13" s="101" t="s">
        <v>157</v>
      </c>
      <c r="K13" s="101" t="s">
        <v>182</v>
      </c>
    </row>
    <row r="14" spans="1:16" s="97" customFormat="1" ht="12.75" x14ac:dyDescent="0.2">
      <c r="A14" s="102" t="str">
        <f t="shared" si="3"/>
        <v>IMG05</v>
      </c>
      <c r="B14" s="117">
        <v>217124917</v>
      </c>
      <c r="C14" s="103" t="str">
        <f t="shared" si="0"/>
        <v>Cuaderno de Estudio</v>
      </c>
      <c r="D14" s="96" t="s">
        <v>147</v>
      </c>
      <c r="E14" s="96" t="s">
        <v>148</v>
      </c>
      <c r="F14" s="96" t="str">
        <f t="shared" si="1"/>
        <v>CS_11_09_CO_IMG05_small</v>
      </c>
      <c r="G14" s="96" t="str">
        <f>IF(F14&lt;&gt;"",IF($G$4="Recurso",IF(LEFT($G$5,1)="M",VLOOKUP($G$5,'Definición técnica de imagenes'!$A$3:$G$17,5,FALSE),IF($G$5="F1",'Definición técnica de imagenes'!$E$15,'Definición técnica de imagenes'!$F$13)),'Definición técnica de imagenes'!$E$16),"")</f>
        <v>526 x 370 px</v>
      </c>
      <c r="H14" s="96" t="str">
        <f t="shared" si="2"/>
        <v>CS_11_09_CO_IMG05_zoom</v>
      </c>
      <c r="I14" s="96" t="str">
        <f>IF(OR(B14&lt;&gt;"",J14&lt;&gt;""),IF($G$4="Recurso",IF(LEFT($G$5,1)="M",IF(VLOOKUP($G$5,'Definición técnica de imagenes'!$A$3:$G$17,6,FALSE)=0,"",VLOOKUP($G$5,'Definición técnica de imagenes'!$A$3:$G$17,6,FALSE)),IF($G$5="F1","","")),'Definición técnica de imagenes'!$F$16),"")</f>
        <v>800 x 600 px</v>
      </c>
      <c r="J14" s="101" t="s">
        <v>160</v>
      </c>
      <c r="K14" s="101"/>
    </row>
    <row r="15" spans="1:16" s="97" customFormat="1" ht="12.75" x14ac:dyDescent="0.2">
      <c r="A15" s="102" t="str">
        <f t="shared" si="3"/>
        <v>IMG06</v>
      </c>
      <c r="B15" s="117">
        <v>189701219</v>
      </c>
      <c r="C15" s="103" t="str">
        <f t="shared" si="0"/>
        <v>Cuaderno de Estudio</v>
      </c>
      <c r="D15" s="96" t="s">
        <v>147</v>
      </c>
      <c r="E15" s="96" t="s">
        <v>148</v>
      </c>
      <c r="F15" s="96" t="str">
        <f t="shared" si="1"/>
        <v>CS_11_09_CO_IMG06_small</v>
      </c>
      <c r="G15" s="96" t="str">
        <f>IF(F15&lt;&gt;"",IF($G$4="Recurso",IF(LEFT($G$5,1)="M",VLOOKUP($G$5,'Definición técnica de imagenes'!$A$3:$G$17,5,FALSE),IF($G$5="F1",'Definición técnica de imagenes'!$E$15,'Definición técnica de imagenes'!$F$13)),'Definición técnica de imagenes'!$E$16),"")</f>
        <v>526 x 370 px</v>
      </c>
      <c r="H15" s="96" t="str">
        <f t="shared" si="2"/>
        <v>CS_11_09_CO_IMG06_zoom</v>
      </c>
      <c r="I15" s="96" t="str">
        <f>IF(OR(B15&lt;&gt;"",J15&lt;&gt;""),IF($G$4="Recurso",IF(LEFT($G$5,1)="M",IF(VLOOKUP($G$5,'Definición técnica de imagenes'!$A$3:$G$17,6,FALSE)=0,"",VLOOKUP($G$5,'Definición técnica de imagenes'!$A$3:$G$17,6,FALSE)),IF($G$5="F1","","")),'Definición técnica de imagenes'!$F$16),"")</f>
        <v>800 x 600 px</v>
      </c>
      <c r="J15" s="100" t="s">
        <v>161</v>
      </c>
      <c r="K15" s="100"/>
    </row>
    <row r="16" spans="1:16" s="97" customFormat="1" ht="12.75" x14ac:dyDescent="0.2">
      <c r="A16" s="102" t="str">
        <f t="shared" si="3"/>
        <v>IMG07</v>
      </c>
      <c r="B16" s="117">
        <v>20695108</v>
      </c>
      <c r="C16" s="103" t="str">
        <f t="shared" si="0"/>
        <v>Cuaderno de Estudio</v>
      </c>
      <c r="D16" s="96" t="s">
        <v>147</v>
      </c>
      <c r="E16" s="96" t="s">
        <v>148</v>
      </c>
      <c r="F16" s="96" t="str">
        <f t="shared" si="1"/>
        <v>CS_11_09_CO_IMG07_small</v>
      </c>
      <c r="G16" s="96" t="str">
        <f>IF(F16&lt;&gt;"",IF($G$4="Recurso",IF(LEFT($G$5,1)="M",VLOOKUP($G$5,'Definición técnica de imagenes'!$A$3:$G$17,5,FALSE),IF($G$5="F1",'Definición técnica de imagenes'!$E$15,'Definición técnica de imagenes'!$F$13)),'Definición técnica de imagenes'!$E$16),"")</f>
        <v>526 x 370 px</v>
      </c>
      <c r="H16" s="96" t="str">
        <f t="shared" si="2"/>
        <v>CS_11_09_CO_IMG07_zoom</v>
      </c>
      <c r="I16" s="96" t="str">
        <f>IF(OR(B16&lt;&gt;"",J16&lt;&gt;""),IF($G$4="Recurso",IF(LEFT($G$5,1)="M",IF(VLOOKUP($G$5,'Definición técnica de imagenes'!$A$3:$G$17,6,FALSE)=0,"",VLOOKUP($G$5,'Definición técnica de imagenes'!$A$3:$G$17,6,FALSE)),IF($G$5="F1","","")),'Definición técnica de imagenes'!$F$16),"")</f>
        <v>800 x 600 px</v>
      </c>
      <c r="J16" s="100" t="s">
        <v>162</v>
      </c>
      <c r="K16" s="100"/>
    </row>
    <row r="17" spans="1:11" s="97" customFormat="1" ht="12.75" x14ac:dyDescent="0.2">
      <c r="A17" s="102" t="str">
        <f t="shared" si="3"/>
        <v>IMG08</v>
      </c>
      <c r="B17" s="116">
        <v>156227708</v>
      </c>
      <c r="C17" s="103" t="str">
        <f t="shared" si="0"/>
        <v>Cuaderno de Estudio</v>
      </c>
      <c r="D17" s="96" t="s">
        <v>147</v>
      </c>
      <c r="E17" s="96" t="s">
        <v>148</v>
      </c>
      <c r="F17" s="96" t="str">
        <f t="shared" si="1"/>
        <v>CS_11_09_CO_IMG08_small</v>
      </c>
      <c r="G17" s="96" t="str">
        <f>IF(F17&lt;&gt;"",IF($G$4="Recurso",IF(LEFT($G$5,1)="M",VLOOKUP($G$5,'Definición técnica de imagenes'!$A$3:$G$17,5,FALSE),IF($G$5="F1",'Definición técnica de imagenes'!$E$15,'Definición técnica de imagenes'!$F$13)),'Definición técnica de imagenes'!$E$16),"")</f>
        <v>526 x 370 px</v>
      </c>
      <c r="H17" s="96" t="str">
        <f t="shared" si="2"/>
        <v>CS_11_09_CO_IMG08_zoom</v>
      </c>
      <c r="I17" s="96" t="str">
        <f>IF(OR(B17&lt;&gt;"",J17&lt;&gt;""),IF($G$4="Recurso",IF(LEFT($G$5,1)="M",IF(VLOOKUP($G$5,'Definición técnica de imagenes'!$A$3:$G$17,6,FALSE)=0,"",VLOOKUP($G$5,'Definición técnica de imagenes'!$A$3:$G$17,6,FALSE)),IF($G$5="F1","","")),'Definición técnica de imagenes'!$F$16),"")</f>
        <v>800 x 600 px</v>
      </c>
      <c r="J17" s="100" t="s">
        <v>163</v>
      </c>
      <c r="K17" s="100"/>
    </row>
    <row r="18" spans="1:11" s="97" customFormat="1" ht="25.5" x14ac:dyDescent="0.2">
      <c r="A18" s="102" t="str">
        <f t="shared" si="3"/>
        <v>IMG09</v>
      </c>
      <c r="B18" s="117" t="s">
        <v>164</v>
      </c>
      <c r="C18" s="103" t="str">
        <f t="shared" si="0"/>
        <v>Cuaderno de Estudio</v>
      </c>
      <c r="D18" s="96" t="s">
        <v>147</v>
      </c>
      <c r="E18" s="96" t="s">
        <v>148</v>
      </c>
      <c r="F18" s="96" t="str">
        <f t="shared" si="1"/>
        <v>CS_11_09_CO_IMG09_small</v>
      </c>
      <c r="G18" s="96" t="str">
        <f>IF(F18&lt;&gt;"",IF($G$4="Recurso",IF(LEFT($G$5,1)="M",VLOOKUP($G$5,'Definición técnica de imagenes'!$A$3:$G$17,5,FALSE),IF($G$5="F1",'Definición técnica de imagenes'!$E$15,'Definición técnica de imagenes'!$F$13)),'Definición técnica de imagenes'!$E$16),"")</f>
        <v>526 x 370 px</v>
      </c>
      <c r="H18" s="96" t="str">
        <f t="shared" si="2"/>
        <v>CS_11_09_CO_IMG09_zoom</v>
      </c>
      <c r="I18" s="96" t="str">
        <f>IF(OR(B18&lt;&gt;"",J18&lt;&gt;""),IF($G$4="Recurso",IF(LEFT($G$5,1)="M",IF(VLOOKUP($G$5,'Definición técnica de imagenes'!$A$3:$G$17,6,FALSE)=0,"",VLOOKUP($G$5,'Definición técnica de imagenes'!$A$3:$G$17,6,FALSE)),IF($G$5="F1","","")),'Definición técnica de imagenes'!$F$16),"")</f>
        <v>800 x 600 px</v>
      </c>
      <c r="J18" s="98" t="s">
        <v>165</v>
      </c>
      <c r="K18" s="100" t="s">
        <v>168</v>
      </c>
    </row>
    <row r="19" spans="1:11" s="97" customFormat="1" ht="25.5" x14ac:dyDescent="0.2">
      <c r="A19" s="102" t="s">
        <v>150</v>
      </c>
      <c r="B19" s="99" t="s">
        <v>164</v>
      </c>
      <c r="C19" s="103" t="str">
        <f t="shared" si="0"/>
        <v>Cuaderno de Estudio</v>
      </c>
      <c r="D19" s="96" t="s">
        <v>147</v>
      </c>
      <c r="E19" s="96" t="s">
        <v>148</v>
      </c>
      <c r="F19" s="96" t="str">
        <f t="shared" si="1"/>
        <v>CS_11_09_CO_IMG10_small</v>
      </c>
      <c r="G19" s="96" t="str">
        <f>IF(F19&lt;&gt;"",IF($G$4="Recurso",IF(LEFT($G$5,1)="M",VLOOKUP($G$5,'Definición técnica de imagenes'!$A$3:$G$17,5,FALSE),IF($G$5="F1",'Definición técnica de imagenes'!$E$15,'Definición técnica de imagenes'!$F$13)),'Definición técnica de imagenes'!$E$16),"")</f>
        <v>526 x 370 px</v>
      </c>
      <c r="H19" s="96" t="str">
        <f t="shared" si="2"/>
        <v>CS_11_09_CO_IMG10_zoom</v>
      </c>
      <c r="I19" s="96" t="str">
        <f>IF(OR(B19&lt;&gt;"",J19&lt;&gt;""),IF($G$4="Recurso",IF(LEFT($G$5,1)="M",IF(VLOOKUP($G$5,'Definición técnica de imagenes'!$A$3:$G$17,6,FALSE)=0,"",VLOOKUP($G$5,'Definición técnica de imagenes'!$A$3:$G$17,6,FALSE)),IF($G$5="F1","","")),'Definición técnica de imagenes'!$F$16),"")</f>
        <v>800 x 600 px</v>
      </c>
      <c r="J19" s="100" t="s">
        <v>166</v>
      </c>
      <c r="K19" s="100" t="s">
        <v>169</v>
      </c>
    </row>
    <row r="20" spans="1:11" s="97" customFormat="1" ht="25.5" x14ac:dyDescent="0.2">
      <c r="A20" s="102" t="s">
        <v>151</v>
      </c>
      <c r="B20" s="117" t="s">
        <v>164</v>
      </c>
      <c r="C20" s="103" t="str">
        <f t="shared" si="0"/>
        <v>Cuaderno de Estudio</v>
      </c>
      <c r="D20" s="96" t="s">
        <v>147</v>
      </c>
      <c r="E20" s="96" t="s">
        <v>148</v>
      </c>
      <c r="F20" s="96" t="str">
        <f t="shared" si="1"/>
        <v>CS_11_09_CO_IMG11_small</v>
      </c>
      <c r="G20" s="96" t="str">
        <f>IF(F20&lt;&gt;"",IF($G$4="Recurso",IF(LEFT($G$5,1)="M",VLOOKUP($G$5,'Definición técnica de imagenes'!$A$3:$G$17,5,FALSE),IF($G$5="F1",'Definición técnica de imagenes'!$E$15,'Definición técnica de imagenes'!$F$13)),'Definición técnica de imagenes'!$E$16),"")</f>
        <v>526 x 370 px</v>
      </c>
      <c r="H20" s="96" t="str">
        <f t="shared" si="2"/>
        <v>CS_11_09_CO_IMG11_zoom</v>
      </c>
      <c r="I20" s="96" t="str">
        <f>IF(OR(B20&lt;&gt;"",J20&lt;&gt;""),IF($G$4="Recurso",IF(LEFT($G$5,1)="M",IF(VLOOKUP($G$5,'Definición técnica de imagenes'!$A$3:$G$17,6,FALSE)=0,"",VLOOKUP($G$5,'Definición técnica de imagenes'!$A$3:$G$17,6,FALSE)),IF($G$5="F1","","")),'Definición técnica de imagenes'!$F$16),"")</f>
        <v>800 x 600 px</v>
      </c>
      <c r="J20" s="101" t="s">
        <v>167</v>
      </c>
      <c r="K20" s="100" t="s">
        <v>170</v>
      </c>
    </row>
    <row r="21" spans="1:11" s="97" customFormat="1" ht="51" x14ac:dyDescent="0.2">
      <c r="A21" s="102" t="s">
        <v>172</v>
      </c>
      <c r="B21" s="117" t="s">
        <v>200</v>
      </c>
      <c r="C21" s="103" t="str">
        <f t="shared" si="0"/>
        <v>Cuaderno de Estudio</v>
      </c>
      <c r="D21" s="96" t="s">
        <v>147</v>
      </c>
      <c r="E21" s="96" t="s">
        <v>149</v>
      </c>
      <c r="F21" s="96" t="str">
        <f t="shared" si="1"/>
        <v>CS_11_09_CO_IMG12_small</v>
      </c>
      <c r="G21" s="96" t="str">
        <f>IF(F21&lt;&gt;"",IF($G$4="Recurso",IF(LEFT($G$5,1)="M",VLOOKUP($G$5,'Definición técnica de imagenes'!$A$3:$G$17,5,FALSE),IF($G$5="F1",'Definición técnica de imagenes'!$E$15,'Definición técnica de imagenes'!$F$13)),'Definición técnica de imagenes'!$E$16),"")</f>
        <v>526 x 370 px</v>
      </c>
      <c r="H21" s="96" t="str">
        <f t="shared" si="2"/>
        <v>CS_11_09_CO_IMG12_zoom</v>
      </c>
      <c r="I21" s="96" t="str">
        <f>IF(OR(B21&lt;&gt;"",J21&lt;&gt;""),IF($G$4="Recurso",IF(LEFT($G$5,1)="M",IF(VLOOKUP($G$5,'Definición técnica de imagenes'!$A$3:$G$17,6,FALSE)=0,"",VLOOKUP($G$5,'Definición técnica de imagenes'!$A$3:$G$17,6,FALSE)),IF($G$5="F1","","")),'Definición técnica de imagenes'!$F$16),"")</f>
        <v>800 x 600 px</v>
      </c>
      <c r="J21" s="100" t="s">
        <v>171</v>
      </c>
      <c r="K21" s="100"/>
    </row>
    <row r="22" spans="1:11" s="97" customFormat="1" ht="51" x14ac:dyDescent="0.2">
      <c r="A22" s="102" t="s">
        <v>173</v>
      </c>
      <c r="B22" s="117" t="s">
        <v>201</v>
      </c>
      <c r="C22" s="103" t="str">
        <f t="shared" si="0"/>
        <v>Cuaderno de Estudio</v>
      </c>
      <c r="D22" s="96" t="s">
        <v>147</v>
      </c>
      <c r="E22" s="96" t="s">
        <v>148</v>
      </c>
      <c r="F22" s="96" t="str">
        <f t="shared" si="1"/>
        <v>CS_11_09_CO_IMG13_small</v>
      </c>
      <c r="G22" s="96" t="str">
        <f>IF(F22&lt;&gt;"",IF($G$4="Recurso",IF(LEFT($G$5,1)="M",VLOOKUP($G$5,'Definición técnica de imagenes'!$A$3:$G$17,5,FALSE),IF($G$5="F1",'Definición técnica de imagenes'!$E$15,'Definición técnica de imagenes'!$F$13)),'Definición técnica de imagenes'!$E$16),"")</f>
        <v>526 x 370 px</v>
      </c>
      <c r="H22" s="96" t="str">
        <f t="shared" si="2"/>
        <v>CS_11_09_CO_IMG13_zoom</v>
      </c>
      <c r="I22" s="96" t="str">
        <f>IF(OR(B22&lt;&gt;"",J22&lt;&gt;""),IF($G$4="Recurso",IF(LEFT($G$5,1)="M",IF(VLOOKUP($G$5,'Definición técnica de imagenes'!$A$3:$G$17,6,FALSE)=0,"",VLOOKUP($G$5,'Definición técnica de imagenes'!$A$3:$G$17,6,FALSE)),IF($G$5="F1","","")),'Definición técnica de imagenes'!$F$16),"")</f>
        <v>800 x 600 px</v>
      </c>
      <c r="J22" s="96" t="s">
        <v>183</v>
      </c>
      <c r="K22" s="101" t="s">
        <v>184</v>
      </c>
    </row>
    <row r="23" spans="1:11" s="97" customFormat="1" ht="51" x14ac:dyDescent="0.2">
      <c r="A23" s="102" t="s">
        <v>174</v>
      </c>
      <c r="B23" s="116" t="s">
        <v>185</v>
      </c>
      <c r="C23" s="119" t="s">
        <v>146</v>
      </c>
      <c r="D23" s="96" t="s">
        <v>147</v>
      </c>
      <c r="E23" s="96" t="s">
        <v>149</v>
      </c>
      <c r="F23" s="96" t="str">
        <f t="shared" si="1"/>
        <v>CS_11_09_CO_IMG14_small</v>
      </c>
      <c r="G23" s="96" t="str">
        <f>IF(F23&lt;&gt;"",IF($G$4="Recurso",IF(LEFT($G$5,1)="M",VLOOKUP($G$5,'Definición técnica de imagenes'!$A$3:$G$17,5,FALSE),IF($G$5="F1",'Definición técnica de imagenes'!$E$15,'Definición técnica de imagenes'!$F$13)),'Definición técnica de imagenes'!$E$16),"")</f>
        <v>526 x 370 px</v>
      </c>
      <c r="H23" s="96" t="str">
        <f t="shared" si="2"/>
        <v>CS_11_09_CO_IMG14_zoom</v>
      </c>
      <c r="I23" s="96" t="str">
        <f>IF(OR(B23&lt;&gt;"",J23&lt;&gt;""),IF($G$4="Recurso",IF(LEFT($G$5,1)="M",IF(VLOOKUP($G$5,'Definición técnica de imagenes'!$A$3:$G$17,6,FALSE)=0,"",VLOOKUP($G$5,'Definición técnica de imagenes'!$A$3:$G$17,6,FALSE)),IF($G$5="F1","","")),'Definición técnica de imagenes'!$F$16),"")</f>
        <v>800 x 600 px</v>
      </c>
      <c r="J23" s="101" t="s">
        <v>186</v>
      </c>
      <c r="K23" s="101"/>
    </row>
    <row r="24" spans="1:11" s="97" customFormat="1" ht="89.25" x14ac:dyDescent="0.2">
      <c r="A24" s="102" t="s">
        <v>175</v>
      </c>
      <c r="B24" s="118" t="s">
        <v>187</v>
      </c>
      <c r="C24" s="103" t="s">
        <v>146</v>
      </c>
      <c r="D24" s="96" t="s">
        <v>147</v>
      </c>
      <c r="E24" s="96" t="s">
        <v>149</v>
      </c>
      <c r="F24" s="96" t="str">
        <f t="shared" si="1"/>
        <v>CS_11_09_CO_IMG15_small</v>
      </c>
      <c r="G24" s="96" t="str">
        <f>IF(F24&lt;&gt;"",IF($G$4="Recurso",IF(LEFT($G$5,1)="M",VLOOKUP($G$5,'Definición técnica de imagenes'!$A$3:$G$17,5,FALSE),IF($G$5="F1",'Definición técnica de imagenes'!$E$15,'Definición técnica de imagenes'!$F$13)),'Definición técnica de imagenes'!$E$16),"")</f>
        <v>526 x 370 px</v>
      </c>
      <c r="H24" s="96" t="str">
        <f t="shared" si="2"/>
        <v>CS_11_09_CO_IMG15_zoom</v>
      </c>
      <c r="I24" s="96" t="str">
        <f>IF(OR(B24&lt;&gt;"",J24&lt;&gt;""),IF($G$4="Recurso",IF(LEFT($G$5,1)="M",IF(VLOOKUP($G$5,'Definición técnica de imagenes'!$A$3:$G$17,6,FALSE)=0,"",VLOOKUP($G$5,'Definición técnica de imagenes'!$A$3:$G$17,6,FALSE)),IF($G$5="F1","","")),'Definición técnica de imagenes'!$F$16),"")</f>
        <v>800 x 600 px</v>
      </c>
      <c r="J24" s="96" t="s">
        <v>188</v>
      </c>
      <c r="K24" s="96" t="s">
        <v>191</v>
      </c>
    </row>
    <row r="25" spans="1:11" s="97" customFormat="1" ht="12.75" x14ac:dyDescent="0.2">
      <c r="A25" s="102" t="s">
        <v>176</v>
      </c>
      <c r="B25" s="116">
        <v>254494927</v>
      </c>
      <c r="C25" s="119" t="s">
        <v>146</v>
      </c>
      <c r="D25" s="96" t="s">
        <v>147</v>
      </c>
      <c r="E25" s="96" t="s">
        <v>149</v>
      </c>
      <c r="F25" s="96" t="str">
        <f t="shared" si="1"/>
        <v>CS_11_09_CO_IMG16_small</v>
      </c>
      <c r="G25" s="96" t="str">
        <f>IF(F25&lt;&gt;"",IF($G$4="Recurso",IF(LEFT($G$5,1)="M",VLOOKUP($G$5,'Definición técnica de imagenes'!$A$3:$G$17,5,FALSE),IF($G$5="F1",'Definición técnica de imagenes'!$E$15,'Definición técnica de imagenes'!$F$13)),'Definición técnica de imagenes'!$E$16),"")</f>
        <v>526 x 370 px</v>
      </c>
      <c r="H25" s="96" t="str">
        <f t="shared" si="2"/>
        <v>CS_11_09_CO_IMG16_zoom</v>
      </c>
      <c r="I25" s="96" t="str">
        <f>IF(OR(B25&lt;&gt;"",J25&lt;&gt;""),IF($G$4="Recurso",IF(LEFT($G$5,1)="M",IF(VLOOKUP($G$5,'Definición técnica de imagenes'!$A$3:$G$17,6,FALSE)=0,"",VLOOKUP($G$5,'Definición técnica de imagenes'!$A$3:$G$17,6,FALSE)),IF($G$5="F1","","")),'Definición técnica de imagenes'!$F$16),"")</f>
        <v>800 x 600 px</v>
      </c>
      <c r="J25" s="96" t="s">
        <v>189</v>
      </c>
      <c r="K25" s="101" t="s">
        <v>192</v>
      </c>
    </row>
    <row r="26" spans="1:11" s="97" customFormat="1" ht="12.75" x14ac:dyDescent="0.2">
      <c r="A26" s="102" t="s">
        <v>177</v>
      </c>
      <c r="B26" s="117">
        <v>82771891</v>
      </c>
      <c r="C26" s="119" t="s">
        <v>146</v>
      </c>
      <c r="D26" s="96" t="s">
        <v>147</v>
      </c>
      <c r="E26" s="96" t="s">
        <v>148</v>
      </c>
      <c r="F26" s="96" t="str">
        <f t="shared" si="1"/>
        <v>CS_11_09_CO_IMG17_small</v>
      </c>
      <c r="G26" s="96" t="str">
        <f>IF(F26&lt;&gt;"",IF($G$4="Recurso",IF(LEFT($G$5,1)="M",VLOOKUP($G$5,'Definición técnica de imagenes'!$A$3:$G$17,5,FALSE),IF($G$5="F1",'Definición técnica de imagenes'!$E$15,'Definición técnica de imagenes'!$F$13)),'Definición técnica de imagenes'!$E$16),"")</f>
        <v>526 x 370 px</v>
      </c>
      <c r="H26" s="96" t="str">
        <f t="shared" si="2"/>
        <v>CS_11_09_CO_IMG17_zoom</v>
      </c>
      <c r="I26" s="96" t="str">
        <f>IF(OR(B26&lt;&gt;"",J26&lt;&gt;""),IF($G$4="Recurso",IF(LEFT($G$5,1)="M",IF(VLOOKUP($G$5,'Definición técnica de imagenes'!$A$3:$G$17,6,FALSE)=0,"",VLOOKUP($G$5,'Definición técnica de imagenes'!$A$3:$G$17,6,FALSE)),IF($G$5="F1","","")),'Definición técnica de imagenes'!$F$16),"")</f>
        <v>800 x 600 px</v>
      </c>
      <c r="J26" s="96" t="s">
        <v>190</v>
      </c>
      <c r="K26" s="101"/>
    </row>
    <row r="27" spans="1:11" s="97" customFormat="1" ht="89.25" x14ac:dyDescent="0.2">
      <c r="A27" s="102" t="s">
        <v>178</v>
      </c>
      <c r="B27" s="95" t="s">
        <v>202</v>
      </c>
      <c r="C27" s="119" t="s">
        <v>146</v>
      </c>
      <c r="D27" s="96" t="s">
        <v>193</v>
      </c>
      <c r="E27" s="96" t="s">
        <v>149</v>
      </c>
      <c r="F27" s="96" t="str">
        <f t="shared" si="1"/>
        <v>CS_11_09_CO_IMG18_small</v>
      </c>
      <c r="G27" s="96" t="str">
        <f>IF(F27&lt;&gt;"",IF($G$4="Recurso",IF(LEFT($G$5,1)="M",VLOOKUP($G$5,'Definición técnica de imagenes'!$A$3:$G$17,5,FALSE),IF($G$5="F1",'Definición técnica de imagenes'!$E$15,'Definición técnica de imagenes'!$F$13)),'Definición técnica de imagenes'!$E$16),"")</f>
        <v>526 x 370 px</v>
      </c>
      <c r="H27" s="96" t="str">
        <f t="shared" si="2"/>
        <v>CS_11_09_CO_IMG18_zoom</v>
      </c>
      <c r="I27" s="96" t="str">
        <f>IF(OR(B27&lt;&gt;"",J27&lt;&gt;""),IF($G$4="Recurso",IF(LEFT($G$5,1)="M",IF(VLOOKUP($G$5,'Definición técnica de imagenes'!$A$3:$G$17,6,FALSE)=0,"",VLOOKUP($G$5,'Definición técnica de imagenes'!$A$3:$G$17,6,FALSE)),IF($G$5="F1","","")),'Definición técnica de imagenes'!$F$16),"")</f>
        <v>800 x 600 px</v>
      </c>
      <c r="J27" s="101" t="s">
        <v>194</v>
      </c>
      <c r="K27" s="101" t="s">
        <v>195</v>
      </c>
    </row>
    <row r="28" spans="1:11" s="97" customFormat="1" ht="12.75" x14ac:dyDescent="0.2">
      <c r="A28" s="102" t="s">
        <v>179</v>
      </c>
      <c r="B28" s="104" t="s">
        <v>203</v>
      </c>
      <c r="C28" s="103" t="s">
        <v>146</v>
      </c>
      <c r="D28" s="96" t="s">
        <v>147</v>
      </c>
      <c r="E28" s="96" t="s">
        <v>149</v>
      </c>
      <c r="F28" s="96" t="str">
        <f t="shared" si="1"/>
        <v>CS_11_09_CO_IMG19_small</v>
      </c>
      <c r="G28" s="96" t="str">
        <f>IF(F28&lt;&gt;"",IF($G$4="Recurso",IF(LEFT($G$5,1)="M",VLOOKUP($G$5,'Definición técnica de imagenes'!$A$3:$G$17,5,FALSE),IF($G$5="F1",'Definición técnica de imagenes'!$E$15,'Definición técnica de imagenes'!$F$13)),'Definición técnica de imagenes'!$E$16),"")</f>
        <v>526 x 370 px</v>
      </c>
      <c r="H28" s="96" t="str">
        <f t="shared" si="2"/>
        <v>CS_11_09_CO_IMG19_zoom</v>
      </c>
      <c r="I28" s="96" t="str">
        <f>IF(OR(B28&lt;&gt;"",J28&lt;&gt;""),IF($G$4="Recurso",IF(LEFT($G$5,1)="M",IF(VLOOKUP($G$5,'Definición técnica de imagenes'!$A$3:$G$17,6,FALSE)=0,"",VLOOKUP($G$5,'Definición técnica de imagenes'!$A$3:$G$17,6,FALSE)),IF($G$5="F1","","")),'Definición técnica de imagenes'!$F$16),"")</f>
        <v>800 x 600 px</v>
      </c>
      <c r="J28" s="101" t="s">
        <v>196</v>
      </c>
      <c r="K28" s="101"/>
    </row>
    <row r="29" spans="1:11" s="97" customFormat="1" ht="12.75" x14ac:dyDescent="0.2">
      <c r="A29" s="102" t="s">
        <v>180</v>
      </c>
      <c r="B29" s="100">
        <v>216886072</v>
      </c>
      <c r="C29" s="119" t="s">
        <v>146</v>
      </c>
      <c r="D29" s="96" t="s">
        <v>147</v>
      </c>
      <c r="E29" s="96" t="s">
        <v>148</v>
      </c>
      <c r="F29" s="96" t="str">
        <f t="shared" si="1"/>
        <v>CS_11_09_CO_IMG20_small</v>
      </c>
      <c r="G29" s="96" t="str">
        <f>IF(F29&lt;&gt;"",IF($G$4="Recurso",IF(LEFT($G$5,1)="M",VLOOKUP($G$5,'Definición técnica de imagenes'!$A$3:$G$17,5,FALSE),IF($G$5="F1",'Definición técnica de imagenes'!$E$15,'Definición técnica de imagenes'!$F$13)),'Definición técnica de imagenes'!$E$16),"")</f>
        <v>526 x 370 px</v>
      </c>
      <c r="H29" s="96" t="str">
        <f t="shared" si="2"/>
        <v>CS_11_09_CO_IMG20_zoom</v>
      </c>
      <c r="I29" s="96" t="str">
        <f>IF(OR(B29&lt;&gt;"",J29&lt;&gt;""),IF($G$4="Recurso",IF(LEFT($G$5,1)="M",IF(VLOOKUP($G$5,'Definición técnica de imagenes'!$A$3:$G$17,6,FALSE)=0,"",VLOOKUP($G$5,'Definición técnica de imagenes'!$A$3:$G$17,6,FALSE)),IF($G$5="F1","","")),'Definición técnica de imagenes'!$F$16),"")</f>
        <v>800 x 600 px</v>
      </c>
      <c r="J29" s="101" t="s">
        <v>197</v>
      </c>
      <c r="K29" s="101"/>
    </row>
    <row r="30" spans="1:11" s="97" customFormat="1" ht="101.25" customHeight="1" x14ac:dyDescent="0.2">
      <c r="A30" s="102" t="s">
        <v>181</v>
      </c>
      <c r="B30" s="100" t="s">
        <v>198</v>
      </c>
      <c r="C30" s="119" t="s">
        <v>146</v>
      </c>
      <c r="D30" s="96" t="s">
        <v>147</v>
      </c>
      <c r="E30" s="96" t="s">
        <v>148</v>
      </c>
      <c r="F30" s="96" t="str">
        <f t="shared" si="1"/>
        <v>CS_11_09_CO_IMG21_small</v>
      </c>
      <c r="G30" s="96" t="str">
        <f>IF(F30&lt;&gt;"",IF($G$4="Recurso",IF(LEFT($G$5,1)="M",VLOOKUP($G$5,'Definición técnica de imagenes'!$A$3:$G$17,5,FALSE),IF($G$5="F1",'Definición técnica de imagenes'!$E$15,'Definición técnica de imagenes'!$F$13)),'Definición técnica de imagenes'!$E$16),"")</f>
        <v>526 x 370 px</v>
      </c>
      <c r="H30" s="96" t="str">
        <f t="shared" si="2"/>
        <v>CS_11_09_CO_IMG21_zoom</v>
      </c>
      <c r="I30" s="96" t="str">
        <f>IF(OR(B30&lt;&gt;"",J30&lt;&gt;""),IF($G$4="Recurso",IF(LEFT($G$5,1)="M",IF(VLOOKUP($G$5,'Definición técnica de imagenes'!$A$3:$G$17,6,FALSE)=0,"",VLOOKUP($G$5,'Definición técnica de imagenes'!$A$3:$G$17,6,FALSE)),IF($G$5="F1","","")),'Definición técnica de imagenes'!$F$16),"")</f>
        <v>800 x 600 px</v>
      </c>
      <c r="J30" s="101" t="s">
        <v>199</v>
      </c>
      <c r="K30" s="101" t="s">
        <v>207</v>
      </c>
    </row>
    <row r="31" spans="1:11" s="12" customFormat="1" x14ac:dyDescent="0.25">
      <c r="A31" s="13"/>
      <c r="B31" s="23"/>
      <c r="C31" s="23"/>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3"/>
      <c r="C32" s="23"/>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3"/>
      <c r="C33" s="23"/>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3"/>
      <c r="C34" s="23"/>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2"/>
      <c r="C35" s="22"/>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2"/>
      <c r="C37" s="22"/>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5"/>
      <c r="C38" s="25"/>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2"/>
      <c r="C39" s="22"/>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2"/>
      <c r="C40" s="22"/>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2"/>
      <c r="C41" s="22"/>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2"/>
      <c r="C42" s="22"/>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2"/>
      <c r="C43" s="22"/>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2"/>
      <c r="C44" s="22"/>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2"/>
      <c r="C45" s="22"/>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2"/>
      <c r="C46" s="22"/>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2"/>
      <c r="C47" s="22"/>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2"/>
      <c r="C48" s="22"/>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2"/>
      <c r="C49" s="22"/>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2"/>
      <c r="C50" s="22"/>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2"/>
      <c r="C51" s="22"/>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2"/>
      <c r="C52" s="22"/>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2"/>
      <c r="C53" s="22"/>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2"/>
      <c r="C54" s="22"/>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2"/>
      <c r="C55" s="22"/>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2"/>
      <c r="C56" s="22"/>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2"/>
      <c r="C57" s="22"/>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2"/>
      <c r="C58" s="22"/>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2"/>
      <c r="C59" s="22"/>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2"/>
      <c r="C60" s="22"/>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2"/>
      <c r="C61" s="22"/>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4"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5" sqref="D5:E5"/>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79" t="s">
        <v>38</v>
      </c>
      <c r="B1" s="80"/>
      <c r="C1" s="80"/>
      <c r="D1" s="80"/>
      <c r="E1" s="80"/>
      <c r="F1" s="81"/>
    </row>
    <row r="2" spans="1:11" x14ac:dyDescent="0.25">
      <c r="A2" s="34" t="s">
        <v>42</v>
      </c>
      <c r="B2" s="35"/>
      <c r="C2" s="82" t="s">
        <v>13</v>
      </c>
      <c r="D2" s="83"/>
      <c r="E2" s="84"/>
      <c r="F2" s="36"/>
    </row>
    <row r="3" spans="1:11" ht="63" x14ac:dyDescent="0.25">
      <c r="A3" s="37" t="s">
        <v>43</v>
      </c>
      <c r="B3" s="35"/>
      <c r="C3" s="88" t="s">
        <v>14</v>
      </c>
      <c r="D3" s="89"/>
      <c r="E3" s="90"/>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91" t="str">
        <f>CONCATENATE(H21,"_",I21,"_",J21,"_CO")</f>
        <v>CS_11_08_CO</v>
      </c>
      <c r="E5" s="92"/>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5" t="s">
        <v>127</v>
      </c>
      <c r="D7" s="77" t="str">
        <f>CONCATENATE("SolicitudGrafica_",D5,".xls")</f>
        <v>SolicitudGrafica_CS_11_08_CO.xls</v>
      </c>
      <c r="E7" s="77"/>
      <c r="F7" s="78"/>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79" t="s">
        <v>41</v>
      </c>
      <c r="B13" s="80"/>
      <c r="C13" s="80"/>
      <c r="D13" s="80"/>
      <c r="E13" s="80"/>
      <c r="F13" s="81"/>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82" t="s">
        <v>49</v>
      </c>
      <c r="D15" s="83"/>
      <c r="E15" s="83"/>
      <c r="F15" s="84"/>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85" t="str">
        <f>CONCATENATE(H21,"_",I21,"_",J21,"_",K45)</f>
        <v>CS_11_08_REC10</v>
      </c>
      <c r="E17" s="86"/>
      <c r="F17" s="87"/>
      <c r="J17" s="26">
        <v>14</v>
      </c>
      <c r="K17" s="26">
        <v>14</v>
      </c>
    </row>
    <row r="18" spans="1:11" ht="79.5" thickBot="1" x14ac:dyDescent="0.3">
      <c r="A18" s="37" t="s">
        <v>48</v>
      </c>
      <c r="B18" s="35"/>
      <c r="C18" s="65" t="s">
        <v>128</v>
      </c>
      <c r="D18" s="77" t="str">
        <f>CONCATENATE("SolicitudGrafica_",D17,".xls")</f>
        <v>SolicitudGrafica_CS_11_08_REC10.xls</v>
      </c>
      <c r="E18" s="77"/>
      <c r="F18" s="78"/>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3</v>
      </c>
      <c r="I20" s="26">
        <v>9</v>
      </c>
      <c r="J20" s="26">
        <v>8</v>
      </c>
      <c r="K20" s="26">
        <v>17</v>
      </c>
    </row>
    <row r="21" spans="1:11" x14ac:dyDescent="0.25">
      <c r="H21" s="26" t="str">
        <f>IF(INDEX(H4:H7,H20)=H4,"MA",IF(INDEX(H4:H7,H20)=H5,"CN",IF(INDEX(H4:H7,H20)=H6,"CS",IF(INDEX(H4:H7,H20)=H7,"LE"))))</f>
        <v>CS</v>
      </c>
      <c r="I21" s="26" t="str">
        <f>CONCATENATE(IF((I20+2)&lt;10,"0",""),I20+2)</f>
        <v>11</v>
      </c>
      <c r="J21" s="26" t="str">
        <f>CONCATENATE(IF(J20&lt;10,"0",""),J20)</f>
        <v>08</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93" t="s">
        <v>56</v>
      </c>
      <c r="B1" s="93" t="s">
        <v>63</v>
      </c>
      <c r="C1" s="93" t="s">
        <v>64</v>
      </c>
      <c r="D1" s="93" t="s">
        <v>5</v>
      </c>
      <c r="E1" s="93" t="s">
        <v>65</v>
      </c>
      <c r="F1" s="93" t="s">
        <v>66</v>
      </c>
      <c r="G1" s="93" t="s">
        <v>67</v>
      </c>
      <c r="H1" s="94" t="s">
        <v>68</v>
      </c>
      <c r="I1" s="94"/>
      <c r="J1" s="94"/>
    </row>
    <row r="2" spans="1:11" x14ac:dyDescent="0.25">
      <c r="A2" s="93"/>
      <c r="B2" s="93"/>
      <c r="C2" s="93"/>
      <c r="D2" s="93"/>
      <c r="E2" s="93"/>
      <c r="F2" s="93"/>
      <c r="G2" s="93"/>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6" t="s">
        <v>137</v>
      </c>
      <c r="C22" s="63" t="s">
        <v>138</v>
      </c>
      <c r="D22" s="62"/>
      <c r="E22" s="62"/>
    </row>
    <row r="23" spans="1:11" x14ac:dyDescent="0.25">
      <c r="A23" s="61" t="s">
        <v>115</v>
      </c>
      <c r="B23" s="66"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2015-04-26T20:10:59Z</dcterms:modified>
</cp:coreProperties>
</file>