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usakov/Перспективные информационные технологии/lab4/"/>
    </mc:Choice>
  </mc:AlternateContent>
  <xr:revisionPtr revIDLastSave="0" documentId="13_ncr:1_{6D5F2DAE-AC6A-2D4B-AA78-94A4E3EF7250}" xr6:coauthVersionLast="47" xr6:coauthVersionMax="47" xr10:uidLastSave="{00000000-0000-0000-0000-000000000000}"/>
  <bookViews>
    <workbookView xWindow="0" yWindow="740" windowWidth="34560" windowHeight="21600" xr2:uid="{80DD7CEE-6B2A-D54C-8B32-8E7F5D80F6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9" i="1" l="1"/>
  <c r="B179" i="1"/>
  <c r="D179" i="1" s="1"/>
  <c r="A180" i="1"/>
  <c r="B180" i="1"/>
  <c r="C180" i="1" s="1"/>
  <c r="E180" i="1"/>
  <c r="A181" i="1"/>
  <c r="B181" i="1" s="1"/>
  <c r="A182" i="1"/>
  <c r="B182" i="1"/>
  <c r="C182" i="1" s="1"/>
  <c r="E182" i="1"/>
  <c r="A183" i="1"/>
  <c r="B183" i="1" s="1"/>
  <c r="A184" i="1"/>
  <c r="B184" i="1"/>
  <c r="E184" i="1"/>
  <c r="A185" i="1"/>
  <c r="B185" i="1" s="1"/>
  <c r="A186" i="1"/>
  <c r="B186" i="1"/>
  <c r="C186" i="1" s="1"/>
  <c r="E186" i="1"/>
  <c r="A187" i="1"/>
  <c r="B187" i="1" s="1"/>
  <c r="A188" i="1"/>
  <c r="B188" i="1"/>
  <c r="C188" i="1" s="1"/>
  <c r="E188" i="1"/>
  <c r="A189" i="1"/>
  <c r="B189" i="1" s="1"/>
  <c r="A190" i="1"/>
  <c r="B190" i="1"/>
  <c r="C190" i="1" s="1"/>
  <c r="E190" i="1"/>
  <c r="A191" i="1"/>
  <c r="B191" i="1" s="1"/>
  <c r="A192" i="1"/>
  <c r="B192" i="1"/>
  <c r="C192" i="1" s="1"/>
  <c r="E192" i="1"/>
  <c r="A193" i="1"/>
  <c r="B193" i="1" s="1"/>
  <c r="A194" i="1"/>
  <c r="B194" i="1"/>
  <c r="E194" i="1"/>
  <c r="A195" i="1"/>
  <c r="B195" i="1" s="1"/>
  <c r="A196" i="1"/>
  <c r="B196" i="1"/>
  <c r="C196" i="1" s="1"/>
  <c r="E196" i="1"/>
  <c r="A197" i="1"/>
  <c r="B197" i="1" s="1"/>
  <c r="A198" i="1"/>
  <c r="B198" i="1"/>
  <c r="C198" i="1" s="1"/>
  <c r="E198" i="1"/>
  <c r="A199" i="1"/>
  <c r="B199" i="1" s="1"/>
  <c r="A200" i="1"/>
  <c r="B200" i="1"/>
  <c r="C200" i="1" s="1"/>
  <c r="E200" i="1"/>
  <c r="A201" i="1"/>
  <c r="B201" i="1" s="1"/>
  <c r="A202" i="1"/>
  <c r="B202" i="1"/>
  <c r="C202" i="1" s="1"/>
  <c r="E202" i="1"/>
  <c r="A203" i="1"/>
  <c r="B203" i="1" s="1"/>
  <c r="C161" i="1"/>
  <c r="E214" i="1"/>
  <c r="E213" i="1"/>
  <c r="E212" i="1"/>
  <c r="B212" i="1"/>
  <c r="B211" i="1"/>
  <c r="B210" i="1"/>
  <c r="E169" i="1"/>
  <c r="B168" i="1"/>
  <c r="G165" i="1"/>
  <c r="A137" i="1"/>
  <c r="B137" i="1" s="1"/>
  <c r="A138" i="1"/>
  <c r="B138" i="1" s="1"/>
  <c r="A139" i="1"/>
  <c r="B139" i="1" s="1"/>
  <c r="A140" i="1"/>
  <c r="B140" i="1" s="1"/>
  <c r="E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E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E160" i="1" s="1"/>
  <c r="A136" i="1"/>
  <c r="B136" i="1" s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07" i="1"/>
  <c r="F128" i="1"/>
  <c r="B102" i="1"/>
  <c r="A80" i="1" s="1"/>
  <c r="D102" i="1"/>
  <c r="F85" i="1"/>
  <c r="G85" i="1" s="1"/>
  <c r="F84" i="1"/>
  <c r="D8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4" i="1"/>
  <c r="E72" i="1"/>
  <c r="E71" i="1"/>
  <c r="H53" i="1"/>
  <c r="K52" i="1"/>
  <c r="K51" i="1"/>
  <c r="A38" i="1"/>
  <c r="D31" i="1" s="1"/>
  <c r="A36" i="1"/>
  <c r="A34" i="1"/>
  <c r="A32" i="1"/>
  <c r="G31" i="1"/>
  <c r="C201" i="1" l="1"/>
  <c r="D201" i="1"/>
  <c r="E201" i="1"/>
  <c r="C203" i="1"/>
  <c r="D203" i="1"/>
  <c r="E203" i="1"/>
  <c r="C197" i="1"/>
  <c r="D197" i="1"/>
  <c r="E197" i="1"/>
  <c r="C183" i="1"/>
  <c r="D183" i="1"/>
  <c r="E183" i="1"/>
  <c r="C193" i="1"/>
  <c r="D193" i="1"/>
  <c r="E193" i="1"/>
  <c r="C187" i="1"/>
  <c r="D187" i="1"/>
  <c r="E187" i="1"/>
  <c r="C191" i="1"/>
  <c r="D191" i="1"/>
  <c r="E191" i="1"/>
  <c r="C181" i="1"/>
  <c r="D181" i="1"/>
  <c r="E181" i="1"/>
  <c r="C195" i="1"/>
  <c r="D195" i="1"/>
  <c r="E195" i="1"/>
  <c r="C185" i="1"/>
  <c r="D185" i="1"/>
  <c r="E185" i="1"/>
  <c r="B206" i="1" s="1"/>
  <c r="C199" i="1"/>
  <c r="D199" i="1"/>
  <c r="E199" i="1"/>
  <c r="C194" i="1"/>
  <c r="C189" i="1"/>
  <c r="D189" i="1"/>
  <c r="E189" i="1"/>
  <c r="C18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E179" i="1"/>
  <c r="D32" i="1"/>
  <c r="G212" i="1"/>
  <c r="G213" i="1"/>
  <c r="G214" i="1"/>
  <c r="A87" i="1"/>
  <c r="F212" i="1"/>
  <c r="A97" i="1"/>
  <c r="A86" i="1"/>
  <c r="A96" i="1"/>
  <c r="F214" i="1"/>
  <c r="F213" i="1"/>
  <c r="A99" i="1"/>
  <c r="A89" i="1"/>
  <c r="A79" i="1"/>
  <c r="E136" i="1"/>
  <c r="A83" i="1"/>
  <c r="A77" i="1"/>
  <c r="A82" i="1"/>
  <c r="D58" i="1"/>
  <c r="E68" i="1"/>
  <c r="A98" i="1"/>
  <c r="A88" i="1"/>
  <c r="A78" i="1"/>
  <c r="B107" i="1"/>
  <c r="A95" i="1"/>
  <c r="A85" i="1"/>
  <c r="A94" i="1"/>
  <c r="A84" i="1"/>
  <c r="A93" i="1"/>
  <c r="D62" i="1"/>
  <c r="A92" i="1"/>
  <c r="A101" i="1"/>
  <c r="A91" i="1"/>
  <c r="A81" i="1"/>
  <c r="D60" i="1"/>
  <c r="G84" i="1"/>
  <c r="A100" i="1"/>
  <c r="A90" i="1"/>
  <c r="B122" i="1"/>
  <c r="B124" i="1" s="1"/>
  <c r="E145" i="1"/>
  <c r="E155" i="1"/>
  <c r="D144" i="1"/>
  <c r="E144" i="1"/>
  <c r="D154" i="1"/>
  <c r="E154" i="1"/>
  <c r="D139" i="1"/>
  <c r="E139" i="1"/>
  <c r="D147" i="1"/>
  <c r="E147" i="1"/>
  <c r="E146" i="1"/>
  <c r="D146" i="1"/>
  <c r="D152" i="1"/>
  <c r="E152" i="1"/>
  <c r="E153" i="1"/>
  <c r="D153" i="1"/>
  <c r="D149" i="1"/>
  <c r="E149" i="1"/>
  <c r="E157" i="1"/>
  <c r="D157" i="1"/>
  <c r="E148" i="1"/>
  <c r="D148" i="1"/>
  <c r="E141" i="1"/>
  <c r="D141" i="1"/>
  <c r="D142" i="1"/>
  <c r="E142" i="1"/>
  <c r="E159" i="1"/>
  <c r="D159" i="1"/>
  <c r="D137" i="1"/>
  <c r="E137" i="1"/>
  <c r="E138" i="1"/>
  <c r="D138" i="1"/>
  <c r="D156" i="1"/>
  <c r="E156" i="1"/>
  <c r="E158" i="1"/>
  <c r="D158" i="1"/>
  <c r="E143" i="1"/>
  <c r="D143" i="1"/>
  <c r="E151" i="1"/>
  <c r="D151" i="1"/>
  <c r="D160" i="1"/>
  <c r="D140" i="1"/>
  <c r="D145" i="1"/>
  <c r="D150" i="1"/>
  <c r="D155" i="1"/>
  <c r="B109" i="1"/>
  <c r="B111" i="1" s="1"/>
  <c r="B120" i="1"/>
  <c r="D52" i="1"/>
  <c r="D54" i="1"/>
  <c r="D44" i="1"/>
  <c r="D51" i="1"/>
  <c r="D53" i="1"/>
  <c r="C56" i="1"/>
  <c r="C66" i="1"/>
  <c r="D64" i="1"/>
  <c r="C53" i="1"/>
  <c r="C48" i="1"/>
  <c r="D63" i="1"/>
  <c r="C60" i="1"/>
  <c r="D57" i="1"/>
  <c r="C54" i="1"/>
  <c r="C64" i="1"/>
  <c r="D46" i="1"/>
  <c r="D50" i="1"/>
  <c r="D47" i="1"/>
  <c r="C62" i="1"/>
  <c r="D45" i="1"/>
  <c r="D49" i="1"/>
  <c r="C67" i="1"/>
  <c r="C61" i="1"/>
  <c r="C58" i="1"/>
  <c r="D55" i="1"/>
  <c r="C65" i="1"/>
  <c r="D56" i="1"/>
  <c r="D59" i="1"/>
  <c r="D66" i="1"/>
  <c r="C44" i="1"/>
  <c r="C57" i="1"/>
  <c r="C59" i="1"/>
  <c r="C63" i="1"/>
  <c r="D48" i="1"/>
  <c r="D61" i="1"/>
  <c r="D65" i="1"/>
  <c r="D67" i="1"/>
  <c r="C52" i="1"/>
  <c r="C46" i="1"/>
  <c r="C50" i="1"/>
  <c r="C55" i="1"/>
  <c r="C45" i="1"/>
  <c r="C47" i="1"/>
  <c r="C49" i="1"/>
  <c r="C51" i="1"/>
  <c r="G33" i="1"/>
  <c r="D33" i="1"/>
  <c r="C127" i="1" l="1"/>
  <c r="B205" i="1"/>
  <c r="B167" i="1"/>
  <c r="E172" i="1" s="1"/>
  <c r="B166" i="1"/>
  <c r="E165" i="1"/>
  <c r="E161" i="1"/>
  <c r="D161" i="1"/>
  <c r="C128" i="1"/>
  <c r="D68" i="1"/>
  <c r="H52" i="1" s="1"/>
  <c r="C68" i="1"/>
  <c r="H51" i="1" s="1"/>
  <c r="F162" i="1" l="1"/>
  <c r="B169" i="1"/>
</calcChain>
</file>

<file path=xl/sharedStrings.xml><?xml version="1.0" encoding="utf-8"?>
<sst xmlns="http://schemas.openxmlformats.org/spreadsheetml/2006/main" count="126" uniqueCount="86">
  <si>
    <t>Год</t>
  </si>
  <si>
    <t>Месяц</t>
  </si>
  <si>
    <t>t</t>
  </si>
  <si>
    <t>Склонность к покупкам в кредит</t>
  </si>
  <si>
    <t>Номер месяца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</si>
  <si>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</si>
  <si>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</si>
  <si>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</si>
  <si>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</si>
  <si>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</si>
  <si>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</si>
  <si>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</si>
  <si>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</si>
  <si>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</si>
  <si>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</si>
  <si>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</si>
  <si>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</si>
  <si>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Проверка гипотезы о равенстве двух средних с помощью t-критерия Стьюдента</t>
  </si>
  <si>
    <t>Средний уровень</t>
  </si>
  <si>
    <t>F</t>
  </si>
  <si>
    <t>&lt;</t>
  </si>
  <si>
    <t>Fтабл</t>
  </si>
  <si>
    <t>гипотеза о равенстве дисперсий не отвергается</t>
  </si>
  <si>
    <t>σ</t>
  </si>
  <si>
    <t>Выборочная дисперсия</t>
  </si>
  <si>
    <t>&gt;</t>
  </si>
  <si>
    <t>tтабл</t>
  </si>
  <si>
    <t>гипотеза о несущественном различии между средними уровнями отвергается</t>
  </si>
  <si>
    <t>Средний уровнеь</t>
  </si>
  <si>
    <t>Метод Фостера-Стьюарта</t>
  </si>
  <si>
    <t>k(t)</t>
  </si>
  <si>
    <t>l(t)</t>
  </si>
  <si>
    <t>k(t) + l(t)</t>
  </si>
  <si>
    <t>k(t) - l(t)</t>
  </si>
  <si>
    <t>t(s)</t>
  </si>
  <si>
    <t>t(d)</t>
  </si>
  <si>
    <t>гипотеза о наличии тренда в среднем и о наличии тренда дисперсии уровня ряда не отвергается</t>
  </si>
  <si>
    <t>s</t>
  </si>
  <si>
    <t>d</t>
  </si>
  <si>
    <t>μ</t>
  </si>
  <si>
    <t>σ1</t>
  </si>
  <si>
    <t>σ2</t>
  </si>
  <si>
    <t>Метод серий</t>
  </si>
  <si>
    <r>
      <t>τ</t>
    </r>
    <r>
      <rPr>
        <b/>
        <sz val="9.35"/>
        <color theme="1"/>
        <rFont val="Calibri"/>
        <family val="2"/>
        <charset val="204"/>
      </rPr>
      <t>max</t>
    </r>
  </si>
  <si>
    <t>ν</t>
  </si>
  <si>
    <t xml:space="preserve">&gt; </t>
  </si>
  <si>
    <t>гипотеза об отсутствии трендов отвергается</t>
  </si>
  <si>
    <t>Медиана</t>
  </si>
  <si>
    <t>Δt</t>
  </si>
  <si>
    <t>Средний абсолютный прирост</t>
  </si>
  <si>
    <t>Среднее квадратическое отклонение</t>
  </si>
  <si>
    <t>m1</t>
  </si>
  <si>
    <t>m2</t>
  </si>
  <si>
    <t>m(d)</t>
  </si>
  <si>
    <t xml:space="preserve">&lt; </t>
  </si>
  <si>
    <t>гипотеза о равенстве абсолютных приростов не отвергается</t>
  </si>
  <si>
    <t>тенденцию можно считать линейной</t>
  </si>
  <si>
    <t>y(t)^</t>
  </si>
  <si>
    <t>y(t) - t(t)^</t>
  </si>
  <si>
    <t>p</t>
  </si>
  <si>
    <t>(e(t) - e(t-1))^2</t>
  </si>
  <si>
    <t>e(t)^2</t>
  </si>
  <si>
    <t>ряд остатков соответствует нормальному закону распределения</t>
  </si>
  <si>
    <t>R/S</t>
  </si>
  <si>
    <t>гипотеза о равенстве математического ожидания уровней ряда остатков нулю не отвергается</t>
  </si>
  <si>
    <t>T</t>
  </si>
  <si>
    <r>
      <t>S(</t>
    </r>
    <r>
      <rPr>
        <b/>
        <sz val="11"/>
        <color theme="1"/>
        <rFont val="Calibri"/>
        <family val="2"/>
        <charset val="204"/>
      </rPr>
      <t>ε</t>
    </r>
    <r>
      <rPr>
        <b/>
        <sz val="11"/>
        <color theme="1"/>
        <rFont val="Calibri"/>
        <family val="2"/>
        <charset val="204"/>
        <scheme val="minor"/>
      </rPr>
      <t>)</t>
    </r>
  </si>
  <si>
    <t>ряд остатков считается случайным</t>
  </si>
  <si>
    <t>e ср</t>
  </si>
  <si>
    <t>ряд остатков не коррелирован</t>
  </si>
  <si>
    <t>dU</t>
  </si>
  <si>
    <t>e(t)</t>
  </si>
  <si>
    <t>|e(t) / y(t)|</t>
  </si>
  <si>
    <t>S(y(t)^)</t>
  </si>
  <si>
    <t>t ср</t>
  </si>
  <si>
    <t xml:space="preserve">сумм </t>
  </si>
  <si>
    <t>Интервальный прогноз</t>
  </si>
  <si>
    <t>Точечный прогноз</t>
  </si>
  <si>
    <t>Левая граница</t>
  </si>
  <si>
    <t>Правая граница</t>
  </si>
  <si>
    <t>Проверка гипотезы о линейной форме уравнения тренда</t>
  </si>
  <si>
    <t>модель является адекватной</t>
  </si>
  <si>
    <t>Наличие (отсутствие) автокорреляции в отклонениях</t>
  </si>
  <si>
    <t>Построение прогноза: точечного и интервального</t>
  </si>
  <si>
    <t>Проверка случайного характера значений остаткой и проверка наличия (отсутствия) автокорреляции в остатках</t>
  </si>
  <si>
    <t>Eотн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</si>
</sst>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.35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Сезонность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29</c:v>
                </c:pt>
                <c:pt idx="1">
                  <c:v>37</c:v>
                </c:pt>
                <c:pt idx="2">
                  <c:v>37</c:v>
                </c:pt>
                <c:pt idx="3">
                  <c:v>34</c:v>
                </c:pt>
                <c:pt idx="4">
                  <c:v>39</c:v>
                </c:pt>
                <c:pt idx="5">
                  <c:v>36</c:v>
                </c:pt>
                <c:pt idx="6">
                  <c:v>33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1-794A-A4EF-85F87064F3EB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Лист1!$E$10:$E$21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Лист1!$D$10:$D$21</c:f>
              <c:numCache>
                <c:formatCode>General</c:formatCode>
                <c:ptCount val="12"/>
                <c:pt idx="0">
                  <c:v>44</c:v>
                </c:pt>
                <c:pt idx="1">
                  <c:v>42</c:v>
                </c:pt>
                <c:pt idx="2">
                  <c:v>47</c:v>
                </c:pt>
                <c:pt idx="3">
                  <c:v>45</c:v>
                </c:pt>
                <c:pt idx="4">
                  <c:v>54</c:v>
                </c:pt>
                <c:pt idx="5">
                  <c:v>47</c:v>
                </c:pt>
                <c:pt idx="6">
                  <c:v>53</c:v>
                </c:pt>
                <c:pt idx="7">
                  <c:v>57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31-794A-A4EF-85F87064F3EB}"/>
            </c:ext>
          </c:extLst>
        </c:ser>
        <c:ser>
          <c:idx val="2"/>
          <c:order val="2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Лист1!$D$22:$D$26</c:f>
              <c:numCache>
                <c:formatCode>General</c:formatCode>
                <c:ptCount val="5"/>
                <c:pt idx="0">
                  <c:v>59</c:v>
                </c:pt>
                <c:pt idx="1">
                  <c:v>56</c:v>
                </c:pt>
                <c:pt idx="2">
                  <c:v>55</c:v>
                </c:pt>
                <c:pt idx="3">
                  <c:v>66</c:v>
                </c:pt>
                <c:pt idx="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1-794A-A4EF-85F87064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95792"/>
        <c:axId val="857396480"/>
      </c:scatterChart>
      <c:valAx>
        <c:axId val="8576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396480"/>
        <c:crosses val="autoZero"/>
        <c:crossBetween val="midCat"/>
      </c:valAx>
      <c:valAx>
        <c:axId val="8573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6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2620297462817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Лист1!$D$2:$D$26</c:f>
              <c:numCache>
                <c:formatCode>General</c:formatCode>
                <c:ptCount val="25"/>
                <c:pt idx="0">
                  <c:v>29</c:v>
                </c:pt>
                <c:pt idx="1">
                  <c:v>37</c:v>
                </c:pt>
                <c:pt idx="2">
                  <c:v>37</c:v>
                </c:pt>
                <c:pt idx="3">
                  <c:v>34</c:v>
                </c:pt>
                <c:pt idx="4">
                  <c:v>39</c:v>
                </c:pt>
                <c:pt idx="5">
                  <c:v>36</c:v>
                </c:pt>
                <c:pt idx="6">
                  <c:v>33</c:v>
                </c:pt>
                <c:pt idx="7">
                  <c:v>40</c:v>
                </c:pt>
                <c:pt idx="8">
                  <c:v>44</c:v>
                </c:pt>
                <c:pt idx="9">
                  <c:v>42</c:v>
                </c:pt>
                <c:pt idx="10">
                  <c:v>47</c:v>
                </c:pt>
                <c:pt idx="11">
                  <c:v>45</c:v>
                </c:pt>
                <c:pt idx="12">
                  <c:v>54</c:v>
                </c:pt>
                <c:pt idx="13">
                  <c:v>47</c:v>
                </c:pt>
                <c:pt idx="14">
                  <c:v>53</c:v>
                </c:pt>
                <c:pt idx="15">
                  <c:v>57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64</c:v>
                </c:pt>
                <c:pt idx="20">
                  <c:v>59</c:v>
                </c:pt>
                <c:pt idx="21">
                  <c:v>56</c:v>
                </c:pt>
                <c:pt idx="22">
                  <c:v>55</c:v>
                </c:pt>
                <c:pt idx="23">
                  <c:v>66</c:v>
                </c:pt>
                <c:pt idx="2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C-3647-A353-C89F9FA3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32656"/>
        <c:axId val="404635616"/>
      </c:lineChart>
      <c:catAx>
        <c:axId val="40463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635616"/>
        <c:crosses val="autoZero"/>
        <c:auto val="1"/>
        <c:lblAlgn val="ctr"/>
        <c:lblOffset val="100"/>
        <c:noMultiLvlLbl val="0"/>
      </c:catAx>
      <c:valAx>
        <c:axId val="4046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6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2</xdr:row>
      <xdr:rowOff>146050</xdr:rowOff>
    </xdr:from>
    <xdr:to>
      <xdr:col>10</xdr:col>
      <xdr:colOff>819150</xdr:colOff>
      <xdr:row>16</xdr:row>
      <xdr:rowOff>44450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5C41B7-0500-4238-3FA4-A6C3D23E7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105</xdr:row>
      <xdr:rowOff>88900</xdr:rowOff>
    </xdr:from>
    <xdr:to>
      <xdr:col>10</xdr:col>
      <xdr:colOff>133350</xdr:colOff>
      <xdr:row>118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FA5CCB-CCB9-16A4-8667-53D2627E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3C6F-4472-1D4D-B6A2-39D4550876EB}">
  <dimension ref="A1:K214"/>
  <sheetViews>
    <sheetView tabSelected="1" zoomScale="116" zoomScaleNormal="100" workbookViewId="0">
      <selection activeCell="D211" sqref="D211:G214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2009</v>
      </c>
      <c r="B2" s="1" t="s">
        <v>5</v>
      </c>
      <c r="C2" s="1">
        <v>1</v>
      </c>
      <c r="D2" s="1">
        <v>29</v>
      </c>
      <c r="E2" s="1">
        <v>5</v>
      </c>
    </row>
    <row r="3" spans="1:5" x14ac:dyDescent="0.2">
      <c r="A3" s="1"/>
      <c r="B3" s="1" t="s">
        <v>6</v>
      </c>
      <c r="C3" s="1">
        <v>2</v>
      </c>
      <c r="D3" s="1">
        <v>37</v>
      </c>
      <c r="E3" s="1">
        <v>6</v>
      </c>
    </row>
    <row r="4" spans="1:5" x14ac:dyDescent="0.2">
      <c r="A4" s="1"/>
      <c r="B4" s="1" t="s">
        <v>7</v>
      </c>
      <c r="C4" s="1">
        <v>3</v>
      </c>
      <c r="D4" s="1">
        <v>37</v>
      </c>
      <c r="E4" s="1">
        <v>7</v>
      </c>
    </row>
    <row r="5" spans="1:5" x14ac:dyDescent="0.2">
      <c r="A5" s="1"/>
      <c r="B5" s="1" t="s">
        <v>8</v>
      </c>
      <c r="C5" s="1">
        <v>4</v>
      </c>
      <c r="D5" s="1">
        <v>34</v>
      </c>
      <c r="E5" s="1">
        <v>8</v>
      </c>
    </row>
    <row r="6" spans="1:5" x14ac:dyDescent="0.2">
      <c r="A6" s="1"/>
      <c r="B6" s="1" t="s">
        <v>9</v>
      </c>
      <c r="C6" s="1">
        <v>5</v>
      </c>
      <c r="D6" s="1">
        <v>39</v>
      </c>
      <c r="E6" s="1">
        <v>9</v>
      </c>
    </row>
    <row r="7" spans="1:5" x14ac:dyDescent="0.2">
      <c r="A7" s="1"/>
      <c r="B7" s="1" t="s">
        <v>10</v>
      </c>
      <c r="C7" s="1">
        <v>6</v>
      </c>
      <c r="D7" s="1">
        <v>36</v>
      </c>
      <c r="E7" s="1">
        <v>10</v>
      </c>
    </row>
    <row r="8" spans="1:5" x14ac:dyDescent="0.2">
      <c r="A8" s="1"/>
      <c r="B8" s="1" t="s">
        <v>11</v>
      </c>
      <c r="C8" s="1">
        <v>7</v>
      </c>
      <c r="D8" s="1">
        <v>33</v>
      </c>
      <c r="E8" s="1">
        <v>11</v>
      </c>
    </row>
    <row r="9" spans="1:5" x14ac:dyDescent="0.2">
      <c r="A9" s="1"/>
      <c r="B9" s="1" t="s">
        <v>12</v>
      </c>
      <c r="C9" s="1">
        <v>8</v>
      </c>
      <c r="D9" s="1">
        <v>40</v>
      </c>
      <c r="E9" s="1">
        <v>12</v>
      </c>
    </row>
    <row r="10" spans="1:5" x14ac:dyDescent="0.2">
      <c r="A10" s="1">
        <v>2010</v>
      </c>
      <c r="B10" s="1" t="s">
        <v>13</v>
      </c>
      <c r="C10" s="1">
        <v>9</v>
      </c>
      <c r="D10" s="1">
        <v>44</v>
      </c>
      <c r="E10" s="1">
        <v>1</v>
      </c>
    </row>
    <row r="11" spans="1:5" x14ac:dyDescent="0.2">
      <c r="A11" s="1"/>
      <c r="B11" s="1" t="s">
        <v>14</v>
      </c>
      <c r="C11" s="1">
        <v>10</v>
      </c>
      <c r="D11" s="1">
        <v>42</v>
      </c>
      <c r="E11" s="1">
        <v>2</v>
      </c>
    </row>
    <row r="12" spans="1:5" x14ac:dyDescent="0.2">
      <c r="A12" s="1"/>
      <c r="B12" s="1" t="s">
        <v>15</v>
      </c>
      <c r="C12" s="1">
        <v>11</v>
      </c>
      <c r="D12" s="1">
        <v>47</v>
      </c>
      <c r="E12" s="1">
        <v>3</v>
      </c>
    </row>
    <row r="13" spans="1:5" x14ac:dyDescent="0.2">
      <c r="A13" s="1"/>
      <c r="B13" s="1" t="s">
        <v>16</v>
      </c>
      <c r="C13" s="1">
        <v>12</v>
      </c>
      <c r="D13" s="1">
        <v>45</v>
      </c>
      <c r="E13" s="1">
        <v>4</v>
      </c>
    </row>
    <row r="14" spans="1:5" x14ac:dyDescent="0.2">
      <c r="A14" s="1"/>
      <c r="B14" s="1" t="s">
        <v>5</v>
      </c>
      <c r="C14" s="1">
        <v>13</v>
      </c>
      <c r="D14" s="1">
        <v>54</v>
      </c>
      <c r="E14" s="1">
        <v>5</v>
      </c>
    </row>
    <row r="15" spans="1:5" x14ac:dyDescent="0.2">
      <c r="A15" s="1"/>
      <c r="B15" s="1" t="s">
        <v>6</v>
      </c>
      <c r="C15" s="1">
        <v>14</v>
      </c>
      <c r="D15" s="1">
        <v>47</v>
      </c>
      <c r="E15" s="1">
        <v>6</v>
      </c>
    </row>
    <row r="16" spans="1:5" x14ac:dyDescent="0.2">
      <c r="A16" s="1"/>
      <c r="B16" s="1" t="s">
        <v>7</v>
      </c>
      <c r="C16" s="1">
        <v>15</v>
      </c>
      <c r="D16" s="1">
        <v>53</v>
      </c>
      <c r="E16" s="1">
        <v>7</v>
      </c>
    </row>
    <row r="17" spans="1:8" x14ac:dyDescent="0.2">
      <c r="A17" s="1"/>
      <c r="B17" s="1" t="s">
        <v>8</v>
      </c>
      <c r="C17" s="1">
        <v>16</v>
      </c>
      <c r="D17" s="1">
        <v>57</v>
      </c>
      <c r="E17" s="1">
        <v>8</v>
      </c>
    </row>
    <row r="18" spans="1:8" x14ac:dyDescent="0.2">
      <c r="A18" s="1"/>
      <c r="B18" s="1" t="s">
        <v>9</v>
      </c>
      <c r="C18" s="1">
        <v>17</v>
      </c>
      <c r="D18" s="1">
        <v>53</v>
      </c>
      <c r="E18" s="1">
        <v>9</v>
      </c>
    </row>
    <row r="19" spans="1:8" x14ac:dyDescent="0.2">
      <c r="A19" s="1"/>
      <c r="B19" s="1" t="s">
        <v>10</v>
      </c>
      <c r="C19" s="1">
        <v>18</v>
      </c>
      <c r="D19" s="1">
        <v>62</v>
      </c>
      <c r="E19" s="1">
        <v>10</v>
      </c>
    </row>
    <row r="20" spans="1:8" x14ac:dyDescent="0.2">
      <c r="A20" s="1"/>
      <c r="B20" s="1" t="s">
        <v>11</v>
      </c>
      <c r="C20" s="1">
        <v>19</v>
      </c>
      <c r="D20" s="1">
        <v>61</v>
      </c>
      <c r="E20" s="1">
        <v>11</v>
      </c>
    </row>
    <row r="21" spans="1:8" x14ac:dyDescent="0.2">
      <c r="A21" s="1"/>
      <c r="B21" s="1" t="s">
        <v>12</v>
      </c>
      <c r="C21" s="1">
        <v>20</v>
      </c>
      <c r="D21" s="1">
        <v>64</v>
      </c>
      <c r="E21" s="1">
        <v>12</v>
      </c>
    </row>
    <row r="22" spans="1:8" x14ac:dyDescent="0.2">
      <c r="A22" s="1">
        <v>2011</v>
      </c>
      <c r="B22" s="1" t="s">
        <v>13</v>
      </c>
      <c r="C22" s="1">
        <v>21</v>
      </c>
      <c r="D22" s="1">
        <v>59</v>
      </c>
      <c r="E22" s="1">
        <v>1</v>
      </c>
    </row>
    <row r="23" spans="1:8" x14ac:dyDescent="0.2">
      <c r="A23" s="1"/>
      <c r="B23" s="1" t="s">
        <v>14</v>
      </c>
      <c r="C23" s="1">
        <v>22</v>
      </c>
      <c r="D23" s="1">
        <v>56</v>
      </c>
      <c r="E23" s="1">
        <v>2</v>
      </c>
    </row>
    <row r="24" spans="1:8" x14ac:dyDescent="0.2">
      <c r="A24" s="1"/>
      <c r="B24" s="1" t="s">
        <v>15</v>
      </c>
      <c r="C24" s="1">
        <v>23</v>
      </c>
      <c r="D24" s="1">
        <v>55</v>
      </c>
      <c r="E24" s="1">
        <v>3</v>
      </c>
    </row>
    <row r="25" spans="1:8" x14ac:dyDescent="0.2">
      <c r="A25" s="1"/>
      <c r="B25" s="1" t="s">
        <v>16</v>
      </c>
      <c r="C25" s="1">
        <v>24</v>
      </c>
      <c r="D25" s="1">
        <v>66</v>
      </c>
      <c r="E25" s="1">
        <v>4</v>
      </c>
    </row>
    <row r="26" spans="1:8" x14ac:dyDescent="0.2">
      <c r="A26" s="1"/>
      <c r="B26" s="1" t="s">
        <v>5</v>
      </c>
      <c r="C26" s="1">
        <v>25</v>
      </c>
      <c r="D26" s="1">
        <v>66</v>
      </c>
      <c r="E26" s="1">
        <v>5</v>
      </c>
    </row>
    <row r="30" spans="1:8" x14ac:dyDescent="0.2">
      <c r="A30" s="2" t="s">
        <v>17</v>
      </c>
    </row>
    <row r="31" spans="1:8" x14ac:dyDescent="0.2">
      <c r="A31" t="s">
        <v>18</v>
      </c>
      <c r="C31" s="3" t="s">
        <v>19</v>
      </c>
      <c r="D31" s="1">
        <f>A38/A34</f>
        <v>1.1525472651176174</v>
      </c>
      <c r="E31" s="3" t="s">
        <v>20</v>
      </c>
      <c r="F31" s="3" t="s">
        <v>21</v>
      </c>
      <c r="G31" s="1">
        <f>FINV(0.05,12-1,13-1)</f>
        <v>2.7173314409728953</v>
      </c>
      <c r="H31" t="s">
        <v>22</v>
      </c>
    </row>
    <row r="32" spans="1:8" x14ac:dyDescent="0.2">
      <c r="A32">
        <f>AVERAGE(D2:D13)</f>
        <v>38.583333333333336</v>
      </c>
      <c r="C32" s="5" t="s">
        <v>23</v>
      </c>
      <c r="D32" s="1">
        <f>((A34*11+A38*12)/(12+13-2))^0.5</f>
        <v>5.524017691899954</v>
      </c>
      <c r="E32" s="3"/>
      <c r="F32" s="3"/>
      <c r="G32" s="1"/>
    </row>
    <row r="33" spans="1:8" x14ac:dyDescent="0.2">
      <c r="A33" t="s">
        <v>24</v>
      </c>
      <c r="C33" s="3" t="s">
        <v>2</v>
      </c>
      <c r="D33" s="1">
        <f>IF(D31&lt;G31,ABS(A32-A36)/(D32*(1/12 + 1/13)^0.5),ABS((A32-A36)/(A34/12 + A38/13)^0.5))</f>
        <v>8.7455664875647052</v>
      </c>
      <c r="E33" s="3" t="s">
        <v>25</v>
      </c>
      <c r="F33" s="3" t="s">
        <v>26</v>
      </c>
      <c r="G33" s="1">
        <f>IF(D31&lt;G31,TINV(0.05,25-2),TINV(0.05,(A34/12+A38/13)))</f>
        <v>2.0686576104190491</v>
      </c>
      <c r="H33" t="s">
        <v>27</v>
      </c>
    </row>
    <row r="34" spans="1:8" x14ac:dyDescent="0.2">
      <c r="A34">
        <f>_xlfn.VAR.S(D2:D13)</f>
        <v>28.265151515151626</v>
      </c>
    </row>
    <row r="35" spans="1:8" x14ac:dyDescent="0.2">
      <c r="A35" t="s">
        <v>28</v>
      </c>
    </row>
    <row r="36" spans="1:8" x14ac:dyDescent="0.2">
      <c r="A36">
        <f>AVERAGE(D14:D26)</f>
        <v>57.92307692307692</v>
      </c>
    </row>
    <row r="37" spans="1:8" x14ac:dyDescent="0.2">
      <c r="A37" t="s">
        <v>24</v>
      </c>
    </row>
    <row r="38" spans="1:8" x14ac:dyDescent="0.2">
      <c r="A38">
        <f>_xlfn.VAR.S(D14:D26)</f>
        <v>32.576923076923087</v>
      </c>
    </row>
    <row r="41" spans="1:8" x14ac:dyDescent="0.2">
      <c r="A41" s="2" t="s">
        <v>29</v>
      </c>
    </row>
    <row r="42" spans="1:8" x14ac:dyDescent="0.2">
      <c r="A42" s="7" t="s">
        <v>30</v>
      </c>
      <c r="B42" s="7" t="s">
        <v>31</v>
      </c>
      <c r="C42" s="7" t="s">
        <v>32</v>
      </c>
      <c r="D42" s="7" t="s">
        <v>33</v>
      </c>
    </row>
    <row r="44" spans="1:8" x14ac:dyDescent="0.2">
      <c r="A44" s="1">
        <f>IF(D3 &gt; MAX($D$2:D2), 1, 0)</f>
        <v>1</v>
      </c>
      <c r="B44" s="1">
        <f>IF(D3 &lt; MIN($D$2:D2), 1, 0)</f>
        <v>0</v>
      </c>
      <c r="C44" s="1">
        <f>A44+B44</f>
        <v>1</v>
      </c>
      <c r="D44" s="1">
        <f>A44-B44</f>
        <v>1</v>
      </c>
      <c r="E44" s="1">
        <f>1/C3</f>
        <v>0.5</v>
      </c>
    </row>
    <row r="45" spans="1:8" x14ac:dyDescent="0.2">
      <c r="A45" s="1">
        <f>IF(D4 &gt; MAX($D$2:D3), 1, 0)</f>
        <v>0</v>
      </c>
      <c r="B45" s="1">
        <f>IF(D4 &lt; MIN($D$2:D3), 1, 0)</f>
        <v>0</v>
      </c>
      <c r="C45" s="1">
        <f t="shared" ref="C45:C67" si="0">A45+B45</f>
        <v>0</v>
      </c>
      <c r="D45" s="1">
        <f t="shared" ref="D45:D67" si="1">A45-B45</f>
        <v>0</v>
      </c>
      <c r="E45" s="1">
        <f t="shared" ref="E45:E67" si="2">1/C4</f>
        <v>0.33333333333333331</v>
      </c>
    </row>
    <row r="46" spans="1:8" x14ac:dyDescent="0.2">
      <c r="A46" s="1">
        <f>IF(D5 &gt; MAX($D$2:D4), 1, 0)</f>
        <v>0</v>
      </c>
      <c r="B46" s="1">
        <f>IF(D5 &lt; MIN($D$2:D4), 1, 0)</f>
        <v>0</v>
      </c>
      <c r="C46" s="1">
        <f t="shared" si="0"/>
        <v>0</v>
      </c>
      <c r="D46" s="1">
        <f t="shared" si="1"/>
        <v>0</v>
      </c>
      <c r="E46" s="1">
        <f t="shared" si="2"/>
        <v>0.25</v>
      </c>
    </row>
    <row r="47" spans="1:8" x14ac:dyDescent="0.2">
      <c r="A47" s="1">
        <f>IF(D6 &gt; MAX($D$2:D5), 1, 0)</f>
        <v>1</v>
      </c>
      <c r="B47" s="1">
        <f>IF(D6 &lt; MIN($D$2:D5), 1, 0)</f>
        <v>0</v>
      </c>
      <c r="C47" s="1">
        <f t="shared" si="0"/>
        <v>1</v>
      </c>
      <c r="D47" s="1">
        <f t="shared" si="1"/>
        <v>1</v>
      </c>
      <c r="E47" s="1">
        <f t="shared" si="2"/>
        <v>0.2</v>
      </c>
    </row>
    <row r="48" spans="1:8" x14ac:dyDescent="0.2">
      <c r="A48" s="1">
        <f>IF(D7 &gt; MAX($D$2:D6), 1, 0)</f>
        <v>0</v>
      </c>
      <c r="B48" s="1">
        <f>IF(D7 &lt; MIN($D$2:D6), 1, 0)</f>
        <v>0</v>
      </c>
      <c r="C48" s="1">
        <f t="shared" si="0"/>
        <v>0</v>
      </c>
      <c r="D48" s="1">
        <f t="shared" si="1"/>
        <v>0</v>
      </c>
      <c r="E48" s="1">
        <f t="shared" si="2"/>
        <v>0.16666666666666666</v>
      </c>
    </row>
    <row r="49" spans="1:11" x14ac:dyDescent="0.2">
      <c r="A49" s="1">
        <f>IF(D8 &gt; MAX($D$2:D7), 1, 0)</f>
        <v>0</v>
      </c>
      <c r="B49" s="1">
        <f>IF(D8 &lt; MIN($D$2:D7), 1, 0)</f>
        <v>0</v>
      </c>
      <c r="C49" s="1">
        <f t="shared" si="0"/>
        <v>0</v>
      </c>
      <c r="D49" s="1">
        <f t="shared" si="1"/>
        <v>0</v>
      </c>
      <c r="E49" s="1">
        <f t="shared" si="2"/>
        <v>0.14285714285714285</v>
      </c>
    </row>
    <row r="50" spans="1:11" x14ac:dyDescent="0.2">
      <c r="A50" s="1">
        <f>IF(D9 &gt; MAX($D$2:D8), 1, 0)</f>
        <v>1</v>
      </c>
      <c r="B50" s="1">
        <f>IF(D9 &lt; MIN($D$2:D8), 1, 0)</f>
        <v>0</v>
      </c>
      <c r="C50" s="1">
        <f t="shared" si="0"/>
        <v>1</v>
      </c>
      <c r="D50" s="1">
        <f t="shared" si="1"/>
        <v>1</v>
      </c>
      <c r="E50" s="1">
        <f t="shared" si="2"/>
        <v>0.125</v>
      </c>
    </row>
    <row r="51" spans="1:11" x14ac:dyDescent="0.2">
      <c r="A51" s="1">
        <f>IF(D10 &gt; MAX($D$2:D9), 1, 0)</f>
        <v>1</v>
      </c>
      <c r="B51" s="1">
        <f>IF(D10 &lt; MIN($D$2:D9), 1, 0)</f>
        <v>0</v>
      </c>
      <c r="C51" s="1">
        <f t="shared" si="0"/>
        <v>1</v>
      </c>
      <c r="D51" s="1">
        <f t="shared" si="1"/>
        <v>1</v>
      </c>
      <c r="E51" s="1">
        <f t="shared" si="2"/>
        <v>0.1111111111111111</v>
      </c>
      <c r="G51" s="4" t="s">
        <v>34</v>
      </c>
      <c r="H51" s="6">
        <f>ABS(C68-E68)/E71</f>
        <v>2.5166968382650508</v>
      </c>
      <c r="I51" s="6" t="s">
        <v>25</v>
      </c>
      <c r="J51" s="4" t="s">
        <v>26</v>
      </c>
      <c r="K51" s="6">
        <f>_xlfn.T.INV.2T(0.05,2*(25-1))</f>
        <v>2.0106347576242314</v>
      </c>
    </row>
    <row r="52" spans="1:11" x14ac:dyDescent="0.2">
      <c r="A52" s="1">
        <f>IF(D11 &gt; MAX($D$2:D10), 1, 0)</f>
        <v>0</v>
      </c>
      <c r="B52" s="1">
        <f>IF(D11 &lt; MIN($D$2:D10), 1, 0)</f>
        <v>0</v>
      </c>
      <c r="C52" s="1">
        <f t="shared" si="0"/>
        <v>0</v>
      </c>
      <c r="D52" s="1">
        <f t="shared" si="1"/>
        <v>0</v>
      </c>
      <c r="E52" s="1">
        <f t="shared" si="2"/>
        <v>0.1</v>
      </c>
      <c r="G52" s="4" t="s">
        <v>35</v>
      </c>
      <c r="H52" s="6">
        <f>ABS(D68-0)/E72</f>
        <v>4.2287355802982383</v>
      </c>
      <c r="I52" s="6" t="s">
        <v>25</v>
      </c>
      <c r="J52" s="4" t="s">
        <v>26</v>
      </c>
      <c r="K52" s="6">
        <f>_xlfn.T.INV.2T(0.05,2*(25-1))</f>
        <v>2.0106347576242314</v>
      </c>
    </row>
    <row r="53" spans="1:11" x14ac:dyDescent="0.2">
      <c r="A53" s="1">
        <f>IF(D12 &gt; MAX($D$2:D11), 1, 0)</f>
        <v>1</v>
      </c>
      <c r="B53" s="1">
        <f>IF(D12 &lt; MIN($D$2:D11), 1, 0)</f>
        <v>0</v>
      </c>
      <c r="C53" s="1">
        <f t="shared" si="0"/>
        <v>1</v>
      </c>
      <c r="D53" s="1">
        <f t="shared" si="1"/>
        <v>1</v>
      </c>
      <c r="E53" s="1">
        <f t="shared" si="2"/>
        <v>9.0909090909090912E-2</v>
      </c>
      <c r="G53" s="2" t="s">
        <v>26</v>
      </c>
      <c r="H53">
        <f>_xlfn.T.INV.2T(0.05,2*(25-1))</f>
        <v>2.0106347576242314</v>
      </c>
    </row>
    <row r="54" spans="1:11" x14ac:dyDescent="0.2">
      <c r="A54" s="1">
        <f>IF(D13 &gt; MAX($D$2:D12), 1, 0)</f>
        <v>0</v>
      </c>
      <c r="B54" s="1">
        <f>IF(D13 &lt; MIN($D$2:D12), 1, 0)</f>
        <v>0</v>
      </c>
      <c r="C54" s="1">
        <f t="shared" si="0"/>
        <v>0</v>
      </c>
      <c r="D54" s="1">
        <f t="shared" si="1"/>
        <v>0</v>
      </c>
      <c r="E54" s="1">
        <f t="shared" si="2"/>
        <v>8.3333333333333329E-2</v>
      </c>
    </row>
    <row r="55" spans="1:11" x14ac:dyDescent="0.2">
      <c r="A55" s="1">
        <f>IF(D14 &gt; MAX($D$2:D13), 1, 0)</f>
        <v>1</v>
      </c>
      <c r="B55" s="1">
        <f>IF(D14 &lt; MIN($D$2:D13), 1, 0)</f>
        <v>0</v>
      </c>
      <c r="C55" s="1">
        <f t="shared" si="0"/>
        <v>1</v>
      </c>
      <c r="D55" s="1">
        <f t="shared" si="1"/>
        <v>1</v>
      </c>
      <c r="E55" s="1">
        <f t="shared" si="2"/>
        <v>7.6923076923076927E-2</v>
      </c>
      <c r="G55" t="s">
        <v>36</v>
      </c>
    </row>
    <row r="56" spans="1:11" x14ac:dyDescent="0.2">
      <c r="A56" s="1">
        <f>IF(D15 &gt; MAX($D$2:D14), 1, 0)</f>
        <v>0</v>
      </c>
      <c r="B56" s="1">
        <f>IF(D15 &lt; MIN($D$2:D14), 1, 0)</f>
        <v>0</v>
      </c>
      <c r="C56" s="1">
        <f t="shared" si="0"/>
        <v>0</v>
      </c>
      <c r="D56" s="1">
        <f t="shared" si="1"/>
        <v>0</v>
      </c>
      <c r="E56" s="1">
        <f t="shared" si="2"/>
        <v>7.1428571428571425E-2</v>
      </c>
    </row>
    <row r="57" spans="1:11" x14ac:dyDescent="0.2">
      <c r="A57" s="1">
        <f>IF(D16 &gt; MAX($D$2:D15), 1, 0)</f>
        <v>0</v>
      </c>
      <c r="B57" s="1">
        <f>IF(D16 &lt; MIN($D$2:D15), 1, 0)</f>
        <v>0</v>
      </c>
      <c r="C57" s="1">
        <f t="shared" si="0"/>
        <v>0</v>
      </c>
      <c r="D57" s="1">
        <f t="shared" si="1"/>
        <v>0</v>
      </c>
      <c r="E57" s="1">
        <f t="shared" si="2"/>
        <v>6.6666666666666666E-2</v>
      </c>
    </row>
    <row r="58" spans="1:11" x14ac:dyDescent="0.2">
      <c r="A58" s="1">
        <f>IF(D17 &gt; MAX($D$2:D16), 1, 0)</f>
        <v>1</v>
      </c>
      <c r="B58" s="1">
        <f>IF(D17 &lt; MIN($D$2:D16), 1, 0)</f>
        <v>0</v>
      </c>
      <c r="C58" s="1">
        <f t="shared" si="0"/>
        <v>1</v>
      </c>
      <c r="D58" s="1">
        <f t="shared" si="1"/>
        <v>1</v>
      </c>
      <c r="E58" s="1">
        <f t="shared" si="2"/>
        <v>6.25E-2</v>
      </c>
    </row>
    <row r="59" spans="1:11" x14ac:dyDescent="0.2">
      <c r="A59" s="1">
        <f>IF(D18 &gt; MAX($D$2:D17), 1, 0)</f>
        <v>0</v>
      </c>
      <c r="B59" s="1">
        <f>IF(D18 &lt; MIN($D$2:D17), 1, 0)</f>
        <v>0</v>
      </c>
      <c r="C59" s="1">
        <f t="shared" si="0"/>
        <v>0</v>
      </c>
      <c r="D59" s="1">
        <f t="shared" si="1"/>
        <v>0</v>
      </c>
      <c r="E59" s="1">
        <f t="shared" si="2"/>
        <v>5.8823529411764705E-2</v>
      </c>
    </row>
    <row r="60" spans="1:11" x14ac:dyDescent="0.2">
      <c r="A60" s="1">
        <f>IF(D19 &gt; MAX($D$2:D18), 1, 0)</f>
        <v>1</v>
      </c>
      <c r="B60" s="1">
        <f>IF(D19 &lt; MIN($D$2:D18), 1, 0)</f>
        <v>0</v>
      </c>
      <c r="C60" s="1">
        <f t="shared" si="0"/>
        <v>1</v>
      </c>
      <c r="D60" s="1">
        <f t="shared" si="1"/>
        <v>1</v>
      </c>
      <c r="E60" s="1">
        <f t="shared" si="2"/>
        <v>5.5555555555555552E-2</v>
      </c>
    </row>
    <row r="61" spans="1:11" x14ac:dyDescent="0.2">
      <c r="A61" s="1">
        <f>IF(D20 &gt; MAX($D$2:D19), 1, 0)</f>
        <v>0</v>
      </c>
      <c r="B61" s="1">
        <f>IF(D20 &lt; MIN($D$2:D19), 1, 0)</f>
        <v>0</v>
      </c>
      <c r="C61" s="1">
        <f t="shared" si="0"/>
        <v>0</v>
      </c>
      <c r="D61" s="1">
        <f t="shared" si="1"/>
        <v>0</v>
      </c>
      <c r="E61" s="1">
        <f t="shared" si="2"/>
        <v>5.2631578947368418E-2</v>
      </c>
    </row>
    <row r="62" spans="1:11" x14ac:dyDescent="0.2">
      <c r="A62" s="1">
        <f>IF(D21 &gt; MAX($D$2:D20), 1, 0)</f>
        <v>1</v>
      </c>
      <c r="B62" s="1">
        <f>IF(D21 &lt; MIN($D$2:D20), 1, 0)</f>
        <v>0</v>
      </c>
      <c r="C62" s="1">
        <f t="shared" si="0"/>
        <v>1</v>
      </c>
      <c r="D62" s="1">
        <f t="shared" si="1"/>
        <v>1</v>
      </c>
      <c r="E62" s="1">
        <f t="shared" si="2"/>
        <v>0.05</v>
      </c>
    </row>
    <row r="63" spans="1:11" x14ac:dyDescent="0.2">
      <c r="A63" s="1">
        <f>IF(D22 &gt; MAX($D$2:D21), 1, 0)</f>
        <v>0</v>
      </c>
      <c r="B63" s="1">
        <f>IF(D22 &lt; MIN($D$2:D21), 1, 0)</f>
        <v>0</v>
      </c>
      <c r="C63" s="1">
        <f t="shared" si="0"/>
        <v>0</v>
      </c>
      <c r="D63" s="1">
        <f t="shared" si="1"/>
        <v>0</v>
      </c>
      <c r="E63" s="1">
        <f t="shared" si="2"/>
        <v>4.7619047619047616E-2</v>
      </c>
    </row>
    <row r="64" spans="1:11" x14ac:dyDescent="0.2">
      <c r="A64" s="1">
        <f>IF(D23 &gt; MAX($D$2:D22), 1, 0)</f>
        <v>0</v>
      </c>
      <c r="B64" s="1">
        <f>IF(D23 &lt; MIN($D$2:D22), 1, 0)</f>
        <v>0</v>
      </c>
      <c r="C64" s="1">
        <f t="shared" si="0"/>
        <v>0</v>
      </c>
      <c r="D64" s="1">
        <f t="shared" si="1"/>
        <v>0</v>
      </c>
      <c r="E64" s="1">
        <f t="shared" si="2"/>
        <v>4.5454545454545456E-2</v>
      </c>
    </row>
    <row r="65" spans="1:5" x14ac:dyDescent="0.2">
      <c r="A65" s="1">
        <f>IF(D24 &gt; MAX($D$2:D23), 1, 0)</f>
        <v>0</v>
      </c>
      <c r="B65" s="1">
        <f>IF(D24 &lt; MIN($D$2:D23), 1, 0)</f>
        <v>0</v>
      </c>
      <c r="C65" s="1">
        <f t="shared" si="0"/>
        <v>0</v>
      </c>
      <c r="D65" s="1">
        <f t="shared" si="1"/>
        <v>0</v>
      </c>
      <c r="E65" s="1">
        <f t="shared" si="2"/>
        <v>4.3478260869565216E-2</v>
      </c>
    </row>
    <row r="66" spans="1:5" x14ac:dyDescent="0.2">
      <c r="A66" s="1">
        <f>IF(D25 &gt; MAX($D$2:D24), 1, 0)</f>
        <v>1</v>
      </c>
      <c r="B66" s="1">
        <f>IF(D25 &lt; MIN($D$2:D24), 1, 0)</f>
        <v>0</v>
      </c>
      <c r="C66" s="1">
        <f t="shared" si="0"/>
        <v>1</v>
      </c>
      <c r="D66" s="1">
        <f t="shared" si="1"/>
        <v>1</v>
      </c>
      <c r="E66" s="1">
        <f t="shared" si="2"/>
        <v>4.1666666666666664E-2</v>
      </c>
    </row>
    <row r="67" spans="1:5" x14ac:dyDescent="0.2">
      <c r="A67" s="1">
        <f>IF(D26 &gt; MAX($D$2:D25), 1, 0)</f>
        <v>0</v>
      </c>
      <c r="B67" s="1">
        <f>IF(D26 &lt; MIN($D$2:D25), 1, 0)</f>
        <v>0</v>
      </c>
      <c r="C67" s="1">
        <f t="shared" si="0"/>
        <v>0</v>
      </c>
      <c r="D67" s="1">
        <f t="shared" si="1"/>
        <v>0</v>
      </c>
      <c r="E67" s="1">
        <f t="shared" si="2"/>
        <v>0.04</v>
      </c>
    </row>
    <row r="68" spans="1:5" x14ac:dyDescent="0.2">
      <c r="A68" s="1"/>
      <c r="B68" s="1"/>
      <c r="C68" s="1">
        <f>SUM(C44:C67)</f>
        <v>10</v>
      </c>
      <c r="D68" s="1">
        <f>SUM(D44:D67)</f>
        <v>10</v>
      </c>
      <c r="E68" s="1">
        <f>SUM(E43:E67)*2</f>
        <v>5.6319163555070144</v>
      </c>
    </row>
    <row r="69" spans="1:5" x14ac:dyDescent="0.2">
      <c r="A69" s="1"/>
      <c r="B69" s="1"/>
      <c r="C69" s="9" t="s">
        <v>37</v>
      </c>
      <c r="D69" s="9" t="s">
        <v>38</v>
      </c>
      <c r="E69" s="9" t="s">
        <v>39</v>
      </c>
    </row>
    <row r="71" spans="1:5" x14ac:dyDescent="0.2">
      <c r="D71" s="8" t="s">
        <v>40</v>
      </c>
      <c r="E71">
        <f>(2 * LN(25) - 3.4253)^0.5</f>
        <v>1.7356415671838472</v>
      </c>
    </row>
    <row r="72" spans="1:5" x14ac:dyDescent="0.2">
      <c r="D72" s="2" t="s">
        <v>41</v>
      </c>
      <c r="E72">
        <f>(2 * LN(25) - 0.8456)^0.5</f>
        <v>2.3647730651663812</v>
      </c>
    </row>
    <row r="75" spans="1:5" x14ac:dyDescent="0.2">
      <c r="A75" s="2" t="s">
        <v>42</v>
      </c>
    </row>
    <row r="76" spans="1:5" x14ac:dyDescent="0.2">
      <c r="A76" s="1"/>
    </row>
    <row r="77" spans="1:5" x14ac:dyDescent="0.2">
      <c r="A77" s="1">
        <f>IF(D2&gt;$B$102, 1, 0)</f>
        <v>0</v>
      </c>
    </row>
    <row r="78" spans="1:5" x14ac:dyDescent="0.2">
      <c r="A78" s="1">
        <f t="shared" ref="A78:A101" si="3">IF(D3&gt;$B$102, 1, 0)</f>
        <v>0</v>
      </c>
    </row>
    <row r="79" spans="1:5" x14ac:dyDescent="0.2">
      <c r="A79" s="1">
        <f t="shared" si="3"/>
        <v>0</v>
      </c>
    </row>
    <row r="80" spans="1:5" x14ac:dyDescent="0.2">
      <c r="A80" s="1">
        <f t="shared" si="3"/>
        <v>0</v>
      </c>
    </row>
    <row r="81" spans="1:7" x14ac:dyDescent="0.2">
      <c r="A81" s="1">
        <f t="shared" si="3"/>
        <v>0</v>
      </c>
    </row>
    <row r="82" spans="1:7" x14ac:dyDescent="0.2">
      <c r="A82" s="1">
        <f t="shared" si="3"/>
        <v>0</v>
      </c>
    </row>
    <row r="83" spans="1:7" x14ac:dyDescent="0.2">
      <c r="A83" s="1">
        <f t="shared" si="3"/>
        <v>0</v>
      </c>
    </row>
    <row r="84" spans="1:7" x14ac:dyDescent="0.2">
      <c r="A84" s="1">
        <f t="shared" si="3"/>
        <v>0</v>
      </c>
      <c r="C84" s="5" t="s">
        <v>43</v>
      </c>
      <c r="D84" s="1">
        <f>MAX(10,1,1,11)</f>
        <v>11</v>
      </c>
      <c r="E84" s="1" t="s">
        <v>20</v>
      </c>
      <c r="F84" s="1">
        <f>ROUNDDOWN(3.3 * (LOG(25) + 1),0)</f>
        <v>7</v>
      </c>
      <c r="G84" s="1" t="b">
        <f>D84&lt;F84</f>
        <v>0</v>
      </c>
    </row>
    <row r="85" spans="1:7" x14ac:dyDescent="0.2">
      <c r="A85" s="1">
        <f t="shared" si="3"/>
        <v>0</v>
      </c>
      <c r="C85" s="3" t="s">
        <v>44</v>
      </c>
      <c r="D85" s="1">
        <v>4</v>
      </c>
      <c r="E85" s="1" t="s">
        <v>45</v>
      </c>
      <c r="F85" s="1">
        <f>ROUNDDOWN(1/2 * (25 + 1 - 1.96*(25-1)^0.5), 0)</f>
        <v>8</v>
      </c>
      <c r="G85" s="1" t="b">
        <f>D85&gt;F85</f>
        <v>0</v>
      </c>
    </row>
    <row r="86" spans="1:7" x14ac:dyDescent="0.2">
      <c r="A86" s="1">
        <f t="shared" si="3"/>
        <v>0</v>
      </c>
      <c r="D86" t="s">
        <v>46</v>
      </c>
    </row>
    <row r="87" spans="1:7" x14ac:dyDescent="0.2">
      <c r="A87" s="1">
        <f t="shared" si="3"/>
        <v>0</v>
      </c>
    </row>
    <row r="88" spans="1:7" x14ac:dyDescent="0.2">
      <c r="A88" s="1">
        <f t="shared" si="3"/>
        <v>0</v>
      </c>
    </row>
    <row r="89" spans="1:7" x14ac:dyDescent="0.2">
      <c r="A89" s="1">
        <f t="shared" si="3"/>
        <v>1</v>
      </c>
    </row>
    <row r="90" spans="1:7" x14ac:dyDescent="0.2">
      <c r="A90" s="1">
        <f t="shared" si="3"/>
        <v>0</v>
      </c>
    </row>
    <row r="91" spans="1:7" x14ac:dyDescent="0.2">
      <c r="A91" s="1">
        <f t="shared" si="3"/>
        <v>1</v>
      </c>
    </row>
    <row r="92" spans="1:7" x14ac:dyDescent="0.2">
      <c r="A92" s="1">
        <f t="shared" si="3"/>
        <v>1</v>
      </c>
    </row>
    <row r="93" spans="1:7" x14ac:dyDescent="0.2">
      <c r="A93" s="1">
        <f t="shared" si="3"/>
        <v>1</v>
      </c>
    </row>
    <row r="94" spans="1:7" x14ac:dyDescent="0.2">
      <c r="A94" s="1">
        <f t="shared" si="3"/>
        <v>1</v>
      </c>
    </row>
    <row r="95" spans="1:7" x14ac:dyDescent="0.2">
      <c r="A95" s="1">
        <f t="shared" si="3"/>
        <v>1</v>
      </c>
    </row>
    <row r="96" spans="1:7" x14ac:dyDescent="0.2">
      <c r="A96" s="1">
        <f t="shared" si="3"/>
        <v>1</v>
      </c>
    </row>
    <row r="97" spans="1:4" x14ac:dyDescent="0.2">
      <c r="A97" s="1">
        <f t="shared" si="3"/>
        <v>1</v>
      </c>
    </row>
    <row r="98" spans="1:4" x14ac:dyDescent="0.2">
      <c r="A98" s="1">
        <f t="shared" si="3"/>
        <v>1</v>
      </c>
    </row>
    <row r="99" spans="1:4" x14ac:dyDescent="0.2">
      <c r="A99" s="1">
        <f t="shared" si="3"/>
        <v>1</v>
      </c>
    </row>
    <row r="100" spans="1:4" x14ac:dyDescent="0.2">
      <c r="A100" s="1">
        <f t="shared" si="3"/>
        <v>1</v>
      </c>
    </row>
    <row r="101" spans="1:4" x14ac:dyDescent="0.2">
      <c r="A101" s="1">
        <f t="shared" si="3"/>
        <v>1</v>
      </c>
    </row>
    <row r="102" spans="1:4" x14ac:dyDescent="0.2">
      <c r="A102" t="s">
        <v>47</v>
      </c>
      <c r="B102">
        <f>MEDIAN(D2:D26)</f>
        <v>47</v>
      </c>
      <c r="C102">
        <v>4</v>
      </c>
      <c r="D102">
        <f>MAX(10,1,1,11)</f>
        <v>11</v>
      </c>
    </row>
    <row r="103" spans="1:4" x14ac:dyDescent="0.2">
      <c r="C103" s="2" t="s">
        <v>44</v>
      </c>
      <c r="D103" s="8" t="s">
        <v>43</v>
      </c>
    </row>
    <row r="104" spans="1:4" x14ac:dyDescent="0.2">
      <c r="A104" t="s">
        <v>80</v>
      </c>
    </row>
    <row r="105" spans="1:4" x14ac:dyDescent="0.2">
      <c r="A105" s="10" t="s">
        <v>48</v>
      </c>
    </row>
    <row r="106" spans="1:4" x14ac:dyDescent="0.2">
      <c r="A106" s="1"/>
      <c r="B106" t="s">
        <v>49</v>
      </c>
    </row>
    <row r="107" spans="1:4" x14ac:dyDescent="0.2">
      <c r="A107" s="1">
        <f>D3-D2</f>
        <v>8</v>
      </c>
      <c r="B107">
        <f>AVERAGE(A107:A118)</f>
        <v>2.0833333333333335</v>
      </c>
    </row>
    <row r="108" spans="1:4" x14ac:dyDescent="0.2">
      <c r="A108" s="1">
        <f t="shared" ref="A108:A130" si="4">D4-D3</f>
        <v>0</v>
      </c>
      <c r="B108" t="s">
        <v>50</v>
      </c>
    </row>
    <row r="109" spans="1:4" x14ac:dyDescent="0.2">
      <c r="A109" s="1">
        <f t="shared" si="4"/>
        <v>-3</v>
      </c>
      <c r="B109">
        <f>_xlfn.VAR.S(A107:A118)^0.5</f>
        <v>4.6992907266238948</v>
      </c>
    </row>
    <row r="110" spans="1:4" x14ac:dyDescent="0.2">
      <c r="A110" s="1">
        <f t="shared" si="4"/>
        <v>5</v>
      </c>
      <c r="B110" t="s">
        <v>51</v>
      </c>
    </row>
    <row r="111" spans="1:4" x14ac:dyDescent="0.2">
      <c r="A111" s="1">
        <f t="shared" si="4"/>
        <v>-3</v>
      </c>
      <c r="B111">
        <f>B109^(12^0.5)</f>
        <v>212.80813425447886</v>
      </c>
    </row>
    <row r="112" spans="1:4" x14ac:dyDescent="0.2">
      <c r="A112" s="1">
        <f t="shared" si="4"/>
        <v>-3</v>
      </c>
    </row>
    <row r="113" spans="1:6" x14ac:dyDescent="0.2">
      <c r="A113" s="1">
        <f t="shared" si="4"/>
        <v>7</v>
      </c>
    </row>
    <row r="114" spans="1:6" x14ac:dyDescent="0.2">
      <c r="A114" s="1">
        <f t="shared" si="4"/>
        <v>4</v>
      </c>
    </row>
    <row r="115" spans="1:6" x14ac:dyDescent="0.2">
      <c r="A115" s="1">
        <f t="shared" si="4"/>
        <v>-2</v>
      </c>
    </row>
    <row r="116" spans="1:6" x14ac:dyDescent="0.2">
      <c r="A116" s="1">
        <f t="shared" si="4"/>
        <v>5</v>
      </c>
    </row>
    <row r="117" spans="1:6" x14ac:dyDescent="0.2">
      <c r="A117" s="1">
        <f t="shared" si="4"/>
        <v>-2</v>
      </c>
    </row>
    <row r="118" spans="1:6" x14ac:dyDescent="0.2">
      <c r="A118" s="1">
        <f t="shared" si="4"/>
        <v>9</v>
      </c>
    </row>
    <row r="119" spans="1:6" x14ac:dyDescent="0.2">
      <c r="A119" s="1">
        <f t="shared" si="4"/>
        <v>-7</v>
      </c>
      <c r="B119" t="s">
        <v>49</v>
      </c>
    </row>
    <row r="120" spans="1:6" x14ac:dyDescent="0.2">
      <c r="A120" s="1">
        <f t="shared" si="4"/>
        <v>6</v>
      </c>
      <c r="B120">
        <f>AVERAGE(A119:A130)</f>
        <v>1</v>
      </c>
    </row>
    <row r="121" spans="1:6" x14ac:dyDescent="0.2">
      <c r="A121" s="1">
        <f t="shared" si="4"/>
        <v>4</v>
      </c>
      <c r="B121" t="s">
        <v>50</v>
      </c>
    </row>
    <row r="122" spans="1:6" x14ac:dyDescent="0.2">
      <c r="A122" s="1">
        <f t="shared" si="4"/>
        <v>-4</v>
      </c>
      <c r="B122">
        <f>_xlfn.VAR.S(A119:A130)^0.5</f>
        <v>5.6568542494923806</v>
      </c>
    </row>
    <row r="123" spans="1:6" x14ac:dyDescent="0.2">
      <c r="A123" s="1">
        <f t="shared" si="4"/>
        <v>9</v>
      </c>
      <c r="B123" t="s">
        <v>52</v>
      </c>
    </row>
    <row r="124" spans="1:6" x14ac:dyDescent="0.2">
      <c r="A124" s="1">
        <f t="shared" si="4"/>
        <v>-1</v>
      </c>
      <c r="B124">
        <f>B122^(12^0.5)</f>
        <v>404.5723847797276</v>
      </c>
    </row>
    <row r="125" spans="1:6" x14ac:dyDescent="0.2">
      <c r="A125" s="1">
        <f t="shared" si="4"/>
        <v>3</v>
      </c>
    </row>
    <row r="126" spans="1:6" x14ac:dyDescent="0.2">
      <c r="A126" s="1">
        <f t="shared" si="4"/>
        <v>-5</v>
      </c>
    </row>
    <row r="127" spans="1:6" x14ac:dyDescent="0.2">
      <c r="A127" s="1">
        <f t="shared" si="4"/>
        <v>-3</v>
      </c>
      <c r="B127" t="s">
        <v>53</v>
      </c>
      <c r="C127">
        <f>(B111^2 + B124^2)^0.5</f>
        <v>457.12811828986003</v>
      </c>
    </row>
    <row r="128" spans="1:6" x14ac:dyDescent="0.2">
      <c r="A128" s="1">
        <f t="shared" si="4"/>
        <v>-1</v>
      </c>
      <c r="B128" s="2" t="s">
        <v>2</v>
      </c>
      <c r="C128">
        <f>(B107-B120)/C127</f>
        <v>2.3698680741542208E-3</v>
      </c>
      <c r="D128" s="2" t="s">
        <v>54</v>
      </c>
      <c r="E128" s="2" t="s">
        <v>26</v>
      </c>
      <c r="F128">
        <f>_xlfn.T.INV.2T(0.05,24-2)</f>
        <v>2.0738730679040258</v>
      </c>
    </row>
    <row r="129" spans="1:5" x14ac:dyDescent="0.2">
      <c r="A129" s="1">
        <f t="shared" si="4"/>
        <v>11</v>
      </c>
      <c r="B129" t="s">
        <v>55</v>
      </c>
    </row>
    <row r="130" spans="1:5" x14ac:dyDescent="0.2">
      <c r="A130" s="1">
        <f t="shared" si="4"/>
        <v>0</v>
      </c>
      <c r="B130" t="s">
        <v>56</v>
      </c>
    </row>
    <row r="134" spans="1:5" x14ac:dyDescent="0.2">
      <c r="A134" t="s">
        <v>84</v>
      </c>
    </row>
    <row r="135" spans="1:5" x14ac:dyDescent="0.2">
      <c r="A135" s="9" t="s">
        <v>57</v>
      </c>
      <c r="B135" s="9" t="s">
        <v>58</v>
      </c>
      <c r="C135" s="9" t="s">
        <v>59</v>
      </c>
      <c r="D135" s="9" t="s">
        <v>60</v>
      </c>
      <c r="E135" s="9" t="s">
        <v>61</v>
      </c>
    </row>
    <row r="136" spans="1:5" x14ac:dyDescent="0.2">
      <c r="A136" s="1">
        <f>29.94 + 1.44*C2</f>
        <v>31.380000000000003</v>
      </c>
      <c r="B136" s="1">
        <f>D2-A136</f>
        <v>-2.3800000000000026</v>
      </c>
      <c r="C136" s="1"/>
      <c r="D136" s="1"/>
      <c r="E136" s="1">
        <f>B136^2</f>
        <v>5.6644000000000121</v>
      </c>
    </row>
    <row r="137" spans="1:5" x14ac:dyDescent="0.2">
      <c r="A137" s="1">
        <f>29.94 + 1.44*C3</f>
        <v>32.82</v>
      </c>
      <c r="B137" s="1">
        <f>D3-A137</f>
        <v>4.18</v>
      </c>
      <c r="C137" s="1"/>
      <c r="D137" s="1">
        <f>(B137-B136)^2</f>
        <v>43.033600000000028</v>
      </c>
      <c r="E137" s="1">
        <f t="shared" ref="E137:E160" si="5">B137^2</f>
        <v>17.472399999999997</v>
      </c>
    </row>
    <row r="138" spans="1:5" x14ac:dyDescent="0.2">
      <c r="A138" s="1">
        <f>29.94 + 1.44*C4</f>
        <v>34.260000000000005</v>
      </c>
      <c r="B138" s="1">
        <f>D4-A138</f>
        <v>2.7399999999999949</v>
      </c>
      <c r="C138" s="1">
        <v>1</v>
      </c>
      <c r="D138" s="1">
        <f t="shared" ref="D138:D159" si="6">(B138-B137)^2</f>
        <v>2.0736000000000141</v>
      </c>
      <c r="E138" s="1">
        <f t="shared" si="5"/>
        <v>7.5075999999999716</v>
      </c>
    </row>
    <row r="139" spans="1:5" x14ac:dyDescent="0.2">
      <c r="A139" s="1">
        <f>29.94 + 1.44*C5</f>
        <v>35.700000000000003</v>
      </c>
      <c r="B139" s="1">
        <f>D5-A139</f>
        <v>-1.7000000000000028</v>
      </c>
      <c r="C139" s="1"/>
      <c r="D139" s="1">
        <f t="shared" si="6"/>
        <v>19.713599999999978</v>
      </c>
      <c r="E139" s="1">
        <f t="shared" si="5"/>
        <v>2.8900000000000095</v>
      </c>
    </row>
    <row r="140" spans="1:5" x14ac:dyDescent="0.2">
      <c r="A140" s="1">
        <f>29.94 + 1.44*C6</f>
        <v>37.14</v>
      </c>
      <c r="B140" s="1">
        <f>D6-A140</f>
        <v>1.8599999999999994</v>
      </c>
      <c r="C140" s="1">
        <v>1</v>
      </c>
      <c r="D140" s="1">
        <f t="shared" si="6"/>
        <v>12.673600000000016</v>
      </c>
      <c r="E140" s="1">
        <f t="shared" si="5"/>
        <v>3.4595999999999978</v>
      </c>
    </row>
    <row r="141" spans="1:5" x14ac:dyDescent="0.2">
      <c r="A141" s="1">
        <f>29.94 + 1.44*C7</f>
        <v>38.58</v>
      </c>
      <c r="B141" s="1">
        <f>D7-A141</f>
        <v>-2.5799999999999983</v>
      </c>
      <c r="C141" s="1">
        <v>1</v>
      </c>
      <c r="D141" s="1">
        <f t="shared" si="6"/>
        <v>19.713599999999978</v>
      </c>
      <c r="E141" s="1">
        <f t="shared" si="5"/>
        <v>6.6563999999999908</v>
      </c>
    </row>
    <row r="142" spans="1:5" x14ac:dyDescent="0.2">
      <c r="A142" s="1">
        <f>29.94 + 1.44*C8</f>
        <v>40.020000000000003</v>
      </c>
      <c r="B142" s="1">
        <f>D8-A142</f>
        <v>-7.0200000000000031</v>
      </c>
      <c r="C142" s="1"/>
      <c r="D142" s="1">
        <f t="shared" si="6"/>
        <v>19.713600000000042</v>
      </c>
      <c r="E142" s="1">
        <f t="shared" si="5"/>
        <v>49.280400000000043</v>
      </c>
    </row>
    <row r="143" spans="1:5" x14ac:dyDescent="0.2">
      <c r="A143" s="1">
        <f>29.94 + 1.44*C9</f>
        <v>41.46</v>
      </c>
      <c r="B143" s="1">
        <f>D9-A143</f>
        <v>-1.4600000000000009</v>
      </c>
      <c r="C143" s="1">
        <v>1</v>
      </c>
      <c r="D143" s="1">
        <f t="shared" si="6"/>
        <v>30.913600000000024</v>
      </c>
      <c r="E143" s="1">
        <f t="shared" si="5"/>
        <v>2.1316000000000024</v>
      </c>
    </row>
    <row r="144" spans="1:5" x14ac:dyDescent="0.2">
      <c r="A144" s="1">
        <f>29.94 + 1.44*C10</f>
        <v>42.9</v>
      </c>
      <c r="B144" s="1">
        <f>D10-A144</f>
        <v>1.1000000000000014</v>
      </c>
      <c r="C144" s="1"/>
      <c r="D144" s="1">
        <f t="shared" si="6"/>
        <v>6.5536000000000119</v>
      </c>
      <c r="E144" s="1">
        <f t="shared" si="5"/>
        <v>1.2100000000000031</v>
      </c>
    </row>
    <row r="145" spans="1:5" x14ac:dyDescent="0.2">
      <c r="A145" s="1">
        <f>29.94 + 1.44*C11</f>
        <v>44.34</v>
      </c>
      <c r="B145" s="1">
        <f>D11-A145</f>
        <v>-2.3400000000000034</v>
      </c>
      <c r="C145" s="1">
        <v>1</v>
      </c>
      <c r="D145" s="1">
        <f t="shared" si="6"/>
        <v>11.833600000000033</v>
      </c>
      <c r="E145" s="1">
        <f t="shared" si="5"/>
        <v>5.475600000000016</v>
      </c>
    </row>
    <row r="146" spans="1:5" x14ac:dyDescent="0.2">
      <c r="A146" s="1">
        <f>29.94 + 1.44*C12</f>
        <v>45.78</v>
      </c>
      <c r="B146" s="1">
        <f>D12-A146</f>
        <v>1.2199999999999989</v>
      </c>
      <c r="C146" s="1">
        <v>1</v>
      </c>
      <c r="D146" s="1">
        <f t="shared" si="6"/>
        <v>12.673600000000016</v>
      </c>
      <c r="E146" s="1">
        <f t="shared" si="5"/>
        <v>1.4883999999999973</v>
      </c>
    </row>
    <row r="147" spans="1:5" x14ac:dyDescent="0.2">
      <c r="A147" s="1">
        <f>29.94 + 1.44*C13</f>
        <v>47.22</v>
      </c>
      <c r="B147" s="1">
        <f>D13-A147</f>
        <v>-2.2199999999999989</v>
      </c>
      <c r="C147" s="1">
        <v>1</v>
      </c>
      <c r="D147" s="1">
        <f t="shared" si="6"/>
        <v>11.833599999999985</v>
      </c>
      <c r="E147" s="1">
        <f t="shared" si="5"/>
        <v>4.9283999999999946</v>
      </c>
    </row>
    <row r="148" spans="1:5" x14ac:dyDescent="0.2">
      <c r="A148" s="1">
        <f>29.94 + 1.44*C14</f>
        <v>48.66</v>
      </c>
      <c r="B148" s="1">
        <f>D14-A148</f>
        <v>5.3400000000000034</v>
      </c>
      <c r="C148" s="1">
        <v>1</v>
      </c>
      <c r="D148" s="1">
        <f t="shared" si="6"/>
        <v>57.153600000000033</v>
      </c>
      <c r="E148" s="1">
        <f t="shared" si="5"/>
        <v>28.515600000000035</v>
      </c>
    </row>
    <row r="149" spans="1:5" x14ac:dyDescent="0.2">
      <c r="A149" s="1">
        <f>29.94 + 1.44*C15</f>
        <v>50.1</v>
      </c>
      <c r="B149" s="1">
        <f>D15-A149</f>
        <v>-3.1000000000000014</v>
      </c>
      <c r="C149" s="1">
        <v>1</v>
      </c>
      <c r="D149" s="1">
        <f t="shared" si="6"/>
        <v>71.233600000000081</v>
      </c>
      <c r="E149" s="1">
        <f t="shared" si="5"/>
        <v>9.6100000000000083</v>
      </c>
    </row>
    <row r="150" spans="1:5" x14ac:dyDescent="0.2">
      <c r="A150" s="1">
        <f>29.94 + 1.44*C16</f>
        <v>51.54</v>
      </c>
      <c r="B150" s="1">
        <f>D16-A150</f>
        <v>1.4600000000000009</v>
      </c>
      <c r="C150" s="1">
        <v>1</v>
      </c>
      <c r="D150" s="1">
        <f t="shared" si="6"/>
        <v>20.793600000000019</v>
      </c>
      <c r="E150" s="1">
        <f t="shared" si="5"/>
        <v>2.1316000000000024</v>
      </c>
    </row>
    <row r="151" spans="1:5" x14ac:dyDescent="0.2">
      <c r="A151" s="1">
        <f>29.94 + 1.44*C17</f>
        <v>52.980000000000004</v>
      </c>
      <c r="B151" s="1">
        <f>D17-A151</f>
        <v>4.019999999999996</v>
      </c>
      <c r="C151" s="1"/>
      <c r="D151" s="1">
        <f t="shared" si="6"/>
        <v>6.5535999999999754</v>
      </c>
      <c r="E151" s="1">
        <f t="shared" si="5"/>
        <v>16.160399999999967</v>
      </c>
    </row>
    <row r="152" spans="1:5" x14ac:dyDescent="0.2">
      <c r="A152" s="1">
        <f>29.94 + 1.44*C18</f>
        <v>54.42</v>
      </c>
      <c r="B152" s="1">
        <f>D18-A152</f>
        <v>-1.4200000000000017</v>
      </c>
      <c r="C152" s="1">
        <v>1</v>
      </c>
      <c r="D152" s="1">
        <f t="shared" si="6"/>
        <v>29.593599999999974</v>
      </c>
      <c r="E152" s="1">
        <f t="shared" si="5"/>
        <v>2.0164000000000049</v>
      </c>
    </row>
    <row r="153" spans="1:5" x14ac:dyDescent="0.2">
      <c r="A153" s="1">
        <f>29.94 + 1.44*C19</f>
        <v>55.86</v>
      </c>
      <c r="B153" s="1">
        <f>D19-A153</f>
        <v>6.1400000000000006</v>
      </c>
      <c r="C153" s="1">
        <v>1</v>
      </c>
      <c r="D153" s="1">
        <f t="shared" si="6"/>
        <v>57.153600000000033</v>
      </c>
      <c r="E153" s="1">
        <f t="shared" si="5"/>
        <v>37.699600000000004</v>
      </c>
    </row>
    <row r="154" spans="1:5" x14ac:dyDescent="0.2">
      <c r="A154" s="1">
        <f>29.94 + 1.44*C20</f>
        <v>57.3</v>
      </c>
      <c r="B154" s="1">
        <f>D20-A154</f>
        <v>3.7000000000000028</v>
      </c>
      <c r="C154" s="1">
        <v>1</v>
      </c>
      <c r="D154" s="1">
        <f t="shared" si="6"/>
        <v>5.9535999999999891</v>
      </c>
      <c r="E154" s="1">
        <f t="shared" si="5"/>
        <v>13.690000000000021</v>
      </c>
    </row>
    <row r="155" spans="1:5" x14ac:dyDescent="0.2">
      <c r="A155" s="1">
        <f>29.94 + 1.44*C21</f>
        <v>58.739999999999995</v>
      </c>
      <c r="B155" s="1">
        <f>D21-A155</f>
        <v>5.2600000000000051</v>
      </c>
      <c r="C155" s="1">
        <v>1</v>
      </c>
      <c r="D155" s="1">
        <f t="shared" si="6"/>
        <v>2.4336000000000073</v>
      </c>
      <c r="E155" s="1">
        <f t="shared" si="5"/>
        <v>27.667600000000053</v>
      </c>
    </row>
    <row r="156" spans="1:5" x14ac:dyDescent="0.2">
      <c r="A156" s="1">
        <f>29.94 + 1.44*C22</f>
        <v>60.18</v>
      </c>
      <c r="B156" s="1">
        <f>D22-A156</f>
        <v>-1.1799999999999997</v>
      </c>
      <c r="C156" s="1">
        <v>1</v>
      </c>
      <c r="D156" s="1">
        <f t="shared" si="6"/>
        <v>41.473600000000062</v>
      </c>
      <c r="E156" s="1">
        <f t="shared" si="5"/>
        <v>1.3923999999999994</v>
      </c>
    </row>
    <row r="157" spans="1:5" x14ac:dyDescent="0.2">
      <c r="A157" s="1">
        <f>29.94 + 1.44*C23</f>
        <v>61.620000000000005</v>
      </c>
      <c r="B157" s="1">
        <f>D23-A157</f>
        <v>-5.6200000000000045</v>
      </c>
      <c r="C157" s="1"/>
      <c r="D157" s="1">
        <f t="shared" si="6"/>
        <v>19.713600000000042</v>
      </c>
      <c r="E157" s="1">
        <f t="shared" si="5"/>
        <v>31.584400000000052</v>
      </c>
    </row>
    <row r="158" spans="1:5" x14ac:dyDescent="0.2">
      <c r="A158" s="1">
        <f>29.94 + 1.44*C24</f>
        <v>63.06</v>
      </c>
      <c r="B158" s="1">
        <f>D24-A158</f>
        <v>-8.0600000000000023</v>
      </c>
      <c r="C158" s="1"/>
      <c r="D158" s="1">
        <f t="shared" si="6"/>
        <v>5.9535999999999891</v>
      </c>
      <c r="E158" s="1">
        <f t="shared" si="5"/>
        <v>64.963600000000042</v>
      </c>
    </row>
    <row r="159" spans="1:5" x14ac:dyDescent="0.2">
      <c r="A159" s="1">
        <f>29.94 + 1.44*C25</f>
        <v>64.5</v>
      </c>
      <c r="B159" s="1">
        <f>D25-A159</f>
        <v>1.5</v>
      </c>
      <c r="C159" s="1">
        <v>1</v>
      </c>
      <c r="D159" s="1">
        <f t="shared" si="6"/>
        <v>91.393600000000049</v>
      </c>
      <c r="E159" s="1">
        <f t="shared" si="5"/>
        <v>2.25</v>
      </c>
    </row>
    <row r="160" spans="1:5" x14ac:dyDescent="0.2">
      <c r="A160" s="1">
        <f>29.94 + 1.44*C26</f>
        <v>65.94</v>
      </c>
      <c r="B160" s="1">
        <f>D26-A160</f>
        <v>6.0000000000002274E-2</v>
      </c>
      <c r="C160" s="1">
        <v>1</v>
      </c>
      <c r="D160" s="1">
        <f>(B160-B159)^2</f>
        <v>2.0735999999999937</v>
      </c>
      <c r="E160" s="1">
        <f t="shared" si="5"/>
        <v>3.6000000000002727E-3</v>
      </c>
    </row>
    <row r="161" spans="1:8" x14ac:dyDescent="0.2">
      <c r="A161" s="1"/>
      <c r="B161" s="1"/>
      <c r="C161" s="1">
        <f>SUM(C136:C160)</f>
        <v>17</v>
      </c>
      <c r="D161" s="1">
        <f>SUM(D137:D160)</f>
        <v>602.20640000000037</v>
      </c>
      <c r="E161" s="1">
        <f>SUM(E136:E160)</f>
        <v>345.85000000000025</v>
      </c>
    </row>
    <row r="162" spans="1:8" x14ac:dyDescent="0.2">
      <c r="B162" s="2" t="s">
        <v>70</v>
      </c>
      <c r="C162">
        <v>1.45</v>
      </c>
      <c r="D162" s="2" t="s">
        <v>20</v>
      </c>
      <c r="E162" s="2" t="s">
        <v>38</v>
      </c>
      <c r="F162">
        <f>D161/E161</f>
        <v>1.7412357958652593</v>
      </c>
      <c r="G162" s="2" t="s">
        <v>54</v>
      </c>
      <c r="H162">
        <v>2</v>
      </c>
    </row>
    <row r="163" spans="1:8" x14ac:dyDescent="0.2">
      <c r="B163" t="s">
        <v>69</v>
      </c>
    </row>
    <row r="165" spans="1:8" x14ac:dyDescent="0.2">
      <c r="E165">
        <f>SUM(E136:E160)</f>
        <v>345.85000000000025</v>
      </c>
      <c r="F165" s="2" t="s">
        <v>25</v>
      </c>
      <c r="G165">
        <f>ROUNDDOWN(2/3 * (25 - 2) - 1.96 * ((16*25 - 29)/90)^0.5, 0)</f>
        <v>11</v>
      </c>
    </row>
    <row r="166" spans="1:8" x14ac:dyDescent="0.2">
      <c r="A166" s="3" t="s">
        <v>68</v>
      </c>
      <c r="B166" s="1">
        <f>AVERAGE(D136:D160)</f>
        <v>25.091933333333348</v>
      </c>
      <c r="E166" t="s">
        <v>67</v>
      </c>
    </row>
    <row r="167" spans="1:8" x14ac:dyDescent="0.2">
      <c r="A167" s="3" t="s">
        <v>66</v>
      </c>
      <c r="B167" s="1">
        <f>_xlfn.VAR.S(D136:D160)^0.5</f>
        <v>23.785674838781279</v>
      </c>
    </row>
    <row r="168" spans="1:8" x14ac:dyDescent="0.2">
      <c r="A168" s="3" t="s">
        <v>26</v>
      </c>
      <c r="B168" s="1">
        <f>_xlfn.T.INV.2T(0.05,25-1)</f>
        <v>2.0638985616280254</v>
      </c>
      <c r="C168" s="2"/>
      <c r="D168" s="2"/>
    </row>
    <row r="169" spans="1:8" x14ac:dyDescent="0.2">
      <c r="A169" s="3" t="s">
        <v>65</v>
      </c>
      <c r="B169" s="1">
        <f>ABS(B166)*(25)^0.5 / B167</f>
        <v>5.274589328115737</v>
      </c>
      <c r="C169" s="2" t="s">
        <v>54</v>
      </c>
      <c r="D169" s="2" t="s">
        <v>26</v>
      </c>
      <c r="E169">
        <f>_xlfn.T.INV.2T(0.05,25-1)</f>
        <v>2.0638985616280254</v>
      </c>
    </row>
    <row r="170" spans="1:8" x14ac:dyDescent="0.2">
      <c r="A170" t="s">
        <v>64</v>
      </c>
    </row>
    <row r="172" spans="1:8" x14ac:dyDescent="0.2">
      <c r="B172">
        <v>3.34</v>
      </c>
      <c r="C172" s="2" t="s">
        <v>20</v>
      </c>
      <c r="D172" s="2" t="s">
        <v>63</v>
      </c>
      <c r="E172">
        <f>(MAX(D136:D160) - MIN(D136:D160))/B167</f>
        <v>3.7552014229324508</v>
      </c>
      <c r="F172" s="2" t="s">
        <v>20</v>
      </c>
      <c r="G172">
        <v>4.71</v>
      </c>
    </row>
    <row r="173" spans="1:8" x14ac:dyDescent="0.2">
      <c r="C173" t="s">
        <v>62</v>
      </c>
    </row>
    <row r="175" spans="1:8" ht="16" customHeight="1" x14ac:dyDescent="0.2">
      <c r="A175" t="s">
        <v>81</v>
      </c>
    </row>
    <row r="177" spans="1:5" x14ac:dyDescent="0.2">
      <c r="A177" t="s">
        <v>82</v>
      </c>
    </row>
    <row r="178" spans="1:5" x14ac:dyDescent="0.2">
      <c r="A178" s="9" t="s">
        <v>57</v>
      </c>
      <c r="B178" s="9" t="s">
        <v>71</v>
      </c>
      <c r="C178" s="9" t="s">
        <v>60</v>
      </c>
      <c r="D178" s="9" t="s">
        <v>61</v>
      </c>
      <c r="E178" s="9" t="s">
        <v>72</v>
      </c>
    </row>
    <row r="179" spans="1:5" x14ac:dyDescent="0.2">
      <c r="A179" s="1">
        <f>29.94 + 1.44*C2</f>
        <v>31.380000000000003</v>
      </c>
      <c r="B179" s="1">
        <f>D2-A179</f>
        <v>-2.3800000000000026</v>
      </c>
      <c r="C179" s="1"/>
      <c r="D179" s="1">
        <f>B179^2</f>
        <v>5.6644000000000121</v>
      </c>
      <c r="E179" s="1">
        <f>ABS(B179/D2)</f>
        <v>8.2068965517241466E-2</v>
      </c>
    </row>
    <row r="180" spans="1:5" x14ac:dyDescent="0.2">
      <c r="A180" s="1">
        <f>29.94 + 1.44*C3</f>
        <v>32.82</v>
      </c>
      <c r="B180" s="1">
        <f>D3-A180</f>
        <v>4.18</v>
      </c>
      <c r="C180" s="1">
        <f>(B180-B179)^2</f>
        <v>43.033600000000028</v>
      </c>
      <c r="D180" s="1">
        <f t="shared" ref="D180:D203" si="7">B180^2</f>
        <v>17.472399999999997</v>
      </c>
      <c r="E180" s="1">
        <f>ABS(B180/D3)</f>
        <v>0.11297297297297297</v>
      </c>
    </row>
    <row r="181" spans="1:5" x14ac:dyDescent="0.2">
      <c r="A181" s="1">
        <f>29.94 + 1.44*C4</f>
        <v>34.260000000000005</v>
      </c>
      <c r="B181" s="1">
        <f>D4-A181</f>
        <v>2.7399999999999949</v>
      </c>
      <c r="C181" s="1">
        <f t="shared" ref="C181:C202" si="8">(B181-B180)^2</f>
        <v>2.0736000000000141</v>
      </c>
      <c r="D181" s="1">
        <f t="shared" si="7"/>
        <v>7.5075999999999716</v>
      </c>
      <c r="E181" s="1">
        <f>ABS(B181/D4)</f>
        <v>7.4054054054053922E-2</v>
      </c>
    </row>
    <row r="182" spans="1:5" x14ac:dyDescent="0.2">
      <c r="A182" s="1">
        <f>29.94 + 1.44*C5</f>
        <v>35.700000000000003</v>
      </c>
      <c r="B182" s="1">
        <f>D5-A182</f>
        <v>-1.7000000000000028</v>
      </c>
      <c r="C182" s="1">
        <f t="shared" si="8"/>
        <v>19.713599999999978</v>
      </c>
      <c r="D182" s="1">
        <f t="shared" si="7"/>
        <v>2.8900000000000095</v>
      </c>
      <c r="E182" s="1">
        <f>ABS(B182/D5)</f>
        <v>5.0000000000000086E-2</v>
      </c>
    </row>
    <row r="183" spans="1:5" x14ac:dyDescent="0.2">
      <c r="A183" s="1">
        <f>29.94 + 1.44*C6</f>
        <v>37.14</v>
      </c>
      <c r="B183" s="1">
        <f>D6-A183</f>
        <v>1.8599999999999994</v>
      </c>
      <c r="C183" s="1">
        <f t="shared" si="8"/>
        <v>12.673600000000016</v>
      </c>
      <c r="D183" s="1">
        <f t="shared" si="7"/>
        <v>3.4595999999999978</v>
      </c>
      <c r="E183" s="1">
        <f>ABS(B183/D6)</f>
        <v>4.769230769230768E-2</v>
      </c>
    </row>
    <row r="184" spans="1:5" x14ac:dyDescent="0.2">
      <c r="A184" s="1">
        <f>29.94 + 1.44*C7</f>
        <v>38.58</v>
      </c>
      <c r="B184" s="1">
        <f>D7-A184</f>
        <v>-2.5799999999999983</v>
      </c>
      <c r="C184" s="1">
        <f t="shared" si="8"/>
        <v>19.713599999999978</v>
      </c>
      <c r="D184" s="1">
        <f t="shared" si="7"/>
        <v>6.6563999999999908</v>
      </c>
      <c r="E184" s="1">
        <f>ABS(B184/D7)</f>
        <v>7.1666666666666615E-2</v>
      </c>
    </row>
    <row r="185" spans="1:5" x14ac:dyDescent="0.2">
      <c r="A185" s="1">
        <f>29.94 + 1.44*C8</f>
        <v>40.020000000000003</v>
      </c>
      <c r="B185" s="1">
        <f>D8-A185</f>
        <v>-7.0200000000000031</v>
      </c>
      <c r="C185" s="1">
        <f t="shared" si="8"/>
        <v>19.713600000000042</v>
      </c>
      <c r="D185" s="1">
        <f t="shared" si="7"/>
        <v>49.280400000000043</v>
      </c>
      <c r="E185" s="1">
        <f>ABS(B185/D8)</f>
        <v>0.21272727272727282</v>
      </c>
    </row>
    <row r="186" spans="1:5" x14ac:dyDescent="0.2">
      <c r="A186" s="1">
        <f>29.94 + 1.44*C9</f>
        <v>41.46</v>
      </c>
      <c r="B186" s="1">
        <f>D9-A186</f>
        <v>-1.4600000000000009</v>
      </c>
      <c r="C186" s="1">
        <f t="shared" si="8"/>
        <v>30.913600000000024</v>
      </c>
      <c r="D186" s="1">
        <f t="shared" si="7"/>
        <v>2.1316000000000024</v>
      </c>
      <c r="E186" s="1">
        <f>ABS(B186/D9)</f>
        <v>3.6500000000000019E-2</v>
      </c>
    </row>
    <row r="187" spans="1:5" x14ac:dyDescent="0.2">
      <c r="A187" s="1">
        <f>29.94 + 1.44*C10</f>
        <v>42.9</v>
      </c>
      <c r="B187" s="1">
        <f>D10-A187</f>
        <v>1.1000000000000014</v>
      </c>
      <c r="C187" s="1">
        <f t="shared" si="8"/>
        <v>6.5536000000000119</v>
      </c>
      <c r="D187" s="1">
        <f t="shared" si="7"/>
        <v>1.2100000000000031</v>
      </c>
      <c r="E187" s="1">
        <f>ABS(B187/D10)</f>
        <v>2.5000000000000033E-2</v>
      </c>
    </row>
    <row r="188" spans="1:5" x14ac:dyDescent="0.2">
      <c r="A188" s="1">
        <f>29.94 + 1.44*C11</f>
        <v>44.34</v>
      </c>
      <c r="B188" s="1">
        <f>D11-A188</f>
        <v>-2.3400000000000034</v>
      </c>
      <c r="C188" s="1">
        <f t="shared" si="8"/>
        <v>11.833600000000033</v>
      </c>
      <c r="D188" s="1">
        <f t="shared" si="7"/>
        <v>5.475600000000016</v>
      </c>
      <c r="E188" s="1">
        <f>ABS(B188/D11)</f>
        <v>5.5714285714285793E-2</v>
      </c>
    </row>
    <row r="189" spans="1:5" x14ac:dyDescent="0.2">
      <c r="A189" s="1">
        <f>29.94 + 1.44*C12</f>
        <v>45.78</v>
      </c>
      <c r="B189" s="1">
        <f>D12-A189</f>
        <v>1.2199999999999989</v>
      </c>
      <c r="C189" s="1">
        <f t="shared" si="8"/>
        <v>12.673600000000016</v>
      </c>
      <c r="D189" s="1">
        <f t="shared" si="7"/>
        <v>1.4883999999999973</v>
      </c>
      <c r="E189" s="1">
        <f>ABS(B189/D12)</f>
        <v>2.5957446808510615E-2</v>
      </c>
    </row>
    <row r="190" spans="1:5" x14ac:dyDescent="0.2">
      <c r="A190" s="1">
        <f>29.94 + 1.44*C13</f>
        <v>47.22</v>
      </c>
      <c r="B190" s="1">
        <f>D13-A190</f>
        <v>-2.2199999999999989</v>
      </c>
      <c r="C190" s="1">
        <f t="shared" si="8"/>
        <v>11.833599999999985</v>
      </c>
      <c r="D190" s="1">
        <f t="shared" si="7"/>
        <v>4.9283999999999946</v>
      </c>
      <c r="E190" s="1">
        <f>ABS(B190/D13)</f>
        <v>4.9333333333333305E-2</v>
      </c>
    </row>
    <row r="191" spans="1:5" x14ac:dyDescent="0.2">
      <c r="A191" s="1">
        <f>29.94 + 1.44*C14</f>
        <v>48.66</v>
      </c>
      <c r="B191" s="1">
        <f>D14-A191</f>
        <v>5.3400000000000034</v>
      </c>
      <c r="C191" s="1">
        <f t="shared" si="8"/>
        <v>57.153600000000033</v>
      </c>
      <c r="D191" s="1">
        <f t="shared" si="7"/>
        <v>28.515600000000035</v>
      </c>
      <c r="E191" s="1">
        <f>ABS(B191/D14)</f>
        <v>9.8888888888888957E-2</v>
      </c>
    </row>
    <row r="192" spans="1:5" x14ac:dyDescent="0.2">
      <c r="A192" s="1">
        <f>29.94 + 1.44*C15</f>
        <v>50.1</v>
      </c>
      <c r="B192" s="1">
        <f>D15-A192</f>
        <v>-3.1000000000000014</v>
      </c>
      <c r="C192" s="1">
        <f t="shared" si="8"/>
        <v>71.233600000000081</v>
      </c>
      <c r="D192" s="1">
        <f t="shared" si="7"/>
        <v>9.6100000000000083</v>
      </c>
      <c r="E192" s="1">
        <f>ABS(B192/D15)</f>
        <v>6.5957446808510664E-2</v>
      </c>
    </row>
    <row r="193" spans="1:5" x14ac:dyDescent="0.2">
      <c r="A193" s="1">
        <f>29.94 + 1.44*C16</f>
        <v>51.54</v>
      </c>
      <c r="B193" s="1">
        <f>D16-A193</f>
        <v>1.4600000000000009</v>
      </c>
      <c r="C193" s="1">
        <f t="shared" si="8"/>
        <v>20.793600000000019</v>
      </c>
      <c r="D193" s="1">
        <f t="shared" si="7"/>
        <v>2.1316000000000024</v>
      </c>
      <c r="E193" s="1">
        <f>ABS(B193/D16)</f>
        <v>2.7547169811320771E-2</v>
      </c>
    </row>
    <row r="194" spans="1:5" x14ac:dyDescent="0.2">
      <c r="A194" s="1">
        <f>29.94 + 1.44*C17</f>
        <v>52.980000000000004</v>
      </c>
      <c r="B194" s="1">
        <f>D17-A194</f>
        <v>4.019999999999996</v>
      </c>
      <c r="C194" s="1">
        <f t="shared" si="8"/>
        <v>6.5535999999999754</v>
      </c>
      <c r="D194" s="1">
        <f t="shared" si="7"/>
        <v>16.160399999999967</v>
      </c>
      <c r="E194" s="1">
        <f>ABS(B194/D17)</f>
        <v>7.0526315789473618E-2</v>
      </c>
    </row>
    <row r="195" spans="1:5" x14ac:dyDescent="0.2">
      <c r="A195" s="1">
        <f>29.94 + 1.44*C18</f>
        <v>54.42</v>
      </c>
      <c r="B195" s="1">
        <f>D18-A195</f>
        <v>-1.4200000000000017</v>
      </c>
      <c r="C195" s="1">
        <f t="shared" si="8"/>
        <v>29.593599999999974</v>
      </c>
      <c r="D195" s="1">
        <f t="shared" si="7"/>
        <v>2.0164000000000049</v>
      </c>
      <c r="E195" s="1">
        <f>ABS(B195/D18)</f>
        <v>2.6792452830188711E-2</v>
      </c>
    </row>
    <row r="196" spans="1:5" x14ac:dyDescent="0.2">
      <c r="A196" s="1">
        <f>29.94 + 1.44*C19</f>
        <v>55.86</v>
      </c>
      <c r="B196" s="1">
        <f>D19-A196</f>
        <v>6.1400000000000006</v>
      </c>
      <c r="C196" s="1">
        <f t="shared" si="8"/>
        <v>57.153600000000033</v>
      </c>
      <c r="D196" s="1">
        <f t="shared" si="7"/>
        <v>37.699600000000004</v>
      </c>
      <c r="E196" s="1">
        <f>ABS(B196/D19)</f>
        <v>9.903225806451614E-2</v>
      </c>
    </row>
    <row r="197" spans="1:5" x14ac:dyDescent="0.2">
      <c r="A197" s="1">
        <f>29.94 + 1.44*C20</f>
        <v>57.3</v>
      </c>
      <c r="B197" s="1">
        <f>D20-A197</f>
        <v>3.7000000000000028</v>
      </c>
      <c r="C197" s="1">
        <f t="shared" si="8"/>
        <v>5.9535999999999891</v>
      </c>
      <c r="D197" s="1">
        <f t="shared" si="7"/>
        <v>13.690000000000021</v>
      </c>
      <c r="E197" s="1">
        <f>ABS(B197/D20)</f>
        <v>6.0655737704918077E-2</v>
      </c>
    </row>
    <row r="198" spans="1:5" x14ac:dyDescent="0.2">
      <c r="A198" s="1">
        <f>29.94 + 1.44*C21</f>
        <v>58.739999999999995</v>
      </c>
      <c r="B198" s="1">
        <f>D21-A198</f>
        <v>5.2600000000000051</v>
      </c>
      <c r="C198" s="1">
        <f t="shared" si="8"/>
        <v>2.4336000000000073</v>
      </c>
      <c r="D198" s="1">
        <f t="shared" si="7"/>
        <v>27.667600000000053</v>
      </c>
      <c r="E198" s="1">
        <f>ABS(B198/D21)</f>
        <v>8.218750000000008E-2</v>
      </c>
    </row>
    <row r="199" spans="1:5" x14ac:dyDescent="0.2">
      <c r="A199" s="1">
        <f>29.94 + 1.44*C22</f>
        <v>60.18</v>
      </c>
      <c r="B199" s="1">
        <f>D22-A199</f>
        <v>-1.1799999999999997</v>
      </c>
      <c r="C199" s="1">
        <f t="shared" si="8"/>
        <v>41.473600000000062</v>
      </c>
      <c r="D199" s="1">
        <f t="shared" si="7"/>
        <v>1.3923999999999994</v>
      </c>
      <c r="E199" s="1">
        <f>ABS(B199/D22)</f>
        <v>1.9999999999999993E-2</v>
      </c>
    </row>
    <row r="200" spans="1:5" x14ac:dyDescent="0.2">
      <c r="A200" s="1">
        <f>29.94 + 1.44*C23</f>
        <v>61.620000000000005</v>
      </c>
      <c r="B200" s="1">
        <f>D23-A200</f>
        <v>-5.6200000000000045</v>
      </c>
      <c r="C200" s="1">
        <f t="shared" si="8"/>
        <v>19.713600000000042</v>
      </c>
      <c r="D200" s="1">
        <f t="shared" si="7"/>
        <v>31.584400000000052</v>
      </c>
      <c r="E200" s="1">
        <f>ABS(B200/D23)</f>
        <v>0.10035714285714294</v>
      </c>
    </row>
    <row r="201" spans="1:5" x14ac:dyDescent="0.2">
      <c r="A201" s="1">
        <f>29.94 + 1.44*C24</f>
        <v>63.06</v>
      </c>
      <c r="B201" s="1">
        <f>D24-A201</f>
        <v>-8.0600000000000023</v>
      </c>
      <c r="C201" s="1">
        <f t="shared" si="8"/>
        <v>5.9535999999999891</v>
      </c>
      <c r="D201" s="1">
        <f t="shared" si="7"/>
        <v>64.963600000000042</v>
      </c>
      <c r="E201" s="1">
        <f>ABS(B201/D24)</f>
        <v>0.14654545454545459</v>
      </c>
    </row>
    <row r="202" spans="1:5" x14ac:dyDescent="0.2">
      <c r="A202" s="1">
        <f>29.94 + 1.44*C25</f>
        <v>64.5</v>
      </c>
      <c r="B202" s="1">
        <f>D25-A202</f>
        <v>1.5</v>
      </c>
      <c r="C202" s="1">
        <f t="shared" si="8"/>
        <v>91.393600000000049</v>
      </c>
      <c r="D202" s="1">
        <f t="shared" si="7"/>
        <v>2.25</v>
      </c>
      <c r="E202" s="1">
        <f>ABS(B202/D25)</f>
        <v>2.2727272727272728E-2</v>
      </c>
    </row>
    <row r="203" spans="1:5" x14ac:dyDescent="0.2">
      <c r="A203" s="1">
        <f>29.94 + 1.44*C26</f>
        <v>65.94</v>
      </c>
      <c r="B203" s="1">
        <f>D26-A203</f>
        <v>6.0000000000002274E-2</v>
      </c>
      <c r="C203" s="1">
        <f>(B203-B202)^2</f>
        <v>2.0735999999999937</v>
      </c>
      <c r="D203" s="1">
        <f t="shared" si="7"/>
        <v>3.6000000000002727E-3</v>
      </c>
      <c r="E203" s="1">
        <f>ABS(B203/D26)</f>
        <v>9.0909090909094357E-4</v>
      </c>
    </row>
    <row r="205" spans="1:5" x14ac:dyDescent="0.2">
      <c r="A205" s="2" t="s">
        <v>73</v>
      </c>
      <c r="B205">
        <f>( 1 / (25-2) * SUM(D179:D203) ) ^ 0.5</f>
        <v>3.8777514775626276</v>
      </c>
    </row>
    <row r="206" spans="1:5" x14ac:dyDescent="0.2">
      <c r="A206" t="s">
        <v>85</v>
      </c>
      <c r="B206">
        <f xml:space="preserve"> 1/25 * SUM(E179:E203) * 100</f>
        <v>6.6632561456936941</v>
      </c>
    </row>
    <row r="209" spans="1:7" x14ac:dyDescent="0.2">
      <c r="A209" t="s">
        <v>83</v>
      </c>
    </row>
    <row r="210" spans="1:7" ht="16" customHeight="1" x14ac:dyDescent="0.2">
      <c r="A210" s="2" t="s">
        <v>2</v>
      </c>
      <c r="B210">
        <f>_xlfn.T.INV.2T(0.05,25-2)</f>
        <v>2.0686576104190491</v>
      </c>
      <c r="D210" s="11"/>
      <c r="E210" s="12"/>
      <c r="F210" s="13" t="s">
        <v>76</v>
      </c>
      <c r="G210" s="13"/>
    </row>
    <row r="211" spans="1:7" ht="32" x14ac:dyDescent="0.2">
      <c r="A211" s="2" t="s">
        <v>74</v>
      </c>
      <c r="B211">
        <f>AVERAGE(C2:C26)</f>
        <v>13</v>
      </c>
      <c r="D211" s="11"/>
      <c r="E211" s="12" t="s">
        <v>77</v>
      </c>
      <c r="F211" s="12" t="s">
        <v>78</v>
      </c>
      <c r="G211" s="12" t="s">
        <v>79</v>
      </c>
    </row>
    <row r="212" spans="1:7" x14ac:dyDescent="0.2">
      <c r="A212" s="2" t="s">
        <v>75</v>
      </c>
      <c r="B212">
        <f>(25 - 1) * _xlfn.VAR.S(C2:C26)</f>
        <v>1300</v>
      </c>
      <c r="D212" s="1">
        <v>26</v>
      </c>
      <c r="E212" s="1">
        <f>29.94 + 1.44*D212</f>
        <v>67.38</v>
      </c>
      <c r="F212" s="1">
        <f>$E212-3.88*$B$210*(1+ 1/25+($D212- $B$211)^2/$B$212)^0.5</f>
        <v>58.698130136193178</v>
      </c>
      <c r="G212" s="1">
        <f>$E212+3.88*$B$210*(1+ 1/25+($D212- $B$211)^2/$B$212)^0.5</f>
        <v>76.061869863806805</v>
      </c>
    </row>
    <row r="213" spans="1:7" x14ac:dyDescent="0.2">
      <c r="D213" s="1">
        <v>27</v>
      </c>
      <c r="E213" s="1">
        <f>29.94 + 1.44*D213</f>
        <v>68.819999999999993</v>
      </c>
      <c r="F213" s="1">
        <f>$E213-3.88*$B$210*(1+ 1/25+($D213- $B$211)^2/$B$212)^0.5</f>
        <v>60.061411091091777</v>
      </c>
      <c r="G213" s="1">
        <f>$E213+3.88*$B$210*(1+ 1/25+($D213- $B$211)^2/$B$212)^0.5</f>
        <v>77.578588908908202</v>
      </c>
    </row>
    <row r="214" spans="1:7" x14ac:dyDescent="0.2">
      <c r="D214" s="1">
        <v>28</v>
      </c>
      <c r="E214" s="1">
        <f t="shared" ref="E214" si="9">29.94 + 1.44*D214</f>
        <v>70.260000000000005</v>
      </c>
      <c r="F214" s="1">
        <f>$E214-3.88*$B$210*(1+ 1/25+($D214- $B$211)^2/$B$212)^0.5</f>
        <v>61.419750723759805</v>
      </c>
      <c r="G214" s="1">
        <f>$E214+3.88*$B$210*(1+ 1/25+($D214- $B$211)^2/$B$212)^0.5</f>
        <v>79.100249276240206</v>
      </c>
    </row>
  </sheetData>
  <mergeCells count="1">
    <mergeCell ref="F210:G2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2022-12-18T10:44:01Z</dcterms:created>
  <dcterms:modified xsi:type="dcterms:W3CDTF">2023-01-15T12:39:17Z</dcterms:modified>
</cp:coreProperties>
</file>