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JflG1VbDXSK+Ngae2+Y2GhoUhhQ=="/>
    </ext>
  </extLst>
</workbook>
</file>

<file path=xl/sharedStrings.xml><?xml version="1.0" encoding="utf-8"?>
<sst xmlns="http://schemas.openxmlformats.org/spreadsheetml/2006/main" count="7011" uniqueCount="2747">
  <si>
    <t>note</t>
  </si>
  <si>
    <t>auteur</t>
  </si>
  <si>
    <t>avis</t>
  </si>
  <si>
    <t>assureur</t>
  </si>
  <si>
    <t>produit</t>
  </si>
  <si>
    <t>type</t>
  </si>
  <si>
    <t>date_publication</t>
  </si>
  <si>
    <t>date_exp</t>
  </si>
  <si>
    <t>avis_en</t>
  </si>
  <si>
    <t>avis_cor</t>
  </si>
  <si>
    <t>avis_cor_en</t>
  </si>
  <si>
    <t>audurier-c-136272</t>
  </si>
  <si>
    <t xml:space="preserve">La personne au téléphone était Clair et sympathique elle m'a bien tout expliqué je recommanderai votre assurance sans hésitation merci a la personne que j'ai contacté </t>
  </si>
  <si>
    <t>L'olivier Assurance</t>
  </si>
  <si>
    <t>auto</t>
  </si>
  <si>
    <t>train</t>
  </si>
  <si>
    <t>06/10/2021</t>
  </si>
  <si>
    <t>01/10/2021</t>
  </si>
  <si>
    <t>paul-a-122970</t>
  </si>
  <si>
    <t xml:space="preserve">Satisfait.
Réactivité, simplicité. Prix attractif d’un point de vue concurrence. A voir la réactivité des conseillers si besoin. Pour l’instant très satisfait.
</t>
  </si>
  <si>
    <t>APRIL Moto</t>
  </si>
  <si>
    <t>moto</t>
  </si>
  <si>
    <t>09/07/2021</t>
  </si>
  <si>
    <t>01/07/2021</t>
  </si>
  <si>
    <t>kitty-38517</t>
  </si>
  <si>
    <t>Assureur à fuir, n assure pas ses responsabilités! Son agent d’assurance (reflex finance) de Nice à fait de faux contrats, aucun accompagnement, rien, obligé de faire un procès !!
 Je vais les pourrir sur le Web!!</t>
  </si>
  <si>
    <t>SwissLife</t>
  </si>
  <si>
    <t>vie</t>
  </si>
  <si>
    <t>15/10/2020</t>
  </si>
  <si>
    <t>01/10/2020</t>
  </si>
  <si>
    <t>laure97134-87907</t>
  </si>
  <si>
    <t xml:space="preserve">Voilà 3 mois que la GMF me fait attendre pour un dégât des eaux. J'ai plusieurs contrats chez eux, mais plus pour longtemps </t>
  </si>
  <si>
    <t>GMF</t>
  </si>
  <si>
    <t>habitation</t>
  </si>
  <si>
    <t>03/03/2020</t>
  </si>
  <si>
    <t>01/03/2020</t>
  </si>
  <si>
    <t>bourouane-l-129916</t>
  </si>
  <si>
    <t>Je suis bien avec cet assurance.elle est pratique moin cher.je le trouve quelle est le mieurre assurance en ligne.je dois confirmer ma confiance sur m assurance l olivier</t>
  </si>
  <si>
    <t>28/08/2021</t>
  </si>
  <si>
    <t>01/08/2021</t>
  </si>
  <si>
    <t>ilyas-k-115898</t>
  </si>
  <si>
    <t>Le drive box nest pas tres fiable.Ca demande beacoup de communication avec l'equipe service. Par contre eux ils sont efficace. Bon produit mais besoin de raffinement..</t>
  </si>
  <si>
    <t>Direct Assurance</t>
  </si>
  <si>
    <t>03/06/2021</t>
  </si>
  <si>
    <t>01/06/2021</t>
  </si>
  <si>
    <t>nadette-121889</t>
  </si>
  <si>
    <t>J'ai malheureusement eu à faire appel à plusieurs reprises à PACIFICA pour pannes et j'ai toujours été très satisfaite de leurs service. 
Tenue au courant des délais d'attente, avec suivi
Vérification pour éventuel dépannage
Conduite de mon véhicule chez le réparateur de mon choix</t>
  </si>
  <si>
    <t>Pacifica</t>
  </si>
  <si>
    <t>30/06/2021</t>
  </si>
  <si>
    <t>mimile-81147</t>
  </si>
  <si>
    <t>Suite à mon bris de glace le traitement de celui-ci a été parfait le remboursement m'est parvenu 4 jours après mon envoi.
Tout à fait satisfait.
Très content de vos prestations.
merci</t>
  </si>
  <si>
    <t>20/11/2019</t>
  </si>
  <si>
    <t>01/11/2019</t>
  </si>
  <si>
    <t>rahma-63689</t>
  </si>
  <si>
    <t xml:space="preserve">Bonjour , Actuellement je suis chez Active Assurance sous le numéro 164900 et depuis presque un ans ma nouvelle assurance essaye de résilié avec la lois Hamon sans succès a chaque fois il manque un truck et dernièrement on ma raccroché au nez trois fois de suite et j'ai envoyé des e-mails et bien-sur pas de repense . A FUIR A FUIR    </t>
  </si>
  <si>
    <t>Active Assurances</t>
  </si>
  <si>
    <t>01/05/2018</t>
  </si>
  <si>
    <t>bichon-70941</t>
  </si>
  <si>
    <t xml:space="preserve"> Ma mère est décédée depuis plusieurs mois et toujours pas de réversion (pièce manquante... ma soeur a reçu sa part il y a 2 jours  et les dossiers ont été envoyés das le même courrier - cherchez l'erreur)</t>
  </si>
  <si>
    <t>04/02/2019</t>
  </si>
  <si>
    <t>01/02/2019</t>
  </si>
  <si>
    <t>seb-85--102103</t>
  </si>
  <si>
    <t xml:space="preserve">Après plusieurs déclaration de fissure et micro fissure sur une maison neuve depuis la réception, smabtp persiste à dire que c est esthétique, alors que une des fissures est traversante  donc structurelle même si elle n est pas infiltrante Payer une assurance qui minimise les dommages nous sommes vraiment déçus. Même le plaquiste ne veut pas intervenir pour des liaisons mur plafond car il a prévenu le constructeur de résoudre le problème structurel d abord, le fournisseur d enduit dit également que les fissure sont du au travail de la maçonnerie. </t>
  </si>
  <si>
    <t>Sma</t>
  </si>
  <si>
    <t>garantie-decennale</t>
  </si>
  <si>
    <t>02/01/2021</t>
  </si>
  <si>
    <t>01/01/2021</t>
  </si>
  <si>
    <t>jplegaltois-101097</t>
  </si>
  <si>
    <t xml:space="preserve">ATTENTION ! ATTENTION ! au 1er sinistre vous êtes résiliés à l'échéance de votre contrat c est ce qui vient de m'arriver  suite à un sinistre de 1500 EUR    après avoir été client pendant 10 ans sans sinistre, avec toutes les conséquences que cela entraine car ensuite vous etes déclarés dans le fichier des contrats résiliés et plus personne ne veut vous assurer ou alors avec des primes exorbitantes.                                                                                                               ci dessous ma lettre de réclamation qui s'en est suivie.  
                                                                                                                                                                                                  Madame, Monsieur,
Par courrier reçu ce jour, vous m'informez de l'impossibilité de reconduire mon contrat d'assurance automobile pour la période à venir et vous m'en notifiez la résiliation sans objet défini.
Fidèle client depuis 2011 ayant toujours été satisfait jusqu'à lors, n'ayant jamais eu de retard dans le paiement de mes cotisations  et un seul sinistre 2027497 (1500 EUR) récemment en septembre (dû à un frein à main mal serré mon véhicule étant à l'arrêt), je ne vous cache pas ma surprise de recevoir un tel courrier. 
Je vous rappelle que ma franchise dommage est réduite de 100%, suite à sa réduction de 10% par an dû à l'absence de sinistre depuis que je suis client chez vous.
Ma surprise est d'autant plus grande que lors de la déclaration du sinistre, mon interlocutrice m'a précisé que je n'aurais rien à payer suite à une prise en charge sans franchise et qu'il n'y aurait pas d'incidence sur mon contrat. 
Je vous prie donc de bien vouloir revoir votre position et de me faire part de votre décision le plus rapidement possible.
Dans l'attente de vous lire, je vous prie d'agréer, Madame, Monsieur, l'expression de mes sentiments distingués.                                                                    
                                                                                                                                                                                                                               je précise que je viens de recevoir la réponse à mon courrier et qu'ils maintiennent leur position.
</t>
  </si>
  <si>
    <t>Eurofil</t>
  </si>
  <si>
    <t>08/12/2020</t>
  </si>
  <si>
    <t>01/12/2020</t>
  </si>
  <si>
    <t>sylvain-d-109206</t>
  </si>
  <si>
    <t xml:space="preserve">Echange très professionnel Très satisfait  chez Direct Assurance conseillés réactifs par mail et téléphone. Les seuls à m'avoir fait une proposition d'assurance </t>
  </si>
  <si>
    <t>05/04/2021</t>
  </si>
  <si>
    <t>01/04/2021</t>
  </si>
  <si>
    <t>keno62-57553</t>
  </si>
  <si>
    <t>A fuir ça yé je suis partie je ne pouvais pas attendre 2 Ans au début je voulais rester 2 Ans la j en pouvait plus j ai fait jouer la concurrence et j ai gagné 24 euros par mois adieux Allianz a jamais</t>
  </si>
  <si>
    <t>Allianz</t>
  </si>
  <si>
    <t>gpteam-125772</t>
  </si>
  <si>
    <t>Non client de la MACIF j'ai eu la désagréable surprise de voir pendant 3 mois mon compte bancaire débité par la MACIF pour des contrats apparemment pris par des clients de cette mutuelle. Je n'ai jamais communiqué mon RIB à la MACIF et bien évidemment n'ai jamais signé une quelconque autorisation de prélèvement sur mon compte. Par 2 fois j'ai écrit au siège pour que cessent ces retraits indus et que des explications me soient données quant à l'origine de ces retraits et aux mesures prises que pareille chose ne se reproduise pas. Je n'ai jamais eu de réponse (ne parlons pas d'excuse) et ai du demander à ma banque de refuser à l'avenir tout nouveau retrait émanant de la MACIF. Pareille attitude est tout bonnement scandaleuse et je comprends la faible note que les clients de cette mutuelle lui donnent. Pour moi c'est un zéro pointé. GP</t>
  </si>
  <si>
    <t>MACIF</t>
  </si>
  <si>
    <t>31/07/2021</t>
  </si>
  <si>
    <t>anale-p-108297</t>
  </si>
  <si>
    <t xml:space="preserve">Super site et vraiment avantager’ux par rapport aux autres je suis contente d’avoir souscrit à direct assurance. J’espère que tous ce passera bien mais j’ai confiance </t>
  </si>
  <si>
    <t>28/03/2021</t>
  </si>
  <si>
    <t>01/03/2021</t>
  </si>
  <si>
    <t>misterbob-100036</t>
  </si>
  <si>
    <t>assurance laisse a desire j ai faiy une erreur en rrjôihnant cette compagnie resilier sans vrai motif apary que j ai contacter le service client pour leur faire part de mon mécontentements
sur l indisponibilite de mon espace abonnée et pour cela on m a jeté comme un voyous alors que je suis client depuis 1997 en tout les cas je ferait ce qui me semble juste et denocer cet agissement</t>
  </si>
  <si>
    <t>MAIF</t>
  </si>
  <si>
    <t>12/11/2020</t>
  </si>
  <si>
    <t>01/11/2020</t>
  </si>
  <si>
    <t>coutereau-k-111015</t>
  </si>
  <si>
    <t>Bien   bonne   assurance   bon rapport    qualité    prix. Je recommande   vivement   cette  
 assurance   oliviers . Pour ma polo v il  n'y a pas meilleur.</t>
  </si>
  <si>
    <t>20/04/2021</t>
  </si>
  <si>
    <t>toto3132-60204</t>
  </si>
  <si>
    <t xml:space="preserve">Une très bonne mutuelle qui m'a remboursé très rapidement les dépassement du chirurgien. </t>
  </si>
  <si>
    <t>Néoliane Santé</t>
  </si>
  <si>
    <t>sante</t>
  </si>
  <si>
    <t>05/01/2018</t>
  </si>
  <si>
    <t>01/01/2018</t>
  </si>
  <si>
    <t>janepa-104406</t>
  </si>
  <si>
    <t>le suis sociétaire de la MGP depuis 1978 et je n'ai jamais rencontré le moindre problème. ses employés sont toujours à l'écoute pour le moindre renseignement et toujours avec gentillesse et professionnalisme.</t>
  </si>
  <si>
    <t>MGP</t>
  </si>
  <si>
    <t>18/02/2021</t>
  </si>
  <si>
    <t>01/02/2021</t>
  </si>
  <si>
    <t>dara86-56283</t>
  </si>
  <si>
    <t>Commercial incompétent ne précise pas qu il y a une franchise de 20 euros et conseiller très désinvolte et pas aimable du tout</t>
  </si>
  <si>
    <t>Eca Assurances</t>
  </si>
  <si>
    <t>animaux</t>
  </si>
  <si>
    <t>26/07/2017</t>
  </si>
  <si>
    <t>01/07/2017</t>
  </si>
  <si>
    <t>erwann-d-131367</t>
  </si>
  <si>
    <t>Je suis tres satisfaite de leurs produites et tarifs   je me.suis donc assurer chez vous pour ma.moto je ferais part a des amis de vos offres a de tres bon tarif</t>
  </si>
  <si>
    <t>05/09/2021</t>
  </si>
  <si>
    <t>01/09/2021</t>
  </si>
  <si>
    <t>zakaria-78999</t>
  </si>
  <si>
    <t>Client chez l'olivier depuis 2012 avec plusieurs voitures, j'ai appris cet été suite à un léger accrochage au Maroc (non responsable) que je n'étais pas assuré. Pourtant j'ai un contrat tous risques option 0 km.
Après plusieurs appels depuis le Maroc, l'olivier m'a dit que depuis 2016, il n'assurait plus le Maroc, car ils ont eu des problèmes administratifs et que c'était à moi de regarder la croix qu'ils avaient mis sur la carte verte. 
Pourtant à aucun moment je n'ai reçu un mail ou un courrier de leur part stipulant la modification du contrat pour la non prise en charge du Maroc. Autrement je serai partie chez la concurrence. L'olivier l'a bien compris et à dissimuler à ses clients ces changements. 
Si on peut nous appeler des clients, car pour que l'olivier n'ai pas de contraintes administratives, ils préfèrent nous mettre dans le pétrin. Je n'arrête pas de penser à, si j'avais renversé une personne ou si ma famille avait été blessé dans quel pétrin nous serions. Mais, du moment que l'Oliver n'a pas de problèmes administratifs tout va bien pour eux. L'Oliver m'a conseillé de trouver une assurance au Maroc pendant mes vacances car je me suis retrouvé bloqué, sans assurances.Problème, les assurances m'ont dit qu'elles avaient une convention avec la France et qu'elle ne pouvait pas m'assurer. Je suis donc resté sans pouvoir utiliser mon véhicule et j'ai du prendre des risques pour quitter le Maroc, alors que j'ai souscris une assurance chez l'olivier.
Pourtant, au dos de la carte verte, il y a bien l'adresse d'une agence au Maroc à contacter en cas de sinistre. J'ai essayé de leur faire comprendre que lorsqu'on décide de ne plus assurer un pays ce n'est pas anodin et qu'au minimum il fallait faire signer un avenant et faire une communication globale à tous les clients. Mais, il reste borné sur la croix sur la carte verte. Un exemple : lorsque j'achète de la nourriture, je regarde les ingrédients le premier jour, si les ingrédients changent, il est écrit en gros Nouvelle recette. Mais pour l'olivier il faut regarder les ingrédients à chaque fois. Sinon ça ne compte pas.
J'attends le jour où ils mettront une croix sur l'Espagne dans leur carte verte.
J'ai décidé d'entreprendre une action avec les associations de consommateurs pour qu'ils soient dans l'obligation d'informer leurs clients pour de tels changements et de leur faire prendre en charge les réparations sur mon véhicule. Au besoin, j'irai devant la justice.
Si d'autres personnes sont dans la même situation que moi, je les invite à me rejoindre.
En attendant, je vais employer le double de l'énergie que j'ai mise pour leur faire de la pub avant cette mésaventure, pour montrer leur vrai visage</t>
  </si>
  <si>
    <t>06/09/2019</t>
  </si>
  <si>
    <t>01/09/2019</t>
  </si>
  <si>
    <t>prostand-62847</t>
  </si>
  <si>
    <t>Titulaire d'une assurance vie Asac Fapès depuis plus de 8 ans, je déconseille cet opérateur. En effet je n'arrive pas à me faire payer le rachat global de mon assurance vie. Inadmissible</t>
  </si>
  <si>
    <t>Generali</t>
  </si>
  <si>
    <t>31/03/2018</t>
  </si>
  <si>
    <t>01/03/2018</t>
  </si>
  <si>
    <t>mhamed-g-128100</t>
  </si>
  <si>
    <t xml:space="preserve">Je suis satisfait avec direct assurance vraiment pas cher et toujours présent soit pour des renseignements ou des demandes bon continuation Direct assurance </t>
  </si>
  <si>
    <t>15/08/2021</t>
  </si>
  <si>
    <t>leadrvt-66379</t>
  </si>
  <si>
    <t>Si vous cherchez une assurance auto, je vous déconseille fortement l'olivier. Ils m'ont portés responsable d'un sinistre sans chercher à faire d'expertises, ils n'ont rien écoutés et se sont même fichu de moi au téléphone "Savez vous lire vos mails ?". Je fermais ma portière, elle devait être ouverte d'encore 20 degrés au moment où c'est arrivé,  et un conducteur à fait un écart sur la chaussée, il à endommagé le bas porte en voulant éviter mon véhicule au dernier moment. Ce conducteur à bien sur reconnues ses torts et nous avons remplis le constat ensemble. L'olivier n'a rien voulu entendre et m'a déclaré 100% responsable. Dans l'incompréhension j'ai appelé l'assurance adverse et ils m'ont précisés que pas du tout, je n'étais absolument pas responsable. Je dois me battre contre ma propre assurance pour qu'elle ne m'enfonce pas, vous trouvez ça normal ? Vous savez pourquoi ? Parce que je n'ai ni bonus ni malus et que je suis assuré au minimum, ce qui leur rapporte beaucoup d'argent puisqu'en plus de ne pas remplacer ma portière, ils me prennent une franchise et un malus. Je change d'assurance dès que possible, même si je dois payer le double, tant que je peux leur faire confiance.</t>
  </si>
  <si>
    <t>24/08/2018</t>
  </si>
  <si>
    <t>01/08/2018</t>
  </si>
  <si>
    <t>paul-b-107578</t>
  </si>
  <si>
    <t>L'année de ma souscription j'ai obtenu un bon tarif étant bonussé de 50 % depuis 2 ans. 
Ma grande surprise l'année suivante a été de voir ma prime augmentée de plus de 8% Alors que je n'avais eu aucun sinistre et que le confinement a conduit d'autres assureurs a baisser leur prix puisque nous avons bien moins utilisé nos véhicules et que le nombre des sinistres a baissé. 
J'attends de vois à combien s'élèvera ma prochain de prime en Juin 2021, puisque à nouveau je n'ai pas déclaré l'ombre d'un sinistre.</t>
  </si>
  <si>
    <t>23/03/2021</t>
  </si>
  <si>
    <t>baldacchino-r-123735</t>
  </si>
  <si>
    <t>je suis satisfait de la facilité d'inscription. Cela semble de bonne augure pour la suite. Dans l'attente de recevoir l'ensemble des documents.  Merci</t>
  </si>
  <si>
    <t>18/07/2021</t>
  </si>
  <si>
    <t>mipau7-75893</t>
  </si>
  <si>
    <t>Santiane apparait etre plus à meme à trouver le juste contrat d'assurance santé . Maintenant il faudra voir dans l'avenir si toutes les garanties correspondent vraiment aux besoins , et alors modifier le conrtrat .</t>
  </si>
  <si>
    <t>Santiane</t>
  </si>
  <si>
    <t>14/05/2019</t>
  </si>
  <si>
    <t>01/05/2019</t>
  </si>
  <si>
    <t>bonnefond-a-138163</t>
  </si>
  <si>
    <t>Je suis satisfait des prix avantageux proposés, ainsi que de la rapidité des démarches pour souscrire une assurance
Enfin, merci aux opérateurs par téléphone qui ont répondu à toutes mes questions</t>
  </si>
  <si>
    <t>24/10/2021</t>
  </si>
  <si>
    <t>fred65-67811</t>
  </si>
  <si>
    <t>Contacter pour une enqiête de satisfaction après avoir été traité de négligeant et de menteur. On vient maintenant m'envoyer des mails sur la GMF et vous c'est une relaton de confiance. De qui se moque t'on? De toute façon j'ai quitté cette assurance et j'ai trouvé des  tarifs plus intéressant ailleurs. Donc n'hésitez pas à franchir le pas vers d'autre assurance avant d'arriver au même constat que moi sur la GMF.</t>
  </si>
  <si>
    <t>09/11/2018</t>
  </si>
  <si>
    <t>01/11/2018</t>
  </si>
  <si>
    <t>cedric-r-108161</t>
  </si>
  <si>
    <t>Bonjour, 
je viens de réaliser un changement de titulaire de contrat sur un contrat de moins de 30 jours,
ce qui entraine sa résiliation et une nouvelle souscription et on me refuse les 20% de réduction ( offre famille 50% bonus).
Je suis vraiment très déçu de cette façon de faire.</t>
  </si>
  <si>
    <t>26/03/2021</t>
  </si>
  <si>
    <t>matthieu--l-130240</t>
  </si>
  <si>
    <t>Je suis satisfait du service proposé ainsi que du prix Je trouve très correct et appréciable pour mon compte bancaire
Je recommanderais cette assurance sans souci</t>
  </si>
  <si>
    <t>30/08/2021</t>
  </si>
  <si>
    <t>societaire-127145</t>
  </si>
  <si>
    <t>Suite à un dégât des eaux , 6 mois de galère après une recherche de fuite destructrice, je vis dans une salle de bain insalubre, dangereuse et aucune avance de frais.  Avant, la Maif était dans l'écoute de ses sociétaires, ce n'est plus le cas aujourd'hui et vous ne serez jamais indemnisés à hauteur de vos dégats.</t>
  </si>
  <si>
    <t>09/08/2021</t>
  </si>
  <si>
    <t>onlyy-mee-76038</t>
  </si>
  <si>
    <t xml:space="preserve">Que de problème avec cette assurance. Quand tu dis au garage que tu es chez eux, Ils font tous la grimace.
Ils ont du mal à rembourser ce qu'ils te doivent </t>
  </si>
  <si>
    <t>17/05/2019</t>
  </si>
  <si>
    <t>thomas-s-112426</t>
  </si>
  <si>
    <t>prix et qualité de couverture satisfaisante avec un bon rapport qualité prix.
Difficile de correctement enregistrer ses niveaux de bonus car la question n'est pas claire</t>
  </si>
  <si>
    <t>03/05/2021</t>
  </si>
  <si>
    <t>01/05/2021</t>
  </si>
  <si>
    <t>siamsiam-58804</t>
  </si>
  <si>
    <t>Méthodes douteuses, défaut de conseil, vente forcée, un contrat hors de prix avec des garanties inexistantes, à fuir.</t>
  </si>
  <si>
    <t>13/11/2017</t>
  </si>
  <si>
    <t>01/11/2017</t>
  </si>
  <si>
    <t>sandy-b-131462</t>
  </si>
  <si>
    <t xml:space="preserve">Je suis entièrement satisfaite des prestations de la GMF :
Mutuelle à l'écoute et particulièrement humaine
Très arrangeante en cas de difficultés
Toujours joignable </t>
  </si>
  <si>
    <t>06/09/2021</t>
  </si>
  <si>
    <t>blc-100125</t>
  </si>
  <si>
    <t>J’ai pris une assurance santé pour expatrié chez April en Août 2020. Dès la premier mois du contrat, j’ai eu un accident nécessitant un rapatriement sanitaire par avion et une hospitalisation de 6 semaines en France avec de la rééducation fonctionnelle. J’ai reçu un soutien sans faille d’April, strictement conforme aux clauses du contrat. La personne dédiée pour suivre mon dossier a été très réactive même pendant les week-ends, dans les 2 pays et les 3 établissements hospitaliers dans lesquels j’ai été transféré. Bravo pour. Outre sérieux. 
Remboursements des frais rapides, plateforme internet facile à utiliser même pour un retraité.</t>
  </si>
  <si>
    <t>APRIL</t>
  </si>
  <si>
    <t>16/11/2020</t>
  </si>
  <si>
    <t>cedric-m-134585</t>
  </si>
  <si>
    <t>Prix très intéressant espérant que je suis bien assuré sur vraiment tout je recommande vraiment cette assurance car j'ai comparé beaucoup d'assurance je gagne plus de 35€</t>
  </si>
  <si>
    <t>26/09/2021</t>
  </si>
  <si>
    <t>eli-51352</t>
  </si>
  <si>
    <t xml:space="preserve">Perte de dossiers plusieurs fois (3 fois dont 2 pareils). </t>
  </si>
  <si>
    <t>Mgen</t>
  </si>
  <si>
    <t>16/01/2017</t>
  </si>
  <si>
    <t>01/01/2017</t>
  </si>
  <si>
    <t>verdou-e-125068</t>
  </si>
  <si>
    <t>Je suis satisfaite du service, notre interlocuteur a été réactif et de bons conseils.
Le tarif reste correct, et espérons vous confier l'assurance d'un autre véhicule rapidement.
Les documents nous sont parvenus rapidement.</t>
  </si>
  <si>
    <t>27/07/2021</t>
  </si>
  <si>
    <t>aymeric-85500</t>
  </si>
  <si>
    <t>Ils ont résilié mon contrat après avoir reçu mes relevés d'information car je n'ai sois disant pas été assuré pendant 24 mois d'affilée. Ils ne veulent pas me proposer de contrat pour une simple 306 avec 3 ans de permis, un scandale !</t>
  </si>
  <si>
    <t>04/01/2020</t>
  </si>
  <si>
    <t>01/01/2020</t>
  </si>
  <si>
    <t>nadia--133794</t>
  </si>
  <si>
    <t xml:space="preserve">Bonjour, je suis toujours très bien accompagnée par les agents traitant les dossiers.En ce qui concerne l accueil téléphonique je constate un manque de connaissance peu être dû à un manque de formation. </t>
  </si>
  <si>
    <t>prevoyance</t>
  </si>
  <si>
    <t>21/09/2021</t>
  </si>
  <si>
    <t>guerin-l-109009</t>
  </si>
  <si>
    <t xml:space="preserve">Très bon rapport qualité/prix. Les options choisies sont un atout supplémentaire. J'espère être satisfait de notre collaboration. Merci aussi pour vos conseilles. </t>
  </si>
  <si>
    <t>02/04/2021</t>
  </si>
  <si>
    <t>sahuc-c-131389</t>
  </si>
  <si>
    <t>les prix sont compétitifs et l'accueil effectué avec l'opérateur téléphonique excellent. Je recommande cet assureur à toute personne désireuse de changer d'assureur.</t>
  </si>
  <si>
    <t>maxou22-71140</t>
  </si>
  <si>
    <t xml:space="preserve">Je trouve étonnant qu'il y ai autant de notes à 1 seule étoile avec beaucoup de négatif. J'ai eu un peu de soucis récemment les nouveaux comptes qu'ils ont mis en place mais tout est rentrer dans l'ordre et aucun problème depuis plusieurs années. 
Certains clients ne seraient-ils pas un peu responsable de leur "mauvais" ressenti, </t>
  </si>
  <si>
    <t>09/02/2019</t>
  </si>
  <si>
    <t>jenni-35566</t>
  </si>
  <si>
    <t xml:space="preserve">Mutuelle non honnête. Résiliation pour mutuelle groupe. Ne prenne pas en compte la résiliation des options. Dans la logique, on résilie mutuelle,c'estcavec option compris. Or c'est deux choses différentes. Ils fallaient savoir.    L'appel de cotisation de l'option qui date du 2 octobre. Et qu'on reçoit le 14 décembre. Comme cela, quand vous appeler pour savoir pourquoi, c'est trop tard madame il fallait un délai de deux mois avant date d'anniversaire..... </t>
  </si>
  <si>
    <t>16/12/2016</t>
  </si>
  <si>
    <t>01/12/2016</t>
  </si>
  <si>
    <t>horatio-89102</t>
  </si>
  <si>
    <t>Gmf ne prend en compte ni l'historique de son client ni le comportement et l'honnêteté de celui-ci. Gmf applique une "politique" de groupe " (le terme leur revient). Le seul moment où le traitement du client  est individualisé tient à la facturation.</t>
  </si>
  <si>
    <t>24/04/2020</t>
  </si>
  <si>
    <t>01/04/2020</t>
  </si>
  <si>
    <t>alizeph-65884</t>
  </si>
  <si>
    <t>franchement, je ne sais comment qualifier cette mutuelle, des delais de traitements plus que long 20 jours pour un remboursement !!!!!! personne ne répond par email, quand on appelle on a plusieurs versions en fonctions de la personne qui répond a fuir!!!</t>
  </si>
  <si>
    <t>Harmonie Mutuelle</t>
  </si>
  <si>
    <t>31/07/2018</t>
  </si>
  <si>
    <t>01/07/2018</t>
  </si>
  <si>
    <t>romain-52740</t>
  </si>
  <si>
    <t>Service au client archi-nul !!! Courriers mensongés, rendez-vous téléphoniques ubuhesques !!! Impossible d'avoir mon conseiller au téléphone. Cela fait des semaines que j'essaie de régler ma situation. Je vais aller voir ailleurs....</t>
  </si>
  <si>
    <t>24/02/2017</t>
  </si>
  <si>
    <t>01/02/2017</t>
  </si>
  <si>
    <t>nina--139682</t>
  </si>
  <si>
    <t xml:space="preserve">bonjour cela fais 10jours que j'attends mon remboursement je n ai plus accès à mon compte,  problème informatique,  j'ai plus les avoir au téléphone et mon dit que cela serait rétabli aujourd'hui et toujours rien , en plus le service client très désagréable et elle m'a raccrocher,  car je lui est dites que je vais résilier,  je trouve cela pas très professionnel </t>
  </si>
  <si>
    <t>15/11/2021</t>
  </si>
  <si>
    <t>01/11/2021</t>
  </si>
  <si>
    <t>maccje06-69211</t>
  </si>
  <si>
    <t>Indamissible la manière dont nous sommes traités au moment de la résiliation. Aucune information de leur part comme quoi nous arrivons à l'échéance du contrat. Apparemment non soumis à la loi chatel. Donc abus de pouvoir sur les citoyens !!!! C'est honteux !!!! Fuyez-les !!!</t>
  </si>
  <si>
    <t>Cegema Assurances</t>
  </si>
  <si>
    <t>07/12/2018</t>
  </si>
  <si>
    <t>01/12/2018</t>
  </si>
  <si>
    <t>tof-99544</t>
  </si>
  <si>
    <t>Résilier de tout mes contrats après 20 ans de confiance pour des téléphones mobile,  une Honte!!!
Contrat optionnel couvrant les dommages des appareils nomades à éviter à tout prix.</t>
  </si>
  <si>
    <t>02/11/2020</t>
  </si>
  <si>
    <t>anaislasseefourrier-67300</t>
  </si>
  <si>
    <t xml:space="preserve">Merci à la personne qui c'est bien occupé de mon dossier merci Nelly pour avoir su me répondre.
Je recommande fortement 
Merci à elle.
Prise au téléphone rapide. 
Personne agréable... </t>
  </si>
  <si>
    <t>18/04/2019</t>
  </si>
  <si>
    <t>01/04/2019</t>
  </si>
  <si>
    <t>les3c-57354</t>
  </si>
  <si>
    <t>souscription effectuée sans accroc, service rapide, conseiller agréable, rien à redire pour le moment</t>
  </si>
  <si>
    <t>15/09/2017</t>
  </si>
  <si>
    <t>01/09/2017</t>
  </si>
  <si>
    <t>louis-t-115972</t>
  </si>
  <si>
    <t>Je suis satisfait du service et j'attends de recevoir mon assurance pour profiter pleinement de ma moto . cordialement m
Monsieur THEBAULT louis 35720</t>
  </si>
  <si>
    <t>04/06/2021</t>
  </si>
  <si>
    <t>sarah7672-61671</t>
  </si>
  <si>
    <t>Assurance auto au top. Jamais eu de soucis avec eux, je suis cliente depuis plus de dix ans. Mes parents sont également clients chez eux depuis de nombreuses années, ils savent vous recevoir quand vous avez besoin d'un conseil, de discuter prix... etc Ils répondent toujours présents quand vous avez besoin.</t>
  </si>
  <si>
    <t>AXA</t>
  </si>
  <si>
    <t>22/02/2018</t>
  </si>
  <si>
    <t>01/02/2018</t>
  </si>
  <si>
    <t>celia-94137</t>
  </si>
  <si>
    <t>Bonjour Même problème il faut batailler pour pouvoir récupérer notre PROPRE ARGENT!!! Je trouve sa lamentable de prendre des gens pour dès imbeciles!!! Depuis janvier ils nous font envoyer des documents complets et à chaque fois ils nous trouvent des excuses pour retarder le dossier et une fois le dossier validé les 30 jours de délais ne sont pas respecter !! A bannir</t>
  </si>
  <si>
    <t>Cardif</t>
  </si>
  <si>
    <t>15/07/2020</t>
  </si>
  <si>
    <t>01/07/2020</t>
  </si>
  <si>
    <t>souki-65273</t>
  </si>
  <si>
    <t xml:space="preserve">je suis une cliente actuelle chez Solly Azar. Je suis satisfaite tu rapport prix/Qualité qui m'offre
et pour le remboursement c'est dans un délai qui ne dépasse pas les 48h
bravo à toute l'équipe qui y travaille </t>
  </si>
  <si>
    <t>Solly Azar</t>
  </si>
  <si>
    <t>05/07/2018</t>
  </si>
  <si>
    <t>bodar-n-113991</t>
  </si>
  <si>
    <t xml:space="preserve">Satisfait de vos service et de la rapidité, les prix sont corrects, mais par je rencontre beaucoup de mal à accéder à mon espace personnel........... </t>
  </si>
  <si>
    <t>17/05/2021</t>
  </si>
  <si>
    <t>karine-127609</t>
  </si>
  <si>
    <t xml:space="preserve">Si je pouvais mettre 0  inadmissible  sans eau chaude depuis le 24 juillet balance de service en service incapable  de trouver un prestataire agréée  nous devons nous débrouiller  par nous même pour essayer de trouver des solution  bravo pour la réactivité !!!! </t>
  </si>
  <si>
    <t>11/08/2021</t>
  </si>
  <si>
    <t>clientattentif-71530</t>
  </si>
  <si>
    <t xml:space="preserve">A éviter ! Lors d'un sinistre non responsable, ils prennent tout leur temps pour traiter le dossier. Ils ne prennent pas en compte ce que vous dites. Quant aux indemnités, faites une croix dessus. C'est vraiment dérisoire. Quant à l'assistance juridique, on se demande à quoi sert ce service. On en entend jamais parler. J'ai été victime d'un accident de la route. Une dame m'ayant percuté. J'ai du les relancer à plusieurs reprises. Chaque fois les délais se rallongeaient. Le personnel vous parle de façon soit disant attentive et compréhensive, mais dès que vous mettez le doigt sur ce qui ne va pas, vous sentez tout de suite qu'ils s'agacent. Ils expédient rapidement les demandes. Ils rejettent systématiquement la faute sur les autres. Vous n'avez aucun accompagnement en cas de sinistre, vraiment aucun. C'est à vous de faire toutes les démarches, c'est à vous de les relancer, c'est à vous de vous assurer que votre dossier est en bonne voie. Donc en gros, vous êtes la victime, mais c'est encore à vous, que vous soyez malade ou non, que vous ayez des séquelles ou non, c'est à vous de tout faire. Ils ne s'occupent de rien contrairement à ce qui est dit dans la publicité. J'ai des connaissances qui ont connu eux aussi des sinistres, ils sont chez d'autres assureurs, et ils n'ont pas eu à faire autant que ce que j'ai fait depuis que j'ai percuté et que j'ai perdu mon véhicule à cause d'une inconsciente. C'est pitoyable ! </t>
  </si>
  <si>
    <t>21/02/2019</t>
  </si>
  <si>
    <t>gohan-54879</t>
  </si>
  <si>
    <t xml:space="preserve">Prise en charge ultra rapide de mon sinistre conseiller très disponible et aimable je conseil vivement cette assurance récente mais qui oeuvre vraiment dans l intérêt et la satisfaction client </t>
  </si>
  <si>
    <t>23/05/2017</t>
  </si>
  <si>
    <t>01/05/2017</t>
  </si>
  <si>
    <t>toton69-58160</t>
  </si>
  <si>
    <t>J'ai trois contrats auprès de DA. Un était échu le 31/10.Je règle par carte bancaire le 11/10 et je constate que DA a répété mon opération QUATRE fois. Je demande le remboursement rapidement. Voilà 7 jours et je n'ai toujours pas de chèque</t>
  </si>
  <si>
    <t>18/10/2017</t>
  </si>
  <si>
    <t>01/10/2017</t>
  </si>
  <si>
    <t>loizon-e-135038</t>
  </si>
  <si>
    <t>Rapport qualité prix interessant 
Garanties intéréssantes et adaptées a mes besoins 
Service client accessible et rapide
Fonctionnalité du site satisfaisant</t>
  </si>
  <si>
    <t>29/09/2021</t>
  </si>
  <si>
    <t>oceane-f-129121</t>
  </si>
  <si>
    <t xml:space="preserve">service très rapide 
et satisfait de ce contrat
prix attractif 
et très bonne relation avec le commercial et déjà très satisfait pour de c'est échange </t>
  </si>
  <si>
    <t>23/08/2021</t>
  </si>
  <si>
    <t>jean-francois-b-121349</t>
  </si>
  <si>
    <t xml:space="preserve">je suis satisfait du service
Les prix sont raisonnable
Le service est satisfaisant
Le prix devrais être vue à la baisse pour un professionnel et étudiant
</t>
  </si>
  <si>
    <t>27/06/2021</t>
  </si>
  <si>
    <t>nana-85351</t>
  </si>
  <si>
    <t xml:space="preserve">Impossibilité de résilier. Appel deux fois,  avec deux explications différentes. Deux téléconseilleres incompétentes . Mutuelle a éviter niveau remboursement. Machine à brasser de l'argent </t>
  </si>
  <si>
    <t>30/12/2019</t>
  </si>
  <si>
    <t>01/12/2019</t>
  </si>
  <si>
    <t>nana-74824</t>
  </si>
  <si>
    <t xml:space="preserve">Assurances souscrite pour auto et habitation.
Il faut savoir que lorsque vous souscrivez a une assurance auto,on vous explique qu il n y a pas de garantie conducteur et qu il faut la souscrire a part moyennant des frais en +.
Resultat j ai payé pendant 5 ans pour ce que je croyais etre une garantie conducteur alors qu il s agissait d une prévoyance accident.et lorsque ma fille s est cassée la jambe rien n etait prévu puisqu il faut perdre un bras ou une jambe pour prétendre a quelque chose.... ou crever...
Pour ce qui ait de l echeancier de paiement faites attention a plusieurs reprises on me rajoute des options non demandées pour faire gonfler la facture et on oublie meme de vous rajouter votre bonus a la date d échéance du contrat.
J ai horreur d etre pris pour un con.
J ai tout resilier et meme pour la résiliation c est le parcours du combattant.on vous met des bâtons dans les roues pour vous dissuader de partir.
Pour moi plus jamais la macif.
A fuir. </t>
  </si>
  <si>
    <t>06/04/2019</t>
  </si>
  <si>
    <t>leila-66655</t>
  </si>
  <si>
    <t>Des v0leurs qui distribuent des malus sans débourser un centime, c'en est à se demander à quoi ils servent. Une expertise qui prend 1 mois, des réparations sans qu'on me demande mon avis... A fuir !!!</t>
  </si>
  <si>
    <t>06/09/2018</t>
  </si>
  <si>
    <t>01/09/2018</t>
  </si>
  <si>
    <t>alicia--m-124588</t>
  </si>
  <si>
    <t xml:space="preserve">Je suis satisfait de mon contrat très bien et pas cher sa c’est fait vite et j’avais plusieurs choix.je vous remercie et j’espère que tout ira bien pour la suite merci </t>
  </si>
  <si>
    <t>24/07/2021</t>
  </si>
  <si>
    <t>fredo92-63526</t>
  </si>
  <si>
    <t xml:space="preserve">Ancien client chez axa j'ai malheureusement le service contentieux sur le dos, après avoir changer d'assurance qui ont eux même résilier mon contrat. J'appel axa mais monsieur votre contrat est résilier alors pourquoi le service contentieux me harcèle ??? Ah c'est une mauvaise communication chez nous monsieur d'accord faite le nécessaire mais on peut pas c'est à vous de réglez ce problème avec axa ?? Mais axa c'est vous oui mais pas le même service !!! Comment tournez en rond merci axa </t>
  </si>
  <si>
    <t>07/11/2019</t>
  </si>
  <si>
    <t>cidelly-79720</t>
  </si>
  <si>
    <t xml:space="preserve">très satisfaite de leurs services, service client joignable et sympathique, impressionnée par la rapidité d'indemnisation en un peu plus d'1 semaine tout était réglé. </t>
  </si>
  <si>
    <t>03/10/2019</t>
  </si>
  <si>
    <t>01/10/2019</t>
  </si>
  <si>
    <t>nanie72-87846</t>
  </si>
  <si>
    <t>assurance souscrite en aout dernier pour ma chienne et je suis vraiment ravie de mon assurance. Elle a eu des soucis récemment et les remboursements ont été très rapides. tout se fait en ligne, aucun soucis</t>
  </si>
  <si>
    <t>02/03/2020</t>
  </si>
  <si>
    <t>frantz-w-110514</t>
  </si>
  <si>
    <t xml:space="preserve">Service et réactivité au taquet. 
Les prix augmentent au fur et à mesure de la conversation, c'est un peu dommage et très habituel, mais je comprends que vous partiez d'un prix d'appel.
</t>
  </si>
  <si>
    <t>Zen'Up</t>
  </si>
  <si>
    <t>credit</t>
  </si>
  <si>
    <t>15/04/2021</t>
  </si>
  <si>
    <t>dinh-kien-d-125006</t>
  </si>
  <si>
    <t>Je suis satisfait au service. L'assurance pour les jeunes conducteurs reste très abordable. 
D'ailleurs, il y a des packs très mobilisés pour choisir selon son besoin.
Je recommande.</t>
  </si>
  <si>
    <t>romanou-m-114757</t>
  </si>
  <si>
    <t>concernat les prix ils sont raisonables,par contre c'est mal expliqué dans vos votre site internet au moment de l'etablissement du devis. à revoir pour etre plaus clair.</t>
  </si>
  <si>
    <t>25/05/2021</t>
  </si>
  <si>
    <t>catheb-87230</t>
  </si>
  <si>
    <t>J'ai demandé à revoir mon contrat car je paye actuellement presque 900 euros alors qu'en faisant des simulations chez direct assurance je peux payer moitié prix et chez les concurrents également, j'envisage de changer si on ne me propose pas un meilleur prix</t>
  </si>
  <si>
    <t>17/02/2020</t>
  </si>
  <si>
    <t>01/02/2020</t>
  </si>
  <si>
    <t>jeanne-p-108309</t>
  </si>
  <si>
    <t>Pratique et facile d'utilisation, prix satisfaisants et rapidité de réponse. Assurance qui se place dans la moyenne par rapport au marché actuel.  Validé</t>
  </si>
  <si>
    <t>jeco-62808</t>
  </si>
  <si>
    <t xml:space="preserve">Impossible de contacter le service client. Les numéros de portable de mes conseillers datant d'Octobre 2017 sont ''non attribués'' ! 
Pour la souscription, très efficace. Pour le suivi client, relevé d'informations, sinistres,and co, beaucoup moins...
A fuir. </t>
  </si>
  <si>
    <t>30/03/2018</t>
  </si>
  <si>
    <t>gboixel-78925</t>
  </si>
  <si>
    <t>Plus de 3 mois que j'ai souscrit à un mutuelle Néoliane et je n'ai toujours pas reçu de carte de tiers-payant. J'ai effectué des relances à maintes reprises auprès du courtier Santiane mais la seule maigre consolation fut de recevoir une carte provisoire par mail valable un seul mois. Du coup, je me retrouve contraint d'avancer tous mes frais médicaux. Et c'est sans compter sur les remboursements que j'attends depuis plusieurs semaines. Par contre, les prélèvements sur mon compte bancaire ont bien été mis en place dès le début. Et maintenant on me répond que je n'ai aucun moyen de résilier. J'attends avec impatience de retrouver un emploi pour souscrire à une mutuelle d'entreprise et ainsi avoir un motif valable de résiliation. Et si c'était à refaire, j'irai directement voir un assureur avec pignon sur rue. Au moins, j'aurais un interlocuteur face à moi qui me donnerait des réponses valables. A fuir absolument !</t>
  </si>
  <si>
    <t>04/09/2019</t>
  </si>
  <si>
    <t>tavgirl-134483</t>
  </si>
  <si>
    <t>Depuis septembre, je cherche à récupérer les 2000€ de prévoyance suite à décès dont le titulaire a cotise pendant 45 ans à la SMAID.
Après x retour manque toujours qqchose, le dossier est complet mais les fonds ne sont pas transféré. Les conseillers sont impossible à joindre SANS DOUTE EN CONGES SCOLAIRE
Par contre, il renvoie très vite une nouvelle demande d'adhésioN
Cet organisme est à fuir.
voici mon avis</t>
  </si>
  <si>
    <t>Intériale</t>
  </si>
  <si>
    <t>04/11/2021</t>
  </si>
  <si>
    <t>acoch-96053</t>
  </si>
  <si>
    <t>Satisfaction à tout point de vue . Rapidité, prix, amabilité. Assurance à recommander. Carte verte expédiée de suite. Contrat en ligne facile à étudier et à souscrire</t>
  </si>
  <si>
    <t>07/08/2020</t>
  </si>
  <si>
    <t>01/08/2020</t>
  </si>
  <si>
    <t>greg-52963</t>
  </si>
  <si>
    <t>Une horreur, 2 ans pour régler un accident, un garage partenaire mauvais comme tout, jamais aucune nouvelle de D.A, fuyez !!! Pour le prix, il vaut les autres, sans compter les réductions. Pour les promesses sur les services, c'est simplement une légende, aucune des prestations promises n'a été respectées, prise en charge au-delà d'une heure, aucune aide pour le constat, aucune garantie des réparations, aucun dédommagement pour les ratés.</t>
  </si>
  <si>
    <t>03/03/2017</t>
  </si>
  <si>
    <t>01/03/2017</t>
  </si>
  <si>
    <t>lamouche83250-63551</t>
  </si>
  <si>
    <t xml:space="preserve">souscription compliquée. juste le prénom a changer mais pas possible donc on me propose une résiliation provisoire qui me pénalise d'un mois d'assurance plus 80€ de frais supplémentaire donc le prix presque de l'assurance de ma twingo c'est juste lamentable </t>
  </si>
  <si>
    <t>25/04/2018</t>
  </si>
  <si>
    <t>01/04/2018</t>
  </si>
  <si>
    <t>talmond-p-121569</t>
  </si>
  <si>
    <t>SATISFAIT DU SERVICE MAIS PRIX ELEVER PAR RAPPORT AU AUTRE COMPAGNIE
PERSONNE TRES AGREABLE AU TELPEHONE ET DE NATIONALOT2 FRANCAISE AVEC QUI ON CE COMPREND QUAND ON PARLE</t>
  </si>
  <si>
    <t>29/06/2021</t>
  </si>
  <si>
    <t>7-remusvil-53215</t>
  </si>
  <si>
    <t>SERVICE LAMENTABLE !!! Injoignable au téléphone, ne répondent pas aux e-mails, ou avec 2 mois de latences. J'ai demandé un relevé d'information en Juillet, on est en Mars je l'attend toujours !!</t>
  </si>
  <si>
    <t>13/03/2017</t>
  </si>
  <si>
    <t>judi63-81156</t>
  </si>
  <si>
    <t>Sabrina a été super, attentif à l'écoute, à répondu à toutes mes attentes et mes question, aimable, et disponible pour la cliente,</t>
  </si>
  <si>
    <t>thor-a-115750</t>
  </si>
  <si>
    <t>Appel rapide, et tout les renseignements demandé sont expliquer de façon facile.
Même si le prix est assez élevé je reste dans l'attente de voir vos service.
Cordialement</t>
  </si>
  <si>
    <t>02/06/2021</t>
  </si>
  <si>
    <t>fredeto13-59881</t>
  </si>
  <si>
    <t>Je m'y suis dirigé pour le prix et été conquit par la rapidité et la qualité du service</t>
  </si>
  <si>
    <t>21/12/2017</t>
  </si>
  <si>
    <t>01/12/2017</t>
  </si>
  <si>
    <t>magalie971-119090</t>
  </si>
  <si>
    <t xml:space="preserve">Très déçu par cette assurance, pourtant j'avais confiance dans le crédit agricole étant chez eux depuis plus de 10 ans.
Aucune réactivité de leur part, que de belles phrases pour peu d'actions.
Tant que vous payer tout va bien mais dès que vous avez un problème, juste 1 sinistre après 5 ans de cotisation on ne voit plus personne, on n'entends plus personne. 
</t>
  </si>
  <si>
    <t>24/06/2021</t>
  </si>
  <si>
    <t>jean-marc-c-129827</t>
  </si>
  <si>
    <t xml:space="preserve">simple et pratique rapidité , prix convenable , , en esperant que tout se passera bien par la suite o verra bien 
la voiture ne roulera que occasionnellement
</t>
  </si>
  <si>
    <t>27/08/2021</t>
  </si>
  <si>
    <t>fabfab033-137807</t>
  </si>
  <si>
    <t>Très satisfait de cette compagnie d’assurance. J’ai eu 2 sinistres en 6 mois, à chaque fois non responsable et tout a été rapide, on est contacté rapidement par un(e) conseiller(e) qui répond à toutes nos questions, un service au top avec prise en charge du véhicule chez soi ou sur son lieu de travail, prêt de véhicule de courtoisie durant la durée des travaux, le tout pour un tarif très avantageux.</t>
  </si>
  <si>
    <t>19/10/2021</t>
  </si>
  <si>
    <t>xmen-132210</t>
  </si>
  <si>
    <t xml:space="preserve">Il faut féliciter le département de facturation: ils sont toujours au RV et vous somment de payer immediatement en cas de retard. 
Malheureusement ce n'est pas le cas du service de remboursement: contacté 5 differents agents pour obtenir 5 differentes reponses. J'attends depuis 4 mois un eventuel remboursement de leur part, mais le dernier contact me dit que je ne suis pas couvert. Ceci differe completement des propos tenus lors de la souscription de la police. 
A eviter cet assureur! </t>
  </si>
  <si>
    <t>10/09/2021</t>
  </si>
  <si>
    <t>leovisolbla-60835</t>
  </si>
  <si>
    <t>Pour le moment rien à dire,
le service client est agréable et réactif, les tarifs sont très compétitifs. Reste à confirmer en cas de sinistre...</t>
  </si>
  <si>
    <t>26/01/2018</t>
  </si>
  <si>
    <t>antoine-o-123973</t>
  </si>
  <si>
    <t xml:space="preserve">bon services et conseils. accueil téléphonique bon , de bon prix toujours de bon conseils et très claire aux téléphone  pas besoin de se déplacer, .  </t>
  </si>
  <si>
    <t>20/07/2021</t>
  </si>
  <si>
    <t>isam-117713</t>
  </si>
  <si>
    <t xml:space="preserve">faire très attention à la résiliation par un autre courtier : il faut joindre un mandat de courtage signé de votre main. sinon il refuse votre résiliation.
mon assureur vient de me répondre que ce n'est pas une obligation.
c'est incorrect. 
ne prenez jamais cette assurance
</t>
  </si>
  <si>
    <t>21/06/2021</t>
  </si>
  <si>
    <t>louxor-122493</t>
  </si>
  <si>
    <t>Tarif compétitif, service client réactif et interface web performante. Je suis client depuis 5 ans et je recommande vivement. J'ai récemment changé de moto et comparé les offres des autres aussureurs à cette occasion : je suis resté chez AMV</t>
  </si>
  <si>
    <t>AMV</t>
  </si>
  <si>
    <t>06/07/2021</t>
  </si>
  <si>
    <t>chantal-v-114690</t>
  </si>
  <si>
    <t>Je suis satisfaite du service et des prix mais pas du fait de donner mon avis parce qu'il n'accepte pas ce que je dis et on doit attendre 107 ans pour sortir de là</t>
  </si>
  <si>
    <t>24/05/2021</t>
  </si>
  <si>
    <t>jean-philippe-b-112808</t>
  </si>
  <si>
    <t>Site simple d'utilisation, prix attractifs, souscription rapide.
Que des points positifs pour l'instant, reste à voir à l'utilisation,si cela reste positifs.</t>
  </si>
  <si>
    <t>05/05/2021</t>
  </si>
  <si>
    <t>handy-69739</t>
  </si>
  <si>
    <t>Ne prend pas en compte les messages qui lui sont adréssés depuis des mois ,hotesses menteuses pour laisser pourrir un dossier en vue de TROMPER sur les dates d'échéance</t>
  </si>
  <si>
    <t>28/12/2018</t>
  </si>
  <si>
    <t>robert-80241</t>
  </si>
  <si>
    <t>Je ne peux pas dire avec certitude comment la compagnie d'assurance se comporte avec ses clients, mais par le biais des banques sur lesquelles elle s'appuie, transpire lenteur et indécision, cela désoriente le client, tout devient une perte de temps excessive, avec les problèmes relatifs que cela pose à ceux qui travaillent.
En cas d'assistance, il n'existe pas de solution automatique, nous devons la démarrer, la promouvoir, la pousser, attendre sans certitude, la résoudre, jusqu'à ce que le client découvre que sans assistance, tout est plus simple et plus rapide.</t>
  </si>
  <si>
    <t>19/10/2019</t>
  </si>
  <si>
    <t>joel-harding-g-132759</t>
  </si>
  <si>
    <t>Satisfait du service simple et pratique
le prix me convient, et pour le recommander à mon entourage merci. Et vous demande de faire un geste commercial pour moi à l'avenir.</t>
  </si>
  <si>
    <t>14/09/2021</t>
  </si>
  <si>
    <t>catherinec-59016</t>
  </si>
  <si>
    <t xml:space="preserve">Impossible d'obtenir de la Cardif le détail des prélèvements sociaux effectués sur la valeur de rachat de l'assurance vie :
A la suite du décès de ma mère le 18 janvier 2017, mon frère et moi-même avons hérité d'un contrat d'assurance vie qu'elle détenait chez BNP Paribas Cardif depuis l'année 2000.
La Cardif nous a fait parvenir la déclaration partielle de succession pour ce contrat sur laquelle apparaît le montant du capital versé.
Or il se trouve, que mon frère était tuteur et gérait les comptes de ma mère. Il avait donc reçu en décembre 2016 l'état annuel pour cette assurance vie dans lequel il est précisé que la valeur de rachat au 31 décembre 2016 supérieure de plus de 12500 euros au capital versé. Il s'agit d'une assurance vie en fonds en euros uniquement et que le montant des prélèvements sociaux  a bien été prélevé en 2016.
Nous avons appelé la Cardif pour avoir une explication sur cette différence de plus de 12 500 euros. Il nous a été répondu que rien ne pouvait nous être communiqué par téléphone. Il fallait leur écrire. Mon frère et moi même avons envoyé chacun une lettre recommandée  avec avis de réception le 6 juin 2017 afin qu'ils nous fournissent le calcul détaillé et compréhensible de ces charges sociales prélevées avant détermination de la somme nous revenant.
Trois mois après, n'ayant reçu aucune réponse, j'ai envoyé à la Cardif une mise en demeure par lettre recommandée avec avis de réception le 8 septembre 2017.
La Cardif a répondu enfin le 19 septembre en donnant le total des prélèvements sociaux, en rappelant l'historique de l'évolution des prélèvements sociaux depuis 1996 mais sans donner le détail des calculs comme demandé. Les notices explicatives annoncées en fin de lettre ne sont pas présentes non plus en pièces jointes.
Est-possible d'obtenir de leur part le calcul des prélèvements sociaux qui n'ont pas été prélevés et qui restent dus lors d'une succession ? Sachant que les prélèvements sociaux ont bien été réglés en tout cas les dernières années.
</t>
  </si>
  <si>
    <t>23/11/2017</t>
  </si>
  <si>
    <t>fan500-59045</t>
  </si>
  <si>
    <t>Assurance à fuir absolument
des problèmes dés le départ
Pour commencer le traitement des documents est catastrophique 
leurs système informatique bug de partout (document non consultable compte inexistant alors que le paiement lui à bien été payé
au niveau du service client c'est lamentable
suite a une "erreur" de date sur l'année d'obtention du permis de conduite (2007 de marqué au lieu de 2005 donc plus d'années de conduite)
il me facture 15 de frais de dossier + une majoration de ma prime d'assurance (sous quel prétexte je ne sais pas il ne peuvent pas l'expliquer
les opérateur au bout du fil ne peuvent rien faire
malheureusement je viens de prendre cette assurance mais dans 1 an c'est clair je suis plus chez eux
j’espère que ce commentaire servira d'avertissement pour les autres internautes</t>
  </si>
  <si>
    <t>22/11/2017</t>
  </si>
  <si>
    <t>olivier-h-113170</t>
  </si>
  <si>
    <t xml:space="preserve">Je suis vraiment satisfait du tarif et de la rapidité du service demandé je recommande cette assurance à tous les motards 
Merci et bonne route à tous </t>
  </si>
  <si>
    <t>09/05/2021</t>
  </si>
  <si>
    <t>pataroufe51-74885</t>
  </si>
  <si>
    <t xml:space="preserve">Tant que vous n'avez pas de problème et que l'argent rentre dans les caisses de la Macif  super sinon après un accident survenu il y a 2ans à mon domicile mon propriétaire devait prendre en charge tous les frais de mon accident mais comme son assurance lui a demandé une franchise de 170€ il a refusé de faire marcher son assurance, et  cela a été sa parole contre toutes mes attestations,  je suis victime et la Macif  ne m'a pas soutenu au contraire ils ont soutenu la parole de mon propriétaire assuré à la GMF trouver l'erreur, 2ans après cette accident mon assurance m'envoi chez un médecin expert bien entendu payer par la Macif  ce sois disant Dr c'est moquer de moi car je suis arrivé en fauteuil roulant qui c'est permis de me direc'est pas une petite antorse qui vous à mis dans un fauteuil roulant avec un grand sourire ce sois disant Dr ignorait que j'étais une personne handicapées à 80% en fauteuil roulant depuis 15ans,  résultat humilié par cet homme m'a  trouvé un taux d'invalidité de 0% à croire que ce si t disant Dr est plus intelligent que tout les spécialistes et professeurs en médecine qui n'ont reconnue invalide à 80% cela est lamentable un médecin ''expert''??en 5 minutes à pu faire un courrier de 4 pages à la Macif </t>
  </si>
  <si>
    <t>09/04/2019</t>
  </si>
  <si>
    <t>oliway-101757</t>
  </si>
  <si>
    <t>Totalement kafkaien.
Quand vous souscrivez, on vous demande l'adresse de parking de la moto.
Mais ils n'ont pas pensé qu'on n'habite pas forcément là où la moto est stationnée et qu'il n'est pas non plus obligatoirement possible d'y recevoir du courrier.
Du coup, après un bon scandale, AMV a la bonté de m'envoyer exceptionnellement ma carte verte là où j'habite car n'est-ce pas l'année prochaine il faudra que je me débrouille.
Leur solution : faites un suivi à la poste !
En gros tu payes 150€ d'assurance et on te demande de te prendre la tête à faire un transfert postal qui coûte 20€. On nage dans le délire !
En se comportant ainsi, AMV incite ses CLIENTS à mentir sur l'adresse de stationnement de la moto.
Juridiquement ça ne peut pas tenir la route même si ils disent "c'est nos conditions !"
Quand des conditions sont abusives, elles doivent sauter.
Bref, à peine assuré, je regrette d'être venu chez ces gens qui méritent clairement certains noms d'oiseaux.</t>
  </si>
  <si>
    <t>22/12/2020</t>
  </si>
  <si>
    <t>alavoine-cabrel-p-132630</t>
  </si>
  <si>
    <t>BIEN, BON BIEN BON
conseiller joint au téléphone très courtois, relation humaine très importante.....
j'attends mon contrat, heureusement que je suis écrivain...</t>
  </si>
  <si>
    <t>13/09/2021</t>
  </si>
  <si>
    <t>juju0205-101959</t>
  </si>
  <si>
    <t xml:space="preserve">Contact très agréable au téléphone avec une dame très avenante et douce. Elle a répondue à toute nos questions. La prise en charge à l’hôpital était parfaite. Nos sommes rassurés. </t>
  </si>
  <si>
    <t>Génération</t>
  </si>
  <si>
    <t>29/12/2020</t>
  </si>
  <si>
    <t>mouhous-c-109929</t>
  </si>
  <si>
    <t>Soucis de la validation de mon premier paiement en ligne (Bug). 
Finalement la souscription a duré plus longtemps que prévu (par téléphone)
1er accueil tél moyen, bien meilleur avec la seconde personne qui a finalisé avec moi le contrat. Merci</t>
  </si>
  <si>
    <t>10/04/2021</t>
  </si>
  <si>
    <t>pj-97717</t>
  </si>
  <si>
    <t>Agence d'Avignon, pas sérieux, manque d'ampathie et d'écoute de la clientèle. Très peu disponible et aucun moyen de les joindre si ce n'est par la plateforme ou vous n'avez jamais la même personne. Je ne conseille pas du tout.</t>
  </si>
  <si>
    <t>23/09/2020</t>
  </si>
  <si>
    <t>01/09/2020</t>
  </si>
  <si>
    <t>pierre-l-116060</t>
  </si>
  <si>
    <t xml:space="preserve">Je suis satisfait de la réponse apporté à ma demande. Je suis content du service apporté par votre relation clientèle. Merci encore de vos réponses.  Cordialement </t>
  </si>
  <si>
    <t>05/06/2021</t>
  </si>
  <si>
    <t>agoussi-121434</t>
  </si>
  <si>
    <t xml:space="preserve">Non seulement les frais engagés ne sont pas remboursés au niveau annoncé dans la police souscrite, mais si contestation il y a comment la transmettre ? Mon espace adhérent est inaccessible depuis deux jours. Assurance à fuir absolument. </t>
  </si>
  <si>
    <t>28/06/2021</t>
  </si>
  <si>
    <t>zitrocast-55109</t>
  </si>
  <si>
    <t>UN BON CONSEIL: pensez à faire d'autres devis régulièrement vous allez être TRÈS surpris...
Un rdv: une demie journée de perdu si vous êtes artisan oublier cette assurance. 
Leur maitre mot: " on peu rien pour vous"</t>
  </si>
  <si>
    <t>03/06/2017</t>
  </si>
  <si>
    <t>01/06/2017</t>
  </si>
  <si>
    <t>laurent33160-104709</t>
  </si>
  <si>
    <t xml:space="preserve">Je suis sociétaire depuis une vingtaine d'années, ma fille ainée achète une voiture donc doit l'assurer. 
Primo, le tarif de la Macif est 3 fois supérieur à celui de la MAIF. 
Secundo, pour avoir son relevé de situation, le support téléphonique appelé 3 fois en 2 jours,  lui donne des renseignements faux (elle n'est pas assuré sur la 206 mais sur la C4),
lui donne des pourcentages de bonus différents à chaque fois de 0 à 60.
Y a t il des gens compétents sur ce plateau téléphonique ? 
</t>
  </si>
  <si>
    <t>24/02/2021</t>
  </si>
  <si>
    <t>said-z-111378</t>
  </si>
  <si>
    <t>J'assure 2 voiture chez vous 1 de plus de 20 an qui vaut pas plus de 1000euros. la je rajoute une 2eme voiture a 9000e et vous me proposez quasiment le meme prix.  j'ai vraiment du mal a comprendre comment vous calculez mes cotisations.</t>
  </si>
  <si>
    <t>23/04/2021</t>
  </si>
  <si>
    <t>norbert-66126</t>
  </si>
  <si>
    <t>défauts d'information au client,qui se retrouve du coup très mal assuré.la conseillère a omis de de mêtre dégâts des eaux,simplement dégâts climatique et incendie.et en plus elle se trompe sur  l'adresse de la maison a assurée.</t>
  </si>
  <si>
    <t>Groupama</t>
  </si>
  <si>
    <t>10/08/2018</t>
  </si>
  <si>
    <t>mario-64253</t>
  </si>
  <si>
    <t xml:space="preserve">Macif cest une assurance pas serieuse defen pas cest clients je recommends a person service clientele mal pulli quand ca le convient pas ils acroche au nez par ce que je ou un accident avec quelle quem qui sorte dans parking et me font payer la franchise un dissent que se de ma faut </t>
  </si>
  <si>
    <t>28/05/2018</t>
  </si>
  <si>
    <t>clonier-j-131388</t>
  </si>
  <si>
    <t>Satisfait  à voir dans le temps , service client aimable et compétent , je recommanderai Olivier assurance à mon entourage  ainsi à des amies proche .</t>
  </si>
  <si>
    <t>acme-96149</t>
  </si>
  <si>
    <t>Sur un litige dégâts des eaux la macif refuse de désigner un responsable après le passage d experts .résultat je dois supporter les frais des dégâts occasionnés par un tiers, malgré un rapport de la Cie adverse qui le Designe .Bravo la macif. mais quand a moi je vous abandonne pour l'ensemble  des contrats</t>
  </si>
  <si>
    <t>10/08/2020</t>
  </si>
  <si>
    <t>tyrex-57281</t>
  </si>
  <si>
    <t>Lors d'un accident, l'assistance a été déplorable, Près d'une heure pour la joindre et finalement être incapable de me ramener chez moi !! J'ai du utiliser l'assurance de ma moto qui était en remorque</t>
  </si>
  <si>
    <t>14/09/2017</t>
  </si>
  <si>
    <t>julie-102488</t>
  </si>
  <si>
    <t>compagnie d'assurance incompetente apres 3 mois de contrat je reçois un appel me disant que le montant du contrat fait l'objet d'une erreur et que le tarif doit être augmenté, une aberration . Je dépose une réclamation au service client le 29 décembre 2020 et à ce jour je suis toujours dans l'attente de leur réponse.</t>
  </si>
  <si>
    <t>12/01/2021</t>
  </si>
  <si>
    <t>oxie77-99590</t>
  </si>
  <si>
    <t xml:space="preserve">des assureurs très vendeurs mais en cas de problème des incompétents et délais de traitements très longs. Et dès que cela ne leur convient pas ils résilient vos contrats rapidement.
Disponibilité téléphonique une horreur pour les avoir.
Qualité en cas de sinistre catastrophique.
Prix élevés et surtout franchise aussi très élevée.
</t>
  </si>
  <si>
    <t>Matmut</t>
  </si>
  <si>
    <t>03/11/2020</t>
  </si>
  <si>
    <t>giordano-m-123827</t>
  </si>
  <si>
    <t xml:space="preserve">Assurance très disponible et à l’écoute. Le personnel prend le temps de vous conseiller et de vous accompagner au mieux Service vraiment parfait, je recommande fortement. </t>
  </si>
  <si>
    <t>19/07/2021</t>
  </si>
  <si>
    <t>nicolas--b-127823</t>
  </si>
  <si>
    <t>Je suis satisfait des services bonne assurance un peu compliquée pour s'assurer mes on y arrive quand même rapport prix et bien je la conseille à tout le monde</t>
  </si>
  <si>
    <t>13/08/2021</t>
  </si>
  <si>
    <t>muriel06-78399</t>
  </si>
  <si>
    <t xml:space="preserve">Bonjour 
Nous nous sommes fais cambriolé le 21 juillet dernier nous sommes assurés chez constatel ird nous avons été à la Police pour porter plainte un expert s'est déplacé pour constater les Degats et l'infraction , grillage complètement arraché ! Constatel ird n'ont pas voulu prendre en charge le sinistre et nous on envoyé c... par téléphone c'est inadmissible n'allez surtout pas chez eux ! Mais nous allons nous battre </t>
  </si>
  <si>
    <t>Crédit Mutuel</t>
  </si>
  <si>
    <t>13/08/2019</t>
  </si>
  <si>
    <t>01/08/2019</t>
  </si>
  <si>
    <t>mesnage-d-112282</t>
  </si>
  <si>
    <t xml:space="preserve">Je suis très satisfait du prix et de la rapidité de l'envoi de la carte provisoire, malgré qu'elle soit blanche et que je ne pense pas que ça soit autorisé ?! </t>
  </si>
  <si>
    <t>aurore-l-124885</t>
  </si>
  <si>
    <t xml:space="preserve">Je suis satisfait du prix de la rapidité ce n est pas cher j espère recevoir rapidement mes papiers d assurance pour mon scooter merci beaucoup bonne journée </t>
  </si>
  <si>
    <t>26/07/2021</t>
  </si>
  <si>
    <t>flutie74-61334</t>
  </si>
  <si>
    <t xml:space="preserve">Contrat n285911. 3 appels pour que les relevés d’informations soient valides (envoyés depuis 15jours), un mail reçu ce matin même pour dernière demande des documents alors que tous ont déjà été validés. Aucun suivi, je pense à résilier avant les 14jours au vu des critiques, je ne préfère pas. A fuir ! </t>
  </si>
  <si>
    <t>11/02/2018</t>
  </si>
  <si>
    <t>guillaume-b-110530</t>
  </si>
  <si>
    <t>Je suis satisfait du service
Les prix me conviennent, la souscription a été simple et facile et je n'ai rencontré aucun souci particulier lors de la souscription</t>
  </si>
  <si>
    <t>virginie-50174</t>
  </si>
  <si>
    <t xml:space="preserve">j'ai voulu assurer mon auto bonne conductrice 50% de bonus aucun défaut de permis depuis 23 ans. Mais non on refuse de m'assurer par rapport à mon conjoint qui est lui un mauvais conducteur( tout en sachant que je voulais faire une décharge en soulignant qu'il ne conduirait jamais ma voiture) J'appelle ça de la discrimination </t>
  </si>
  <si>
    <t>12/12/2016</t>
  </si>
  <si>
    <t>brigitte-v-127845</t>
  </si>
  <si>
    <t xml:space="preserve"> site bien fait,   reste a voir dans la durée,  mais tarif super compétitif, surtout pour une voiture qui est utilisé que pour aller surveiller des chevaux a 1 kms de chez moi
</t>
  </si>
  <si>
    <t>carvalho-a-123685</t>
  </si>
  <si>
    <t xml:space="preserve">Prix raisonnable, reste a voir l'efficacité de la couverture.
Les démarches restes assez facile a comprendre et l'interface et assez intuitifs donc le guidage est bon.
</t>
  </si>
  <si>
    <t>17/07/2021</t>
  </si>
  <si>
    <t>kafka-99722</t>
  </si>
  <si>
    <t xml:space="preserve">Comme plusieurs personnes ici, j'ai reçu mardi une lettre-type en recommandé dénonçant tous mes contrats au prétexte de "l'altération de notre relation commerciale". L' "assureur militant" ne dédaigne pas la novlangue, donc. J'étais à la MAIF depuis une trentaine d'années  en tant que conjointe, depuis près de 14 ans en mon nom propre. Ce courrier m'a sidérée. J'ai donc appelé plusieurs fois pour comprendre le motif de cette résiliation, voire la contester, car je ne comprenais pas bien en quoi "notre relation commerciale" est altérée du côté de la MAIF. Ma cotisation a toujours été payée en temps et en heure, je n'avais pas l'impression d'avoir de problème avec la MAIF. 
Les conseillers ont tous, sauf un, répété qu'aucune erreur n'était possible, ni bug informatique, ni erreur humaine; par contre, immédiatement, mon honnêteté a été remise en question par 3 conseillers: avais-je bien payé, n'avais-je pas fait de fausse déclaration, comment se passent mes relations avec les conseillers? J'ai toujours payé mes cotisations (qui sont chères, avouons-le) rubis sur l'ongle, je ne suis pas une assurée qui "abuse", je ne suis ni menteuse, ni tricheuse ... mais en effet, à la réflexion, j'ai eu une expérience extrêmement pénible avec un jeune "conseiller" pendant le confinement, qui, plutôt que me répondre qu'il ne savait pas répondre à ma question (certes un peu pointue), s'est efforcé de m'expliquer des choses incompréhensibles avec un mépris rare, me prenant pour une imbécile avec une outrecuidance étonnante. Alors qu'il savait que mon véhicule avait été gravement vandalisé, inutilisable, et que je ne pourrais pas le récupérer pendant plusieurs semaines (les garages ne réparant que les véhicules des pompiers, policiers, gendarmes), tout en ayant un fils handicapé à conduire à divers endroits pour des soins. J'ai mis fin à la conversation, sans lui raccrocher au nez néanmoins, et j'ai rappelé la MAIF, pour tomber sur une dame compétente qui m'a donné la marche à suivre pour tenter de régler mon problème. J'ai d'ailleurs signalé à cette dame combien la conversation précédente avait été pénible, ce qu'elle m'a dit qu'elle allait faire remonter au siège. Je n'ai néanmoins pas écrit à la MAIF pour "cafter", ni écrit d'avis sur internet pour me plaindre, ce que je fais ici pour la première fois. 
Je pense que ce monsieur désagréable et insultant, en plus d'être incompétent, m'a dénoncée comme "altérant la relation commerciale" (dont je pensais d'ailleurs innocemment qu'elle était plutôt mutualiste), car je ne me suis pas laissée humilier par ses propos et lui ai répondu de se calmer, voire qu'il l'a fait avec plusieurs sociétaires MAIF. Car contrairement à ce que l'on pourrait croire, ce genre de décision est prise très rapidement, ce que m'a confirmé un agent d'une autre mutuelle, ainsi qu'une dame travaillant dans une autre entreprise pratiquant le "conseil clientèle" par téléphone.
Là où tout cela devient cocasse, ubuesque, kafkaïen, c'est qu'aucun recours n'est possible, puisqu'on vous répète à l'envi qu'aucune erreur n'est possible; un bug informatique est exclu à la MAIF; qu'un "collaborateur" de la MAIF sabote la "relation clientèle" est totalement inenvisageable; que la relation soit totalement déshumanisée ne pose aucun problème, les "conseillers" au téléphone n'ayant aucune capacité de savoir ce qui est reproché à l'ex-sociétaire, désormais banni, qui ne peut même pas s'amender pour ne jamais reproduire la faute qu'on lui reproche. Que la MAIF me doive désormais toutes les cotisations que je lui ai versée pour 2021 et que je vais encore lui verser le 11 novembre est semble-t-il normal: au moment de l'envoi de l'échéancier en décembre, on me dira quand on me remboursera (intérêts non compris, bien sûr!). Quelle magnanimité! Que je ne puisse plus accéder à mon espace internet "en raison de ma nouvelle situation", et alors que je suis encore assurée MAIF jusqu'au 31 décembre, c'est normal: ma punition sans doute... 
Un "militant" (?) de la MAIF l' "assureur militant" (???) doit m'appeler un jour (quand? mystère !) pour m'expliquer ce qui s'est passé, m'a-t-on dit mardi, tout en me disant d'aller chercher une assurance ailleurs... nous sommes jeudi soir: pas de nouvelles. 
Peut-être qu'ici Cédric ou Youssef me dira de lui écrire pour étudier mon dossier...
En attendant je vais relire 1984 et "le Meilleur des Mondes".
Et, comme une autre internaute ici, la MAIF peut désormais compter sur moi pour vanter auprès de mes amis et collègues les valeurs de l'assureur militant.
Je suis écoeurée.
</t>
  </si>
  <si>
    <t>05/11/2020</t>
  </si>
  <si>
    <t>cissoko-b-113387</t>
  </si>
  <si>
    <t xml:space="preserve">Les explications ont été indiquées clairement.
Le tarif est très intéressant.
Je suis pour le moment entièrement satisfait de cette démarche.
        </t>
  </si>
  <si>
    <t>11/05/2021</t>
  </si>
  <si>
    <t>graig-92072</t>
  </si>
  <si>
    <t>J’aime beaucoup ce que Direct Assurance propose , je compte le recommander à un membre de ma famille. Par ailleurs les prix sont satisfaisants donc j’ai profiter</t>
  </si>
  <si>
    <t>24/06/2020</t>
  </si>
  <si>
    <t>01/06/2020</t>
  </si>
  <si>
    <t>marguerite-60631</t>
  </si>
  <si>
    <t>sinistre du 04/ 07/2017 ou mon voisin a abimer la capot de ma voiture l'expert de la MAAF cabinet de BREST à décider que comme la capote de ma voiture était abimer sur une autre parti il à mis une vétusté de 95% tout en sachant que ma capote fuit maintenant alors qu'avant le sinistre elle était étanche et la MAAF ne veut rien s'avoir elle se retranche sur l'avis de l'expert voilà au moment ou j'écris ce message j'ai décider de résilier mes 5 contrats à la MAAF client depuis plusieurs années, plus jamais la MAAF</t>
  </si>
  <si>
    <t>MAAF</t>
  </si>
  <si>
    <t>19/01/2018</t>
  </si>
  <si>
    <t>yveline-107039</t>
  </si>
  <si>
    <t>J'ai été cliente chez Santiane. Depuis le mois de janvier 2020, ils me doivent plus de 100€, qu'ils ont versé sur un compte qui n'est pas le mien!!! Depuis le mois de mars 2020, ils promettent de me rembourser, mais je suis comme Soeur Anne: je ne vois toujours rien venir!
Merci santiane</t>
  </si>
  <si>
    <t>18/03/2021</t>
  </si>
  <si>
    <t>lisa-56809</t>
  </si>
  <si>
    <t>Bonjour; en 2016 j'ai fait revisser mon contrat habitation car il devenait trop onéreux. Ma cotisation était redevenue raisonnable pour mon budget mais voilà que l’échéance de 2017 a fait un bond de 278.05 euros en plus. c'est un honte. Pourtant client depuis plus de 40 ans je doute a ce jour du sérieux  de cette compagnie</t>
  </si>
  <si>
    <t>22/08/2017</t>
  </si>
  <si>
    <t>01/08/2017</t>
  </si>
  <si>
    <t>salle-d-108576</t>
  </si>
  <si>
    <t>je trouve le prix de l'assurance trop cher par rapport au bonus que j'ai. j envisage de changer de compagnie d'assurance pour reduire mes mensualités.</t>
  </si>
  <si>
    <t>30/03/2021</t>
  </si>
  <si>
    <t>leroy-a-135481</t>
  </si>
  <si>
    <t xml:space="preserve">Erreur de prénom sur mon contrat vue que ma mère est déjà chez vous c est son prénom qui ressort a la place du mien j'attends que vous me recontacté pour remédier à ça </t>
  </si>
  <si>
    <t>yv34-71068</t>
  </si>
  <si>
    <t>la démarche est simple, en ligne c'est rapide et ergonomique</t>
  </si>
  <si>
    <t>07/02/2019</t>
  </si>
  <si>
    <t>lionel-107829</t>
  </si>
  <si>
    <t>Avec la MACIF, vous êtes assurés pour ce qui ne vous arrive pas!!! Malgré une option prévue à mon contrat habitation, la MACIF refuse de m'indemniser pour d'obscures raisons. Le service réclamation s'apparente à une dictature(aucun dialogue possible).
Je crois avoir trouvé la signification des initiales MACIF. Mutuelle Assurance Contre les Indemnités Financières</t>
  </si>
  <si>
    <t>24/03/2021</t>
  </si>
  <si>
    <t>isabelle-m-132804</t>
  </si>
  <si>
    <t>EXCELLENT RAPPORT QUALITE PRIX
SITE INTERNET PRATIQUE PERMETANT DE VALIDER UN CONTRAT EN 15 MINUTES
JE RECOMMANDE VIVEMENT DIRECT ASSURANCE AU MOINS L'ASSURANCE D'UNE FIAT 500</t>
  </si>
  <si>
    <t>dom-77207</t>
  </si>
  <si>
    <t>Compliqué de se faire rembourser depuis 6 mois suite à une hospitalisation, pour les lunettes mon opticien attend depuis 1,5 mois le montant de la prise en charge...jamais vu ça</t>
  </si>
  <si>
    <t>28/06/2019</t>
  </si>
  <si>
    <t>01/06/2019</t>
  </si>
  <si>
    <t>pigeonet-66154</t>
  </si>
  <si>
    <t xml:space="preserve">assurance auto à éviter ; à l'adhésion demandent de verser 6 mois d'assurances !!! Etant assuré depuis plus de 40 ans , c'est la première assurance auto qui pratique ce genre de méthode ! Par ailleurs ils m'ont réclamé à maintes reprises les documents nécessaires à la souscription et que j'ai adressé par emails sous forme PDF bien lisibles pour moi mais apparemment pas pour eux ! D'autre part ils n répondent pas aux messages envoyés par emails ou très tardivement ou pas du tout ! Leur site d'accés au compte client se bloque , sur ce site figure une demande de code pour le débloquer le mot de passe oublié , mais celà ne fonctionne pas car ce code doit être envoyé par email et il n'y a aucun retour !!.
En conclusion : assurance auto à FUIR même si prix attractifs qui vont vous conduisent dans un piège... </t>
  </si>
  <si>
    <t>13/08/2018</t>
  </si>
  <si>
    <t>clementdlc-130971</t>
  </si>
  <si>
    <t xml:space="preserve">Assurance scandaleuse fuyez, aucunes indemnisations, prix qui augmentent chaque année, ils ne veulent pas me donner mon relevé d’information pour résilier ! </t>
  </si>
  <si>
    <t>02/09/2021</t>
  </si>
  <si>
    <t>sophie-87317</t>
  </si>
  <si>
    <t>Lamentable au niveau du service. Dossier non traité depuis fin Novembre 2019 et lu par vos services le 2/12.
Pas de carte mutuelle reçue et d appel à cotisation.
Quand je vois les autres commentaires !!!</t>
  </si>
  <si>
    <t>18/02/2020</t>
  </si>
  <si>
    <t>antoine-b-128517</t>
  </si>
  <si>
    <t>Bon rapport et flexibilité des offres proposées sur le papier à la souscription.
L'équipe chargée de clientèle est aimable et a répondu à mes questions.</t>
  </si>
  <si>
    <t>18/08/2021</t>
  </si>
  <si>
    <t>backen-89502</t>
  </si>
  <si>
    <t>Client de cette assurance depuis 11 ans maintenant j'ai eu mon premier accrochage en moto en janvier 2019 qui a entraîner 1 semaine d'arrêt de travail. J'attends toujours mon dédommagement mais pendant ce temps j'ai du avancé les frais bien sur (1460 euros) parce que l'assurance m'a dis je cite :
aucun remboursement ne peut être effectuer par notre service il faut attendre la décision de l'assurance adverse qui n'a pas de délais légal pour effectuer le remboursement des réparations, cela peut prendre 1 mois comme 6 mois ou plus selon leurs bon vouloir.
Je passe le fait que les papiers d'arrêt de travail, fiche de paye et de constat ont été perdu environ 3 fois, lamentable... en me renseignant sur les tarifs, le tiers payant chez eux pour mon zx10r, coute PLUS CHÈRE qu'une formule tous risque chez leur concurrent. Leur service téléphonique pour le suivi de dossier est logiquement fermé avec le COVID-19 par contre pas le service de souscription, on voit bien ou est la priorité.</t>
  </si>
  <si>
    <t>Mutuelle des Motards</t>
  </si>
  <si>
    <t>09/05/2020</t>
  </si>
  <si>
    <t>01/05/2020</t>
  </si>
  <si>
    <t>marcotteur-86261</t>
  </si>
  <si>
    <t>Client de moin de 14 jours difficiles de résilier cette assurance ne permet pas de vous mettre chauffeur principal de deux véhicules mettant votre second véhicule avec chauffeur principal au nom de votre concubine et comme elle a du malus tu dois payer plus alors que j'ai 50 et plus de bonus et suis titulaire des deux cartes grises.
Difficile de résilier deuxième lettre demain.
Attention avant de vous engager avec eux.</t>
  </si>
  <si>
    <t>23/01/2020</t>
  </si>
  <si>
    <t>jmr59-104884</t>
  </si>
  <si>
    <t>J'ai été en contact avec cet assureur via un comparateur; là ou les autres assureurs se sont préoccupés de mes besoins, de mes attentes, mon interlocutrice a été péremptoire, voire agressive! Bien qu'ayant dit ne plus vouloir discuter, elle m'a rappelé plusieurs fois, restant dans l'optique "je veux avoir raison contre vous, client".
Bref à éviter</t>
  </si>
  <si>
    <t>27/02/2021</t>
  </si>
  <si>
    <t>tyrame-108964</t>
  </si>
  <si>
    <t>à RITA
je suis satisfait des prestations de Neoliane hormis le montant de la cotisation mensuelle qui ne devrait pas dépasser les 90,00E /mois compte tenu des propositions qui me sont régulièrement adressées.</t>
  </si>
  <si>
    <t>ophelie-69925</t>
  </si>
  <si>
    <t>Impossible d'avoir un devis par mail, il faut se connecter à son espace client sur internet, mais lorsqu'on est ancien sociétaire on ne peut pas se connecter c'est un défaut de chez eux et ils le savent. Mais ils n'envoient pas par mail ! Merci j'irai voir ailleurs</t>
  </si>
  <si>
    <t>05/01/2019</t>
  </si>
  <si>
    <t>01/01/2019</t>
  </si>
  <si>
    <t>jean-michel--v-137196</t>
  </si>
  <si>
    <t xml:space="preserve">Très satisfait du service, des prix et de l accueil. Les ex sont très claires et très précises les interlocuteurs sont très professionnels et agréables. </t>
  </si>
  <si>
    <t>08/11/2021</t>
  </si>
  <si>
    <t>yobzh29-68494</t>
  </si>
  <si>
    <t xml:space="preserve">Bonjour,
Voici votre avis :
Un incident de trop dans une série de 5, dont un responsable sur 3 ans, un moment d'irritabilité une suite d'incompréhensions mutuelles et la Maif décide de résilier l'ensemble de nos contrats après 17 ans de collaboration au 31 décembre 2018.
Désemparé face à l'incompréhension et au manque d'informations concernant cette décision j'inscris mon mécontentement sur assurance-assurances.fr.
J'ai été contacté par un service de la Maif qui m'a recommandé de prendre contact avec la délégation Brestoise.
L'effet à été salutaire puisque l'équipe de militants de la délégation s'est battue pour annuler cette résiliation après explication de notre condition.
Nous tenions à remercier cette équipe qui soutiens ses sociétaires et avec qui nous avons tissé une solide relation de confiance.
</t>
  </si>
  <si>
    <t>30/04/2019</t>
  </si>
  <si>
    <t>benzitouni-x-123535</t>
  </si>
  <si>
    <t xml:space="preserve">JE SUIS SATIFAIS DE LA RAPIDITER DU DEVIS , LE PRIX SONT TRES ATRACTIVE. SEULONS LE CRITERE DE LA PERSONNE ET DE CES MOYENS . TRES STAFIFAIS DE SITE CLAIRE ET VISUEL
</t>
  </si>
  <si>
    <t>15/07/2021</t>
  </si>
  <si>
    <t>yas-112060</t>
  </si>
  <si>
    <t xml:space="preserve">Pratique honteuse.
Après 6 ans d'assurance auto avec un seul problème pour lequel j ai fait un constat par sécurité alors que l'autre n'a finalement pas déposé son constat ( donc l'assurance n'a pas dû intervenir) , on me dit que je ne peux plus être assurée chez gmf. Cela est honteux, donc on assure les gens et le jour où il y a un seul pépin on les envoie balader. Pépin très limité puisque j avais heurté un article sur un parking de commerce, que j ai fait un constat au cas où mais que l'autre partie ne s'est pas manifestée. Comment dire mon incompréhension et mes interrogations quant à de telles pratiques. </t>
  </si>
  <si>
    <t>29/04/2021</t>
  </si>
  <si>
    <t>jennifer-d-122852</t>
  </si>
  <si>
    <t>Simple, et rapide, les devis se font en ligne, ainsi que la souscription des contrats.
Pas besoin de se deplacer.
Tres clair, accessible a tous, a n'importe quel horaire.</t>
  </si>
  <si>
    <t>08/07/2021</t>
  </si>
  <si>
    <t>kikou-80802</t>
  </si>
  <si>
    <t>rien a dire personne trés aimable ras. et proches de leursvnouveauxclients</t>
  </si>
  <si>
    <t>atikin-67021</t>
  </si>
  <si>
    <t>Habituellement avec les autres assurances, mes cotisations baissaient tous les ans. C’est bien la première fois qu’un assureur me réclame presque 18 € de plus à l’année alors qu’aucun accident n’a été déclarer et avec 50% de bonus. A mon avis, je risque de changer l’année prochaine</t>
  </si>
  <si>
    <t>10/07/2021</t>
  </si>
  <si>
    <t>maze--113171</t>
  </si>
  <si>
    <t>Étrange impression de m'être fait avoir ...je souscris ,on me prélève la somme et les frais de dossier exorbitants  , je fournis les documents qu'on me demande au fur et à mesure, avec un service client asiatique donc il faut bien écouter pour comprendre . Résultat au bout d' un mois le délais expiré , on vous prends l'argent et vous êtes résilié pour la première fois d'une assurance !!!
Maintenant gros casse tête, il me faut une assurance qui m'assure plus chère car suis résilié. Ah j'oubliais Active Assurances me propose de me rassurer en prenant compte leur résiliation et un tarif plus que le double .Récapitulatif...vous faites un devis chez eux ,vous payez pour l'année, le délais selon eux pour fournir les documents (relevé d'information..) étant dépassé  ,vous êtes résilié ils gardent l'argent prétextant des frais annexes ,et vous repropose un nouveau contrat malus compte tenu de leur résiliation...Je ne sais pas comment on peut nommer ce genre de société. Ma confiance est rompue, la voiture dort au garage suis dégouté. 35 ans de permis et 50%de bonus et 0 sinistres. Quelle honte À FUIR SANS DETOUR !!</t>
  </si>
  <si>
    <t>eve-j-111194</t>
  </si>
  <si>
    <t>J'ai confiance en la GMF, tout simplement.
Rien à dire de plus.
Si j'ai un sinistre je n'ai pas l'impression que mon assureur essaye de m'entourlouper. Bien au contraire la situation est évaluée toujours.</t>
  </si>
  <si>
    <t>21/04/2021</t>
  </si>
  <si>
    <t>phil-50704</t>
  </si>
  <si>
    <t xml:space="preserve">eutofil   est une bonne assurance tans que l'on a pas de problème, malheureusement j'ai u un sinistre, je suis a 50% de bonus depuis très longtemps , et on ne veux plus m'assurer sur mon prochain véhicule, ATTENTION  personnes âgés, mes parents après 30 ans sans accident  eurofil a refusé de les assurer sur leur nouveau véhicule  sans raison je devine que c'est l'âge (c'est de la discrimination sur personne âgé punissable par la loi )
donc voilà les prix sont attractifs mais attention au moindre pépin on vous jette </t>
  </si>
  <si>
    <t>27/12/2016</t>
  </si>
  <si>
    <t>maggiore-a-112754</t>
  </si>
  <si>
    <t>Très bon accueil client et prise en charge total.
Un accueil chaleureux et personnalisé bienvenu pour un premier contrat automobile.
Très sécurisé et bon staff.</t>
  </si>
  <si>
    <t>bassmarc-59738</t>
  </si>
  <si>
    <t xml:space="preserve">Voilà je savais que ça allait m'arriver je me retrouve dans la meme situation que vous tous c'est dingue  Cardiff ne reconnait pas l'invalidité 2 pourquoi nous faire souscrire une assurance invalidite si ce n'est pour la refuser systématiquement ?????
Assurance à BANNIR </t>
  </si>
  <si>
    <t>02/01/2018</t>
  </si>
  <si>
    <t>jocelynebclanet-78936</t>
  </si>
  <si>
    <t xml:space="preserve">Pas mieux  ah ! si quand même ; oh ! je vois  une réponse de eurofil alors que j'essaie de les joindre " actuellement suite au traitement du courrier nous fermons notre standard" une blague ? NON ! véridique ! j'essaie de faire entendre raison sur une interprétation douteuse d'un constat , mais là ! j'en tombe ! alors que la fille qui m'a percutée dans un rond point écris de sa main " j'ai été percuté lorsque je m'engageai...." , c'est lair non ? mais pas pour eux , je me retrouve entièrement responsable ! merci du peu </t>
  </si>
  <si>
    <t>19/08/2021</t>
  </si>
  <si>
    <t>chouchou-64174</t>
  </si>
  <si>
    <t>Sociétaire depuis 30 ans et excellente conductrice n'ayant jamais eu d'accident, je viens d'apprendre que mon contrat n'était pas reconduit. La raison ? quatre sinistres en 3 ans. En fait, j'y suis depuis 30 ans mais, divorcée, j'ai changé de nom. Les sinistres ? Une dame qui recule sur un parking, un acte de vandalisme sur ma voiture et une demande dépanneuse car pneu crevé. Je ne suis en aucun cas responsable. Merci la GMF !!!</t>
  </si>
  <si>
    <t>24/05/2018</t>
  </si>
  <si>
    <t>malou12-56874</t>
  </si>
  <si>
    <t xml:space="preserve">Assureur à fuir. Suite à un dégât des eaux dû à un voisin,  une entreprise a été mandatée par AXA pour réaliser les travaux de réparation.  Un an après , les travaux n'ont pas été réalisés sous prétexte que les murs sont toujours humides (plus d'un an après le sinistre). Des mesures d'humidité régulières ont été faites souvent contradictoires et sur plusieurs mois. Maintenant,je sais que rien ne sera fait  surtout au vu des commentaires extrêmement négatifs . </t>
  </si>
  <si>
    <t>25/08/2017</t>
  </si>
  <si>
    <t>dorothee-d-109267</t>
  </si>
  <si>
    <t xml:space="preserve">Très bon accueil téléphonique.
Cette assurance emprunteur me semble performante et efficace.
Rapidité de souscription au meilleur prix. Merci           </t>
  </si>
  <si>
    <t>06/04/2021</t>
  </si>
  <si>
    <t>merry-69850</t>
  </si>
  <si>
    <t xml:space="preserve">J AI UN VEHICULE ASSUR2 PLUS 1 APPARTEMENT JE DEMANDE UN AUTRE DEVIS ET LA JE TOMBE SUR UNE OPERATRICE TRES DESAGREABLE  QUI NA PAS ENVIE DE TRAVALLER ET QUI SE PERMET de faire des jugements sans savoir ELLE N A VRAIMENT RIEN A FAIRE DERRIERE UN TELEPHONE </t>
  </si>
  <si>
    <t>15/01/2019</t>
  </si>
  <si>
    <t>franck-cardot-101719</t>
  </si>
  <si>
    <t xml:space="preserve">Mon Bearded Collie a une une diarrhée pendant près de 7 jours. J'ai consulté à la clinique vétérinaire près de chez moi. Résultat près de 110 € pour une consultation et 2 traitements.
Quelle ne fut pas ma surprise d'être remboursé de seulement 22.50 €.
En effet, si la consultation est 
                            </t>
  </si>
  <si>
    <t>Assur O'Poil</t>
  </si>
  <si>
    <t>21/12/2020</t>
  </si>
  <si>
    <t>aile44-101191</t>
  </si>
  <si>
    <t>Je viens d'être conseillée par Lamia, très à l'écoute, elle est restée en ligne pour m'aider à finaliser une demande pendant un certain temps. 
Très professionnelle et très agréable.
Je suis très satisfaite par cet échange avec Lamia, qui m'a très bien conseillée.
Merci.</t>
  </si>
  <si>
    <t>09/12/2020</t>
  </si>
  <si>
    <t>ahlala81-87631</t>
  </si>
  <si>
    <t>Je souhaite résilier mon contrat emprunteur souscrit en 2015. J'ai suivi la démarche du site (https://www.metlife.fr/mes-demarches/assurance-emprunteur/remboursement-total-ou-partiel-snc/) en envoyant un premier mail le 16/01 à dip@metlife.fr avec document attaché. Sans réponse, j'ai renvoyé un deuxième mail le 04/02. Tojours sans réponse et je viens encore d'être débité sur mon compte.
La moindre des choses serait au moins de répondre que mon mail a bien été reçu et que ma demande sera traitée. Là, rien...
Service client 0 quand il faut résilier.</t>
  </si>
  <si>
    <t>MetLife</t>
  </si>
  <si>
    <t>26/02/2020</t>
  </si>
  <si>
    <t>dany-69004</t>
  </si>
  <si>
    <t xml:space="preserve">TRES BONS CONSEILS, TOUT EST CLAIR
. Adhérante depuis 2015 je suis globalement satisfaite même si plus de garanties au même tarif seraient les bienvenues
</t>
  </si>
  <si>
    <t>29/11/2018</t>
  </si>
  <si>
    <t>gilles-c-128013</t>
  </si>
  <si>
    <t xml:space="preserve">Simplicité de souscription et clarté du devis mais
je suis globalement satisfait du tarif mais décu par le montant des franchises surtout pour le bris de glace </t>
  </si>
  <si>
    <t>14/08/2021</t>
  </si>
  <si>
    <t>cluzel-a-108962</t>
  </si>
  <si>
    <t>Je suis satisfait du service proposé. En effet ce site est assez ergonomique et il est assez simple de souscririre pour une assurance auto. Je recommande.</t>
  </si>
  <si>
    <t>mourad-o-139072</t>
  </si>
  <si>
    <t xml:space="preserve">Merci c'était super rapide , Satisfait du service , assez Rapide pour le devis et la souscription.je recommande cette assurance qui est une alternative à d'autres. </t>
  </si>
  <si>
    <t>05/11/2021</t>
  </si>
  <si>
    <t>fre-123610</t>
  </si>
  <si>
    <t xml:space="preserve">Aucun contact humain.
Aucun contact humain même dans la salle de attente.aucun regard . aucun bonjour au bout de 30mn d attente
Je ne recommande pas
,Ce site de Bruay
</t>
  </si>
  <si>
    <t>16/07/2021</t>
  </si>
  <si>
    <t>dominguez-a-117886</t>
  </si>
  <si>
    <t xml:space="preserve">Je suis très heureux et très satisfait je recommande vivement l Olivier assurance rapport qualité prix une des meilleures assurance rapide et efficace </t>
  </si>
  <si>
    <t>22/06/2021</t>
  </si>
  <si>
    <t>normandie-116813</t>
  </si>
  <si>
    <t xml:space="preserve">J'ai pris l'option assistance plomberie .Une catastrophe !Les sociétés que la matmut emploie sont  bidons , je n'ai eu que des soucis , plusieurs interventions sans jamais la solution et au passage , ils vous créent d'autres fuites . A fuir </t>
  </si>
  <si>
    <t>12/06/2021</t>
  </si>
  <si>
    <t>coco-124174</t>
  </si>
  <si>
    <t>Je vous déconseille cette mutuelle. Menteur aucune réponse similaire entre tous les interlocuteurs...profite de vous ne sons pas correct..a éviter sérieusement..</t>
  </si>
  <si>
    <t>22/07/2021</t>
  </si>
  <si>
    <t>duncan-s-109066</t>
  </si>
  <si>
    <t>Très bien  pour un scooter.et c'est simple à faire et on comprends bien
Niveau tarif ça se tien reste à savoir quand on en auras besoin si ils sont reactif</t>
  </si>
  <si>
    <t>03/04/2021</t>
  </si>
  <si>
    <t>sg-89861</t>
  </si>
  <si>
    <t xml:space="preserve">J'ai été tres bon client durant plus de 15 ans. Ils m'ont tout fait! Facturer 9,15€ à chaque changement signalé (changement d'adresse, modification contrat..)refusé de me passer ma voiture assurée tous risques depuis 2003 et qui était en attente de partir a la casse et de me la passer au tiers. Un ami m'a prêté un véhicule et ils ont refusé de me l'assurer... après réclamations a la direction j'ai obtenu gain de cause. Je viens de racheter un vehicule,  je l'ai ai donc recontacté pour voir ce qu'ils pouvaient m m'offrir comme ils me l'avaient proposé au vu de leur attitude désastreusea mon egard! A nouveau ils refusent de me traiter comme un ancien bon client,  et ne veulent pas m m'octroyer les avantages GMF que j'avais il y a 3 mois. 
Fuyez cette compagnie ! Plus vous etes bons clients et plus ils vous assassinent.
</t>
  </si>
  <si>
    <t>23/05/2020</t>
  </si>
  <si>
    <t>rantin-m-109315</t>
  </si>
  <si>
    <t>Les prix me conviennent pour le moment. 
Mais il est trop tôt pour donner un avis concret sur le contrat et les options choisies. J'espère que vous continuerez à améliorer la qualité de vos services.</t>
  </si>
  <si>
    <t>claude-f-114097</t>
  </si>
  <si>
    <t>un peu trop compliqué pour conclure un devis et vous renvoyer les documents! une adresse courriel serait bien pratique pour vous les envoyer. Votre site est souvent en maintenance, c'est perturbant.</t>
  </si>
  <si>
    <t>18/05/2021</t>
  </si>
  <si>
    <t>mizourin-64687</t>
  </si>
  <si>
    <t>depuis plusieurs années Santiane m'a offert toutes les explications sur les différentes propositions de formules pour la mutuelle de mon fils. Chaque fois le choix proposé m'a donné entière satisfaction.</t>
  </si>
  <si>
    <t>12/06/2018</t>
  </si>
  <si>
    <t>01/06/2018</t>
  </si>
  <si>
    <t>titine-79582</t>
  </si>
  <si>
    <t xml:space="preserve">Très satisfait pour la prise en charge lors d'une panne de véhicule en espagne. Merci au service international. </t>
  </si>
  <si>
    <t>30/09/2019</t>
  </si>
  <si>
    <t>louise-138200</t>
  </si>
  <si>
    <t xml:space="preserve">Je suis vraiment très mécontente de l’oliver assurance. Habitant dans le 76, nous sommes tomber en panne un dimanche soir vers 23h à 200km de chez nous. L’assureur ne voulant pas nous donner de taxi et les véhicules de prêt étant fermé le soir, ils nous ont laissé nous débrouiller au milieu de nul part à 00h et 5 degrés pour trouvé un hôtel (bien sûr pas pris en charge). Heureusement on a trouver un hôtel à 1h à pied. Le lendemain on les recontacte pour avoir un voiture de location pour enfin rentrer chez nous, la voiture est prise en charge mais on ne peux pas la déposer chez nous mais la re déposer à paris. Obliger donc de faire un abandon à nos frais. Le garage de notre voiture étant dans le 76, nous devons rapatrier la voiture (encore à nos frais). A quoi sert l’assurance ? D’autant plus que notre cher Oliver assurance nous assure qu’en payant 180€ par mois pour un service premium ++ nous sommes en sécurité et pris en charge. Donc je remercie l’olivier assurance pour la non assistance si mise en avant et pour son manque total de professionnalisme. Cette assurance est vraiment à fuir le plus vite possible. </t>
  </si>
  <si>
    <t>25/10/2021</t>
  </si>
  <si>
    <t>kylcam-99037</t>
  </si>
  <si>
    <t xml:space="preserve">Un professionnalisme et une gentillesse à toute épreuve des intervenants tout est simple et facile l’espace perso est simple d’utilisation une assurance à recommander sans problème </t>
  </si>
  <si>
    <t>21/10/2020</t>
  </si>
  <si>
    <t>loic-m-117861</t>
  </si>
  <si>
    <t>Très satisfait, le tarif proposé est imbattable et mon conseiller a été excellent ! Je recommanderai votre assurance à mes proches et j'apprécie également votre politique de parrainage !</t>
  </si>
  <si>
    <t>vaness-81126</t>
  </si>
  <si>
    <t xml:space="preserve">j'ai eu gain de cause lors de l'expertise, la CNP persiste à ne pas me régler mes garanties. Dossier transmis à mon avocat. 2 ans d'attente pour une expertise et là ils refusent de me payer !!! Alors que je suis dans mes droits </t>
  </si>
  <si>
    <t>CNP Assurances</t>
  </si>
  <si>
    <t>19/11/2019</t>
  </si>
  <si>
    <t>pat-97916</t>
  </si>
  <si>
    <t xml:space="preserve">compagnie d'assurance sans communication, aucun aspect commercial et lorsque l'on a besoin d'eux suite à un sinistre nous ne sommes jamais couvert. les contrat sont si bien fait que toutes les exclusions sont dans les petites lignes. qui ne sont bien entendu jamais expliquées lors de la souscription. </t>
  </si>
  <si>
    <t>28/09/2020</t>
  </si>
  <si>
    <t>yulaykha-m-133404</t>
  </si>
  <si>
    <t>Les prix sont quand même cher et les frais de dossier aussi mais moin cher qu'ailleur, c'est assez rapide et simple mais pour les jeune conducteur qui ne travaille pas c'est compliquer</t>
  </si>
  <si>
    <t>18/09/2021</t>
  </si>
  <si>
    <t>natfox-70163</t>
  </si>
  <si>
    <t xml:space="preserve">Très mauvaise expérience avec eux. Carte verte non reçue après plusieurs semaines. Espace client en ligne qui ne fonctionne pas, je fini par appeler et demander combien je pourrais économiser si je retire mon conjoint de la carte verte car il ne conduit pas la voiture (+85euro à l'ouverture de mon contrat) et la conseillère a modifié mon contrat en le retirant ce qui m'a engendré 32 euros de supplément! J'ai demandé à retirer cet avenant, ils m'ont répondu vous pouvez le refuser et vous serez donc exclus de l'assurance. </t>
  </si>
  <si>
    <t>12/01/2019</t>
  </si>
  <si>
    <t>zem-86664</t>
  </si>
  <si>
    <t>Etant assurer depuis plus due 15 ans a la Matmut jetais plutôt satisfaite car je n'avais jamais eu de sinistre jusqu'au jour ou dégâts des eaux tous immeuble est toucher depuis un an et je suis toujours en attente de réparation un expert est venu constater 3 mois pour recevoir le rapport quand je le contacte il me dis qu'il ne se souviens pas du tout de mon dossier puis après plusieurs relance une semaine après il fais son rapport 3 fois moins que ce qu'a constater entreprise agréer que eux même mont envoyer et toujours en attente je suis très déçu cela fais un an que j'ai été victime Dun gros dégâts des eaux et en prime lors de son passage expert me propose de faire les travaux seule afin de diminuer les frais de la Matmut de 50 % un sketch je ne sais quoi penser !!!!</t>
  </si>
  <si>
    <t>03/02/2020</t>
  </si>
  <si>
    <t>janoyolo-70609</t>
  </si>
  <si>
    <t>Bonjour,
Client depuis + de 20 ans à la Filia MAIF : (scooter, appartement, moto, auto, maison), je n'ai quasiment jamais eu de réel sinistre ou des sinistre minimes (dégats des eaux par exemple).
Pour ce genre de sinistres, il n'y a rien à redire, on sent que la MAIF vous assure correctement.
Le personnel est en général a l'écoute et accueillant mais pas toujours qualifié pour répondre aux problèmes un peu techniques. C'est compréhensible, ils sont assureurs, pas techniciens.
Ils passent donc par des experts indépendants.
Je m'attendais de la part de la MAIF qu'ils s'entourent d'un réseau sérieux avec le poids d'une grosse entreprise pour faire bouger les choses.
J'ai eu un seul réel sinistre sur mon véhicule, véhicule en stationnement. Le sinistre a eu lieu en novembre 2018 et n'est toujours pas résolu aujourd'hui.
J'ai l'impression de devoir me battre pour aller chercher l'information et faire en sorte de récupérer mon véhicule comme il était avant l'accident. Je n'ai pas l'impression d'être suivi par mon assureur. J'ai l'impression de devoir me battre.
C'est très désagréable.
La MAIF se désengage complètement et me laisse faire seul les choses (contacter l'expert, le carrossier, vérifier que le carrossier a bien fait son travail, ouvrir un litige...)
La MAIF a passé mon dossier comme clos mais mon véhicule n'est toujours pas réparé comme il devrait l'être.
Je souhaite changer de véhicule, je ne pense pas rester à la MAIF, non pour une question de prix mais pour une question de confiance.</t>
  </si>
  <si>
    <t>25/01/2019</t>
  </si>
  <si>
    <t>hoareau-s-117707</t>
  </si>
  <si>
    <t>Pour le moment aucun soucis. J’espère que ça va durer dans le temps. J’ai appelé une fois pour recevoir ma vignette et ça été réglé dans les plus bref délais ?</t>
  </si>
  <si>
    <t>lemike-64565</t>
  </si>
  <si>
    <t>A fuir absolument. Les commerciaux sont très forts pour vous faire signer (beaucoup de promesses et de mensonges)... après ... au secours</t>
  </si>
  <si>
    <t>SantéVet</t>
  </si>
  <si>
    <t>07/06/2018</t>
  </si>
  <si>
    <t>hassan-t-116657</t>
  </si>
  <si>
    <t>Je ne suis pas satisfait du service suite a l'augmentation du prix non justifiée. et auusi suite à la reception d'un mail m'informant que "Vous ne bénéficiez plus du Bonus 50 Bonus Toujours.". j'ai contacté Direct assurance, incapable d'avoir une réponse clair a ce sujet.</t>
  </si>
  <si>
    <t>10/06/2021</t>
  </si>
  <si>
    <t>sarabandi-s-123924</t>
  </si>
  <si>
    <t>Bon pour le moment rien à signaler, tout me parait correct... la franchise reste un peu cher à mon goût mais j'ai pas tellement mieux trouver ailleurs</t>
  </si>
  <si>
    <t>iris-86536</t>
  </si>
  <si>
    <t>A fuir de toute urgence. Pas sérieux du tout. J ai pu après un long délai récupérer mon du, mais non sans peine.
Je travaille aujourd'hui avec des gens sérieux. Si vous êtes intéressés... je vous donne le tuyau.</t>
  </si>
  <si>
    <t>Afer</t>
  </si>
  <si>
    <t>30/01/2020</t>
  </si>
  <si>
    <t>enzo-m-131083</t>
  </si>
  <si>
    <t>Jai trouve les prix  attractifs il y a une grande facilité pour s'assurer sur le site 
ce site est convivial et bien construit. le seul bémol est le manque de flexibilité pour le paiement.</t>
  </si>
  <si>
    <t>03/09/2021</t>
  </si>
  <si>
    <t>vincprin5962-70256</t>
  </si>
  <si>
    <t xml:space="preserve">Vous résiliez votre contrat le 14 Octobre,vous recevez un courrier le confirmant et on vous prélève Novembre,Décembre et comme j'avais fait opposition à Janvier  courrier de relance avec intêrets et menaces BRAVO LA MATMUT </t>
  </si>
  <si>
    <t>sergio-m-133155</t>
  </si>
  <si>
    <t>Service rapide et efficace., navigation dans le menu facile et intuitive. Les tarifs sont très compétitifs..
Je suis satisfait des prestations.
Et je recommanderai cette organisme d'assurance.</t>
  </si>
  <si>
    <t>17/09/2021</t>
  </si>
  <si>
    <t>rebell-136385</t>
  </si>
  <si>
    <t>C'est une honte , impossible d'avoir le service technique au téléphone vous êtes en attente et la communication s'arrête. j'ai envoyé des devis par LR depuis juin  pas de réponse écrite , pas d'appel, Je ne peux m'inscrire sur le site j'essai depuis 3 mois impossible il ne fonctionne pas .
Je cherche à changer de mutuelle, je me renseigne actuellement dans mon entourage et je ne fais pas de pub pour MERCER vous vous en doutez.</t>
  </si>
  <si>
    <t>Mercer</t>
  </si>
  <si>
    <t>07/10/2021</t>
  </si>
  <si>
    <t>sisco33000-50519</t>
  </si>
  <si>
    <t>mutuelle correcte mais ai préféré aller à la MGEN et je ne regrette pas mon choix (de nombreux services non proposés par Harmonie sont intégrés à la MGEN).</t>
  </si>
  <si>
    <t>20/12/2016</t>
  </si>
  <si>
    <t>willy-52367</t>
  </si>
  <si>
    <t>Assuré chez aux depuis 3 ans.</t>
  </si>
  <si>
    <t>Euro-Assurance</t>
  </si>
  <si>
    <t>13/02/2017</t>
  </si>
  <si>
    <t>hugo-rafael-m-132405</t>
  </si>
  <si>
    <t xml:space="preserve">Plutôt satisfait, juste dommage que je ne puisse pas benifier du code de parrainage de ma belle mère, mais en tout cas prix très réussi correct pour moi </t>
  </si>
  <si>
    <t>11/09/2021</t>
  </si>
  <si>
    <t>de-oliveira-j-108690</t>
  </si>
  <si>
    <t>je suis entierement satisfait de cette assurance automobile tres reactif et facile d utilisation sur le site internet                                      .....</t>
  </si>
  <si>
    <t>31/03/2021</t>
  </si>
  <si>
    <t>audrey-81849</t>
  </si>
  <si>
    <t>j'ai renégocié mon pret immobilier a la meme banque et j'ai envoyé le nouveau tableau d'amortissement depuis plusieurs mois ,mais a ce jour aucunes communications et des mensualités qui n'ont pas bougées!!!!</t>
  </si>
  <si>
    <t>12/12/2019</t>
  </si>
  <si>
    <t>dmax23641-76278</t>
  </si>
  <si>
    <t xml:space="preserve">Je déconseille fortement, franchises exorbitantes, même en cas de bris de glace habituellement gratuit chez d'autres assurances, en cas de bris de glace justement et si on vous vol des affaires à l'intérieur aucune couverture. Et quand on vous vol le véhicule attention démarches incroyables pour l'obtention du remboursement. </t>
  </si>
  <si>
    <t>27/05/2019</t>
  </si>
  <si>
    <t>romain-t-128907</t>
  </si>
  <si>
    <t xml:space="preserve">Prix corrects et démarches rapides je suis très satisfait et l'application est très pratique je recommanderai direct assurance à mes proches sans hésitation </t>
  </si>
  <si>
    <t>21/08/2021</t>
  </si>
  <si>
    <t>jean-93631</t>
  </si>
  <si>
    <t>Je suis très content de l'assureur direct assurance avec son assurance connectée you drive. Elle donne la possibilité à tout type de conducteur de bénéficier d'une assurance contrairement aux autres assureurs qui ne se limitent qu'à leur offre classique .</t>
  </si>
  <si>
    <t>17/07/2020</t>
  </si>
  <si>
    <t>jjbrouge-100178</t>
  </si>
  <si>
    <t xml:space="preserve">Personnellement étant commerçant,pour des bons clients et sur tous sans suivi grave ,bon payeur et avec une conduite raisonnable.
     Moi j’aurais fait un effort supplémentaire sur mon gros contrat annuel. </t>
  </si>
  <si>
    <t>baji-s-125326</t>
  </si>
  <si>
    <t xml:space="preserve">je suis satisfaite de l'assurance, niveau prix pour les jeunes conducteur top. permis obtenu en 2017 et je n'ai jamais été assurée et l'olivier assurance m'a assuré a un prix exceptionnel. </t>
  </si>
  <si>
    <t>28/07/2021</t>
  </si>
  <si>
    <t>julien--96591</t>
  </si>
  <si>
    <t>Ils attirent les clients avec des bons tarifs mais il n’y a derrière aucun service. Je n’ai eu que des soucis avec cette assurance et suis parti au bout d’un an chez un vrai assureur</t>
  </si>
  <si>
    <t>23/08/2020</t>
  </si>
  <si>
    <t>jean-luc-c-122268</t>
  </si>
  <si>
    <t xml:space="preserve">G M F très bon Assureur sur tout ,  très satisfait et surtout très bien renseigné sur tout mes contrats .Cordialement                                                                  </t>
  </si>
  <si>
    <t>03/07/2021</t>
  </si>
  <si>
    <t>patrick-g-128824</t>
  </si>
  <si>
    <t>Téléphone surtaxé, réactivité aux mails, peu de choix dans l'heure de début de l'assurance, pas de précision sur la possibilité d'aller chercher un nouveau véhicule avec l'ancien. Beaucoup de flou</t>
  </si>
  <si>
    <t>20/08/2021</t>
  </si>
  <si>
    <t>ordi21-82211</t>
  </si>
  <si>
    <t>Bon courage pour quitter cette mutuelle!! il manque toujours quelque chose et fond traîner le plus longtemps pour continuer à prélever votre compte!!!!!</t>
  </si>
  <si>
    <t>23/12/2019</t>
  </si>
  <si>
    <t>villena-110071</t>
  </si>
  <si>
    <t>NE LE FAITES PAS !!
UNE EXPERIENCE HORRIBLE
Je regrette énormément avoir travaille avec eux. Ma banque me donnait comme option avoir une assurance externe. J'ai comme ça trouve magnolia qui m'offrait un prix plus attractif pour mon assurance de prêt que ma banque. 
Le problème c'est que la burocratie est LENTE ET EMBROULLANTE avec eux. 
Ça fait plus de 40 jours que j'aurais pu avoir mon prêt mais du a leur problèmes je suis en train de perdre du temps et de l'argent dans mon loyer.
Un incendie dans le bureaux de Strasbourg, dossier refuse car ils ne mettent pas le taux d'intérêt, tramitación très très lente ( plus de 10 jours juste pour ajouter le taux d'assurance dans le certificat d'adhésion), ils ne remarquent pas que dans mon dossier est marqué que je mesure 90cm et pour changer cette betise ça m'a pris deux semaines... Vraiment une expérience horrible. Si j'avais su avant je n'aurais jamais travaillé avec eux</t>
  </si>
  <si>
    <t>Magnolia</t>
  </si>
  <si>
    <t>12/04/2021</t>
  </si>
  <si>
    <t>mel06-65852</t>
  </si>
  <si>
    <t xml:space="preserve">Déplorable.... infiltration d'eau par les murs a chaque pluie. L expert considère que c'est de la condensation.... je contacte pacifica qui me dit qu'un 2e avis expert est imposible et la conseillère devient agressive et insultante....  bref j'attend le retour de ma réclamation mais mes 6 contrats iront vite ailleurs </t>
  </si>
  <si>
    <t>30/07/2018</t>
  </si>
  <si>
    <t>naiiis-87652</t>
  </si>
  <si>
    <t>Très désagréable surprise après plus d'un an de contrat: les tarifs clients sont supérieurs aux tarifs souscripteurs! Seuls les clients fidèles payent l'augmentation nationale et statistiques liée aux sinistres de l'ensemble de la compagnie, ce qui signifie que lorsque vous refaites votre devis en ligne avec les mêmes conditions du contrat actuel et malgré le bonus, vous payez 5% plus cher, autrement dit votre bonus ne sert à rien, seule la 1ère année d'assurance est compétitrice chez Direct Assurance</t>
  </si>
  <si>
    <t>nelis--137236</t>
  </si>
  <si>
    <t xml:space="preserve">Suite à un petit sinistre auto en juin 21 NON responsable j’ai du avancer la franchise lors de la réparation. Depuis lors plus rien. Pas de réponse à mes mails. Dans mon espace client il semblerait que la franchise soit  à ma charge. Mais personne ne m’explique. L’agence Allianz située à Clot Bey à Marseille se débine. 
J’ai donc décidé de résilier toutes mes assurances Allianz. Car s’ils sont incapables de suivre un petit sinistre qu’ adviendrait il en cas de problème grave. 
</t>
  </si>
  <si>
    <t>12/10/2021</t>
  </si>
  <si>
    <t>mathilde-s-111868</t>
  </si>
  <si>
    <t>5/5 a l'ouverture de l'assurance auto pour service, prix, reactivite, professsionalisme, clarete de l'information et de l'offre. Je recommende cette assurance.</t>
  </si>
  <si>
    <t>27/04/2021</t>
  </si>
  <si>
    <t>gisekda-123469</t>
  </si>
  <si>
    <t>Après avoir résilié le contrat car le prix demandee n'était pas le même que la proposition initial. J'ai demandé le remboursement de deux mois que j'avais versée a l'avance. Et la grosse surprise, dur les frais de résiliation que aucun conseiller a pris la peine de m'informer!!!!!!
Attention aux frais de résiliation très coûteux l'équivalent d'un mois!!!</t>
  </si>
  <si>
    <t>brai-l-123342</t>
  </si>
  <si>
    <t>Je suis satisfaite par les renseignements que l'a conseillère m'a fourni, ainsi que le tarif de l'assurance par mois. Je recommande cette assurance en ligne.</t>
  </si>
  <si>
    <t>13/07/2021</t>
  </si>
  <si>
    <t>odette-132662</t>
  </si>
  <si>
    <t>J'ai eu une conseillère au téléphone, du prénom de Émeline, qui a été très professionnelle, à l'écoute, et m'a bien aidée.
J'ai vraiment été contente.</t>
  </si>
  <si>
    <t>sabrina--129641</t>
  </si>
  <si>
    <t xml:space="preserve">Je souhaitais souscrire auprès de cette assurance mais ce sera un zéro pointé pour moi, je suis rester 3h au téléphone avec des gens incompétents qui me balançait de service en service sans comprendre réellement la demande. Lors du premier appel on me promet un geste commercial de 20% qui a été confirmé par plus de 3 personnes au cours des nombreux appel que j’ai pu avoir. L’assurance m’a dit que tout était bon et de finaliser le dossier lorsque j’aurai le véhicule et finalement dés promesse en l’air, je suis resté 1h au téléphone où on m’a encore balancé d’un service à l’autre pour ensuite me raccrocher au nez. La finalité ? Des personnes incompétente, irrespectueux a part Nacira qui a su faire correctement son job et me conseiller. Je vous déconseille fortement cette assurance. </t>
  </si>
  <si>
    <t>26/08/2021</t>
  </si>
  <si>
    <t>kyrn66-50305</t>
  </si>
  <si>
    <t xml:space="preserve">Un assureur militant qui n'en a plus que le nom à travers la pub.
Les experts décident et vous ne pouvez rien faire que subir. Il est loin le temps où la Maif était à l'écoute de ses mutualistes.
Aujourd'hui c'est juste une assurance comme une autre avec des montants de cotisation qui s'emballent à contrario des remboursements ridicules. 
Aucune discussion n'est possible, les montants de remboursements sont fixés à travers de mystérieuses sociétés qui pratiquent des prix hors  du commun mais sur lesquels les experts s'appuient pour rembourser.
Vous n'avez rien à dire que subir.
Je n'ai pas eu le temps cette année, mais l'année prochaine je serai assuré ailleurs. L'avantage est que cela va me laisser du temps pour bien pouvoir comparer les autres mutuelles avant de me décider.
Dommage tout de même car fils de l'Education Nationale je n'ai jamais connu que la Maif et je ne pensais pas qu'un jour je serai amené à la quitter.
De toute façon il suffit de lire a cadence des mauvais commentaires et  l'insatisfaction générée pour comprendre qu'un système a été mis en place. Il n'y a donc rien à espérer actuellement et quand ils verront les mutualistes partir comme ce fut le cas pour l'assurance voiture il y a quelques années, ils changeront de nouveau leur fusil d'épaule....mais ne sera t il pas trop tard pour sauver l'entreprise ?  
Au revoir Maif.
</t>
  </si>
  <si>
    <t>15/12/2016</t>
  </si>
  <si>
    <t>agneray-h-133346</t>
  </si>
  <si>
    <t>En Juin 2020, j'ai établi 2 chèques de 20 000 € chacun auprès d'une collaboratrice de l'agence de Toulouse. Après divers atermoiements, un chèque a été retrouvé mais mal affecté. Le second chèque a été égaré. Une réaffectation de la somme restante de 20 000 € a été décidée, mais le dossier est toujours en cours et, depuis 15 mois, notre adhésion n'est toujours pas prise en compte. La CARAC ne me donne pas l'impression de prendre la mesure de cette situation.</t>
  </si>
  <si>
    <t>Carac</t>
  </si>
  <si>
    <t>palindrome56-95982</t>
  </si>
  <si>
    <t>Je suis aujourd'hui retraité du Ministère de l'intérieur et j'ai adhéré à la MGP en 1976 lorsque je suis rentré dans la Police. Je n'ai jamais eu à me plaindre de ce choix. Bien entendu il m'arrive de penser que c'est une mutuelle "chère" et qui rembourse "peu" en matière d'optique et dentaire. Mais chaque fois que j'ai prospecté pour éventuellement en changer, je me suis rendu-compte que c'était inutile ! Il y a des domaines où je pense qu'un effort est à faire : l'ostéopathie par exemple, les implants dentaires...Évidemment on peut commencer à se plaindre de la position de la Sécurité Sociale dans ces domaines...Mais tout de même !</t>
  </si>
  <si>
    <t>06/08/2020</t>
  </si>
  <si>
    <t>gael-b-134923</t>
  </si>
  <si>
    <t>Merci pour la simplicité d'utilisation de votre site web et vos tarifs compétitifs. De plus les interlocuteurs que nous avons au téléphone sont très agréable</t>
  </si>
  <si>
    <t>28/09/2021</t>
  </si>
  <si>
    <t>patrice-64475</t>
  </si>
  <si>
    <t>tres bonne mutuel tres satisfait du remboursement et de payer moins cher</t>
  </si>
  <si>
    <t>05/06/2018</t>
  </si>
  <si>
    <t>damien-c-134373</t>
  </si>
  <si>
    <t>Quel plaisir de rejoindre cette assurance.
La souscription est simple et rapide. Et surtout, les prix sont enfin corrects.
Merci pour votre prestation.
Cordialement</t>
  </si>
  <si>
    <t>24/09/2021</t>
  </si>
  <si>
    <t>florent-k-107297</t>
  </si>
  <si>
    <t xml:space="preserve">Découverte du process de changement d'adresse et de modification de mon contrat en ligne. Très bien guidé, opération simple et très claire. 
Les tarifs proposés correspondent à mes attentes. </t>
  </si>
  <si>
    <t>20/03/2021</t>
  </si>
  <si>
    <t>tocaref9mm-79268</t>
  </si>
  <si>
    <t>Axa c'est la meilleure assurance de tout les assurances. Je été très content. Je conseille à tout le monde. Mr. GRYKO</t>
  </si>
  <si>
    <t>17/09/2019</t>
  </si>
  <si>
    <t>pame-a-138276</t>
  </si>
  <si>
    <t xml:space="preserve">je suis satisfaite, service réactif et agréable et les prix sont abordable je le recommanderai surement a la famille. je suis contente de revenir parmi vous  </t>
  </si>
  <si>
    <t>26/10/2021</t>
  </si>
  <si>
    <t>ilorane-110575</t>
  </si>
  <si>
    <t>Courrier que je m'apprête à envoyer.
Faisant suite à notre entretien téléphonique du 15 avril 2021, je me permets de retranscrire par écrit ma grande réserve vis à vis de ce qu'est devenu Mutavie. 
Quand j'ai souscrit le site était performant, rapide et clair. Il était possible de vous joindre facilement par téléphone et les réponses apportées étaient toujours rapides.
Aujourd'hui (et ce n'est pas lié à la crise du covid, j'ai constaté la dégradation depuis plusieurs année) le site est lent, daté, avec des bugs récurrents et fréquents. On ne sait plus si on doit se connecter à Mutavie ou sur le site de la Macif (fortement incomplet). J'ai tenté de vous joindre à 3 reprises dans la matinée du 15 avril. 2 fois j'ai été coupée au bout de 15 minutes d'attente....Je suis vraiment triste de constater que la qualité qui faisait votre force n'existe plus et même si vraiment chacun de mes interlocuteurs a toujours été extrêmement efficace et à l'écoute. Franchement depuis la jonction avec la Macif quelle baisse de réactivité.....Je vous le dis en toute transparence et vraiment de façon très sincère, je ne vais pas perdre de temps pour mes euros placés chez vous. Si la tendance se confirme je clôturerai mon livret dans les prochains mois.
Par ailleurs, sans explication, les intérêts ne sont plus crédités et on ne reçoit plus de relevés.</t>
  </si>
  <si>
    <t>kat-104267</t>
  </si>
  <si>
    <t>Mutuelle à fuir. Mercer me refuse indûment des remboursements depuis plus de deux mois. Les conseillers que j'ai eus au téléphone à de multiples reprises (après à chaque fois une mise en attente d'au moins 10 à 15 minutes) ne traitent pas le dossier et ne font que redemander des justificatifs déjà envoyés. 
A ce jour, mes soins ne sont toujours pas remboursés et mes mails restent sans réponse.</t>
  </si>
  <si>
    <t>16/02/2021</t>
  </si>
  <si>
    <t>briloop-107883</t>
  </si>
  <si>
    <t>Je remercie Lamia qui a tout fait pour essayer de régler mon problème. Elle en a référé au service informatique, et maintenant je n'ai plus qu'à attendre s'ils peuvent m'aider...</t>
  </si>
  <si>
    <t>lyo-122135</t>
  </si>
  <si>
    <t xml:space="preserve">Assurance avec aucun sérieux, très déçu. je suis assuré chez eux depuis 8 ans, je n'ai jamais eu besoin d'eux. la seul fois ou j'ai besoin de faire marché mon assurance,concernant la surtention d'un ordinateur suite à l'orage. il me refuse la prise en charge. j'ai appeler le service macif. demande de devis, facture etc. Mon informaticien m'a transmit un devis que j'ai retransmit pour réparation (avec notifié suite à surtention éclectrique). ma demande à été refusé. (une franchise de 123 euros était quand même demandé). 8/9 ans que je paie tous les mois cette assurance, jamais eu un seul retard. quand on à besoin de l'utilisé, il faut s'accrocher.   à fuire absolument !!! </t>
  </si>
  <si>
    <t>02/07/2021</t>
  </si>
  <si>
    <t>elylago-57263</t>
  </si>
  <si>
    <t>À fuir . Impossible à joindre en cas de sinistre . Victime d un accident avec une personne avec 2.4g mais nous avons quand même été tenue responsable. Chercher l'erreur .... Et le sentiment d être tenu responsable d avoir blessé mes enfants .</t>
  </si>
  <si>
    <t>11/09/2017</t>
  </si>
  <si>
    <t>steph743-85725</t>
  </si>
  <si>
    <t>Si vous avez juste besoin d'une assurance pour être en règle vis à vis des forces de l'ordre, alors oui. Si vous avez besoin d'une assurance pour vous assister en cas de sinistre, alors non. Véhicule assuré tous risques et accidenté mi décembre 2019. Et oui, c'est récent. Non responsable (Refus de priorité à droite) réparable mais trop de frais, je l'ai cédé à la compagnie. A ce jour, Vendredi 10 Janvier 2020, j'ai renvoyé la carte grise, le double des clés...je ne suis plus propriétaire de mon automobile qui a été expertisé quelques jours après l'accident. Lolivier assurance me certifie ne jamais avoir reçu le rapport d'expertise, alors que je suis en sa possession depuis  fin Décembre. J'ai vendu mon véhicule, et je ne suis pas payé. Que feriez-vous à ma place...? Et oui : case gendarmerie ce jour. Fuyez, fuyez, fuyez...Vous voila prévenus.</t>
  </si>
  <si>
    <t>10/01/2020</t>
  </si>
  <si>
    <t>gregory-g-130645</t>
  </si>
  <si>
    <t>TOUT EST NICKEL
assurance au top,  dépannage express, et bien organisé.
Assurances tres bon rapport qualité prix
je recommande vivement ces assureurs, surtout aux jeunes permis moto.</t>
  </si>
  <si>
    <t>ngawang-66445</t>
  </si>
  <si>
    <t>En arrêt pour grave maladie depuis le 16 mars 2018, nous sommes le 28 aout 2018, je n ai toujours pas été indemnisée. C est idiot, moi qui avait naïvement compté sur cette indemnisation puisque je suis profession libérale et ne touche aucun revenu si je ne travaille pas... comment suis-je censée faire pour manger ?</t>
  </si>
  <si>
    <t>28/08/2018</t>
  </si>
  <si>
    <t>christian-n-105430</t>
  </si>
  <si>
    <t>je suis satisfait du service et le prix est compétitif, la transaction s'effectue bien, et les garanties du contrat sont satisfaisantes, je recommande DirectAssurance</t>
  </si>
  <si>
    <t>04/03/2021</t>
  </si>
  <si>
    <t>fourrier-l-135378</t>
  </si>
  <si>
    <t xml:space="preserve">enfin une assurance a votre écoute   service commercial impeccable  et les interlocutrices toujours aimables et en plus les prix sont vraiment excellent   5 -ème contrats chez eux </t>
  </si>
  <si>
    <t>pierre-l-134795</t>
  </si>
  <si>
    <t xml:space="preserve">Demande rapide simple. Prix correct site facile à trouver. Facile d'utilisation pour le site. Pas de frais d'adhésion. Prix correct. Site simple à utiliser </t>
  </si>
  <si>
    <t>francois-d-102991</t>
  </si>
  <si>
    <t>Client chez AMV depuis une dizaine d’années, j’ai toujours été satisfait des échanges que j’ai pu avoir avec eux. Service client accessible facilement par téléphone, conseils pertinents des conseillers. N’essaie pas à tout prix de vendre leurs assurances, à toujours une démarche pertinente.</t>
  </si>
  <si>
    <t>21/01/2021</t>
  </si>
  <si>
    <t>doudou-115216</t>
  </si>
  <si>
    <t>Je suis tomber en panne avec mon scooter. J appel l assistance , quelques décroche au bout de 30 minutes , j expliqué que je suis en panne et la personne au téléphone me dit en gros que vous avez pas prix l assistance 0 km donc vous vous demerdé !!!!!! Une honte .je vais aller voir ailleurs avec tous mes contract ......on paye une assurance pour rien encore une fois une honte ....</t>
  </si>
  <si>
    <t>28/05/2021</t>
  </si>
  <si>
    <t>carpentier-heitz-s-131004</t>
  </si>
  <si>
    <t>tres satisfaite simple et rapide les prix sont vraiment competitifs !!! merci l olivier assurance je recommanderais sans aucune hesitation a tout mon entourage</t>
  </si>
  <si>
    <t>lacompagniedesoi-110526</t>
  </si>
  <si>
    <t>Bonjour,
Nous vous écrivons pour vous faire part de notre très grande insatisfaction concernant AXA TRAVEL INSURANCE. Nous sommes une association, une compagnie de danse contemporaine qui, d'ordinaire, présente ses spectacles au niveau international. Dans le cadre de la création d'une pièce avec des artistes cubains, nous avons fait des réservations de vol avec la compagnie aérienne Air Caraïbes.
La situation sanitaire a amené Air Caraïbes a annulé ces vols et elle nous a remboursé assez rapidement. Cependant, nous avions souscrit une assurance multirisques AXA TRAVEL INSURANCE, partenaire de la compagnie aérienne, au moment de l'achat des billets, pour couvrir les passagers.
Nous avons contacté AXA TRAVEL INSURANCE, pour leur demander de bien vouloir changer les termes du contrat et de couvrir les nouveaux vols que nous devions prendre. Dans le cas contraire, de nous rembourser les frais de souscription d'assurance. La réponse de l'assureur :
"Monsieur,
Nous sommes au regret de vous informer que nous ne pouvons donner une suite favorable à votre demande. [...] Nous sommes dans l'impossibilité de rembourser les frais relatifs à votre sinistre car ce dernier n'est malheureusement pas couvert par les garanties du contrat Air Caraïbes. En effet, la police d'assurance vous couvre en cas d'annulation de votre voyage pour des causes spécifiques et le motif pour lequel vous annulez votre voyage n'y correspond pas.
À titre indicatif, nous faisons référence au libellé des conditions générales en page 20 et en particulier au paragraphe suivant : " 6.8 Exclusions spécifiques à la garantie d'assurance annulation de Voyage :
Les exclusions communes à toutes les garanties sont applicables, en outre, sont exclues les annulations consécutives à l'un des évènements ou circonstances suivants :
- les annulations du fait du transporteur ou de l'organisateur de Voyage, quelle qu'en soit la cause ; ''
Nous avons donc répondu qu'il ne s'agissait pas d'un sinistre, mais d'un remboursement pour la non fourniture d'une prestation de services. L'assureur ne pouvant assurer ces passagers que si ils prennent ce vol et uniquement ce vol. Ce qui est donc impossible.
S'en suivent, plusieurs échanges avec Air Caraïbes et l'assureur, nous sommes renvoyés de services en services. Les allers et retours entre les deux sociétés ont démontré une chose : ni AXA, ni Air Caraïbes ne souhaitent rembourser les frais de souscription de cette police d'assurance. Aucun protocole dans leur partenariat n'est en place dans ce cas de figure et le client est ignoré.
Attention donc à éviter de prendre cette assurance, surtout dans cette période où les annulations de vols sont fréquentes, AXA TRAVEL INSURANCE ne vous remboursera pas et le service client est quasi-inexistant.
Nos félicitations à AXA pour son professionnalisme, son éthique et sa solidarité avec une association, œuvrant dans le champ actuellement sinistré du spectacle vivant, dans cette crise du COVID-19.</t>
  </si>
  <si>
    <t>multirisque-professionnelle</t>
  </si>
  <si>
    <t>bbm-71901</t>
  </si>
  <si>
    <t xml:space="preserve">Démarchage abusif des que j au fais une étude comparative sur le net. J ai décidé d y souscrire après réflexion.  Je suis extrêmement déçue.service client incompétent pas du commercial.  Des manquements importants au suivi notamment le remboursement via tele transmission , aucunes de mes réclamations via l onglet adhérent et service client n ont été traitées.  Attente interminable au téléphone.  Des remboursements dérisoire.  Je déconseille </t>
  </si>
  <si>
    <t>06/03/2019</t>
  </si>
  <si>
    <t>01/03/2019</t>
  </si>
  <si>
    <t>assure-60600</t>
  </si>
  <si>
    <t>1ere année cotisation alléchante 26% en plus 250 euros la deuxième année sans raisons justifiées explication bidon attention assurance qui augmente la prime d'une année sur l'autre sans évènement.</t>
  </si>
  <si>
    <t>17/01/2018</t>
  </si>
  <si>
    <t>claudine-117937</t>
  </si>
  <si>
    <t>Je suis très insatisfaite car j ai eu un sinistre incendie et j attends toujours la contre expertise pour avoir le remboursement pour faire les travaux je les relance mais ils ne bougent pas je commence a en avoir marre chez eux j ai deux assurances voiture la mutuelle santé et l assurance habitation le paiement est fait tous les mois sans problèmes et eux voilà pour la somme qu ils ont a rembourser qui n ai pas énorme j attends toujours avec mon mari ont pensent que nous allons changer d assurance si le remboursement pour notre sinistre est trop long nous avons prévu de retirer toutes nos assurances car on en a marre d attendre et allons faire appel a un avocat voilà</t>
  </si>
  <si>
    <t>23/06/2021</t>
  </si>
  <si>
    <t>guy-m-122077</t>
  </si>
  <si>
    <t>Voila des années que je suis assuré à la GMF, je trouve dommage qu'il n'y ai pas d'assurance pour le robot tondeur que je viens d'acquérir.
J'ai donc été obligé de m'adresser à une autre compagnie d'assurance.</t>
  </si>
  <si>
    <t>le-jeune-g-134134</t>
  </si>
  <si>
    <t>le contrat est un peu cher, je n'ai pas le meme prix sur le site internet, il y a 100 euros de différence. nous avons mis les memes conditions et informations.
est il possible d'avoir la réduction de 100 euros, car c'est ce qui était écrit sur le site internet</t>
  </si>
  <si>
    <t>23/09/2021</t>
  </si>
  <si>
    <t>kate-95670</t>
  </si>
  <si>
    <t xml:space="preserve">Le professionnalisme des conseillers., l'accueil chaleureux, la bienveillance, l'efficacité, la simplicité pour l'envoi et la réception des documents..
Je recommande vivement. </t>
  </si>
  <si>
    <t>30/07/2020</t>
  </si>
  <si>
    <t>maluar-65207</t>
  </si>
  <si>
    <t>J’ai souscrit une assurance auto pour ma fille qui venait de réussir son permis. La Maif m’a demandé en contrepartie de mettre mon  assurance habitation chez eux. 
En août j’ai décidé de regrouper toutes mes assurances à la Maif : mon véhicule, m’a protection juridique et ma garantie accidents de la vie .
Avec mon véhicule personnel, j’ai eu 3 sinistres (accrochages sur parking) dont un occasionné par ma fille, alors en conduite accompagnée. J’ai déclaré ces 3 sinistres et la Maif m’a appliqué le malus correspondant … Mais au bout d’1 mois j’ai reçu un appel me disant que finalement la Maif ne pouvait pas assurer mon véhicule  car j’avais eu 3 sinistres… alors que je les avais déclarés à la souscription… ils m’ont répondu que la personne que j’avais eu lors de la souscription n’aurait pas dû accepter de m’assurer ! Je quitte mon assureur pour la Maif, qui  me dit au bout d’1 mois qu’elle ne peut pas m’assurer ! Un de leur agent commet une erreur et c’est moi qui en subis les conséquences ! Par ailleurs la MAIF n’a pas respecté le devoir d’information pré -contractuel : la conseillère aurait dû m’indiquer que mon assurance risquait d’être résiliée au bout d’un mois . Manque de professionnalisme et incompétence … À FUIR !!!</t>
  </si>
  <si>
    <t>02/10/2021</t>
  </si>
  <si>
    <t>m-a-72117</t>
  </si>
  <si>
    <t xml:space="preserve">Victime d'un vol reconnu par la partie adverse et dont le préjudice à été chiffré et accepté mon agence dit ne pas avoir accès à mon dossier et ne peut rien faire. Est ce une volonté de ne pas rembourser ses sociétaires ? Ou un manque de compétence de ses employés ? </t>
  </si>
  <si>
    <t>13/03/2019</t>
  </si>
  <si>
    <t>maeva-v-106283</t>
  </si>
  <si>
    <t xml:space="preserve">Tres peu satisfaite que ce soit des tarifs ou encore du service client
Tarif tres superieur par rapport a la concurence et service client etranger qui ne reponds pas a mes demandes. J ai eu un probleme de resiliation, ils m ont envoye un mail pour me dire que j etais bien resiliee puis voyant que je n etais toujours pas remboursee je les appele et me disent que la resiliation n a pas ete prisent en compte et que le mail qui confirme ma resiliation et en faite une erreur de leur part je suis soulagee de ne plus etre chew eux et vive la maif qui m a trouve une solution </t>
  </si>
  <si>
    <t>11/03/2021</t>
  </si>
  <si>
    <t>faujmp-64881</t>
  </si>
  <si>
    <t>Bonnes explications et disponibilité. S'adapte aux besoins et aux demandes.</t>
  </si>
  <si>
    <t>19/06/2018</t>
  </si>
  <si>
    <t>pierrotpas-60270</t>
  </si>
  <si>
    <t xml:space="preserve">je suis vraiment mecontent d'AXA depuis longtemps rentabilité décevante délais de paiement longs mauvais conseil en placement </t>
  </si>
  <si>
    <t>08/01/2018</t>
  </si>
  <si>
    <t>gauthier-m-113505</t>
  </si>
  <si>
    <t xml:space="preserve">Je suis très satisfaite du service assurance auto de l'Olivier. Simple, rapide et pratique avec des prix corrects. Je recommande l'assurance multi-auto qui est avantageuse. </t>
  </si>
  <si>
    <t>12/05/2021</t>
  </si>
  <si>
    <t>pierre-60105</t>
  </si>
  <si>
    <t xml:space="preserve">Une facilité pour souscrire en 24 h! </t>
  </si>
  <si>
    <t>gertrude-76895</t>
  </si>
  <si>
    <t>trés rapide pour trouver une mutuelle attractive.il a trés bien cible mes objectifs;tres precis</t>
  </si>
  <si>
    <t>18/06/2019</t>
  </si>
  <si>
    <t>ness-64000</t>
  </si>
  <si>
    <t xml:space="preserve">Direct Assurance n a pas pris en compte mon accusé de réception avec ma demande de résiliation incluant le certificat de cessation de véhicule. Ils ont entame des poursuites judiciaires pour non-paiement de la nouvelle annuité!! </t>
  </si>
  <si>
    <t>14/05/2018</t>
  </si>
  <si>
    <t>exclientallianz-67546</t>
  </si>
  <si>
    <t xml:space="preserve">prélèvements abusifs sans aucun mandat EGAL plainte au pénal
refus de résiliation EGAL plainte acpr, orias, afub, dgccrf
ET partage d'expérience malheureuse auprès des réseaux d'entreprises, réseaux sociaux, média locaux etc
</t>
  </si>
  <si>
    <t>10/10/2018</t>
  </si>
  <si>
    <t>01/10/2018</t>
  </si>
  <si>
    <t>rodo79-85352</t>
  </si>
  <si>
    <t>Je suis assuré depuis presque un an et cela fait plus de six mois que je bataille avec leurs services concernant un double contrat pour le même animal . Ayant un chien de catégorie 2 nous avons un permis et ce permis est au nom et prénom de ma femme hors lorsque nous avons pris l'assurance je l'avait mis à mon nom et prénom sauf que le permis étant au prénom de ma femme il a fallut changer et c'est là que leur stratégie fonctionne bien : pas de souci monsieur , faite un nouveau contrat au prénom de votre femme et nous allons nous occuper de votre contrat . Sauf que cela dure depuis plus de six mois où nous payons deux contrat malgré mes mails et appels . Du coup je viens de résilier par lettre recommandé les deux contrats . Suite au prochain épisode .</t>
  </si>
  <si>
    <t>jp-96628</t>
  </si>
  <si>
    <t>A fuir ABSOLUMENT
Si vous avez besoin de rien ils sont parfaits
aucune réponse aux réclamations, arbitrages par une belle parleuse qui ne respecte pas ses engagements
demander des écrits de tout ce qui est échangé verbalement</t>
  </si>
  <si>
    <t>25/08/2020</t>
  </si>
  <si>
    <t>guillaume-g-112314</t>
  </si>
  <si>
    <t xml:space="preserve">Le service est bien néanmoins je ne peux pas m'assurer en tout risque pour le moment et je trouve sa pas normal quand je voit que certaines concurrence l'accepte </t>
  </si>
  <si>
    <t>alain-d-111941</t>
  </si>
  <si>
    <t>très bien au départ ais les tarifs évoluent plus vite vers l'augmentation sinon rien d'autre a ajouter  j'espère que mon avis fera évoluer les choses  dans le bon sens c'est a dire  le meilleur constant</t>
  </si>
  <si>
    <t>28/04/2021</t>
  </si>
  <si>
    <t>lyse-s-115791</t>
  </si>
  <si>
    <t>Tres bien . Je suis entièrement satisfaite de la GMF, aussi bien par leur qualité d'écoute que par leurs prestations. Les  personnes que l'on peut avoir par téléphone sont très compétentes et agréables.</t>
  </si>
  <si>
    <t>celine-o-111812</t>
  </si>
  <si>
    <t>Satisfaite du service, le conseiller est très réactif aux demandes faîtes par mail et facilement joignable par téléphone. En espérant que le suivi soit aussi efficace si un jour nous devons faire jouer l'assurance</t>
  </si>
  <si>
    <t>laurent-94873</t>
  </si>
  <si>
    <t>Assuré le 26/05/2020 pour une 125 , payment par virement pour les 3 premiers mois, tout les document envoyer mais pas de carte verte malgré les coups de fils au services clients et les"ne vous inquieter pas cela est en cours de traitement...COVID et blabla!) , le 20 juillet un mail me sinifie annulation d'assurance pour cause de non reception des pieces demandé .... A FUIR !!!!</t>
  </si>
  <si>
    <t>22/07/2020</t>
  </si>
  <si>
    <t>topazeisis02-56776</t>
  </si>
  <si>
    <t xml:space="preserve">Après avoir résilier à la Macif en mars 2017 ma banque m ayant fait une offre .ma banque s est occupée de la résiliationdonc J étais pris  en charge par ma banque 1mois àpres soit le 29 avril,la Macif malgré tout à continué de me prélever mai juin juillet malgré mes coups de fil J ai Meme eus le droit à un conseiller qui M à Tres mal parlé me disant c est comme ça et pas autrement la résistions n est pas bonne alors que ma banque C À     M à bien montré les preuves du contraire donc ils ont de nouveau envoÿé ses preuves demandé par la Macif donc au mois de juin qui a continué en juillet de me prélever nouveau coup de fil et malheureusement tjrs affaire à cet homme grossier qui M à textuellement dit et bien S est à eux de vous rembourser ses trois mois ils N ont qu à se retirer c est quand même un peu fort fin juillet tjrs mécontente je rappellé une nouvelles fois la Macif enfin J ai en ligne une femme très correcte à qui J explique la situation comme quoi je me retrouvais à payér 2 assurances pour un Meme véhicule elle me dit ne quittez pas je vérifie votre dossier et me répond en effet tout est à jour  je signale au service concernée pour que L on vous rembourse ses trois mois que nous vous avons prélevez par erreur ..donc là je reçois un courrier en août 2017 et là je tombe des nues au lieu de mon remboursement de 140,04 soit trois prélèvements de 46,68. on me répond vous nous avez par courrier demandé la résiliation de votre C3 qui prend  donc fin le 28/04/2017 bon ça d accord la date est bonne à part que ce N est pas moi qui est envoÿé un courrier pour la résiliation mais ma banque qui S est chargé de cette résiliation pacifica  crédit agricole  Mais passons   Et on continue à me dire vous conservez tjrs votre contrat garantie accident de décès oû d invalidité  alors là il se moque littéralement de moi non je N ai pas garder quoique ce soit comme garantie chez eux puisque avec ma nouvelle assurance  J ai tout ça  Donc au lieu de mes 140 .04 que je dois percevoir ils me ponctionne sur la somme qui me doivent ils M annoncent du reste qui me reste à percevoir la somme de 44,82 au lieu des 140,04 soit la Macif me vole de 95,22  bravo J avoue que J avais une bonne opinion d eux bon J ai résilier Parceque L on M à fait une offre plus avantageuse mais là je suis dégoûter donc méfiance si vous devez résilier à la Macif l assurance qui N accepte pas que ses clients puissent résilier donc je vais voir avec le service pacifica avocat puisse J ai une garantie  défense pour récupérer cette somme de plus étant adhérente Que choisir  je vais leur soumettre ce problème   Je viens de perdre mon époux il y a 8 mois  je N ai qu une petite retraite et J aurai aimer de ne pas avoir à supporter en plus tout ses désagréments </t>
  </si>
  <si>
    <t>21/08/2017</t>
  </si>
  <si>
    <t>georges-s-115366</t>
  </si>
  <si>
    <t>Je suis satisfait de vos service...Le tarif me semble un peu excessif dans la mesure où je ne circule plus beaucoup avec mon véhicule...
Cordialement
S.Georges</t>
  </si>
  <si>
    <t>31/05/2021</t>
  </si>
  <si>
    <t>david-h-115054</t>
  </si>
  <si>
    <t xml:space="preserve">Les devis sont rapides et clairs. Les tarifs sont modulables et raisonnables. Je verrai si l assurance est efficace lorsque  je rencontrerai un problème </t>
  </si>
  <si>
    <t>27/05/2021</t>
  </si>
  <si>
    <t>andre-55586</t>
  </si>
  <si>
    <t>chez groupama s'assurer c'est psychique les periode ou vous n'avez pas de sinistre vous pensez etre protege mais le jour ou vous avez besoin de votre contrat rien ne vas et c la que vous vous apercevez que vous payez pour payer les salaires des employers groupama</t>
  </si>
  <si>
    <t>23/06/2017</t>
  </si>
  <si>
    <t>mimi-69345</t>
  </si>
  <si>
    <t>Emilie m'a très bien renseignée, pour créer ma nouvelle adresse mail et pour une prise en charge pour ma rééducation suite à une opération</t>
  </si>
  <si>
    <t>12/12/2018</t>
  </si>
  <si>
    <t>stephane-m-114575</t>
  </si>
  <si>
    <t>Mécontent de la relation avec le Lcl, j'ai décidé de changer d'assureur. De plus vos prix sont attractifs. en espérant que notre relation soit meilleure.</t>
  </si>
  <si>
    <t>22/05/2021</t>
  </si>
  <si>
    <t>alexandra-m-131092</t>
  </si>
  <si>
    <t>Très satisfaite. Prix très intéressants. Je recommande fortement cette assurance. Rapidité et efficacité. 
Sans aucun soucis et d'un simplicité d'utilisation.</t>
  </si>
  <si>
    <t>nadia-r-112361</t>
  </si>
  <si>
    <t>je suis tres satisfait de votre service assurance moto en ligne! il est impeccable a tous les niveaux.! bravo et changez rien! c'est parfait.! cordialement!</t>
  </si>
  <si>
    <t>02/05/2021</t>
  </si>
  <si>
    <t>pellec-64198</t>
  </si>
  <si>
    <t>JE SUIS SATISFAIT DE LA chargée de clientèle par la clarté du dialogue ce qui m'a permis  d'optertout de suite de changer de formule et de mutuelle qui m'offrait les garanties que je voulais</t>
  </si>
  <si>
    <t>25/05/2018</t>
  </si>
  <si>
    <t>cristina-h-106106</t>
  </si>
  <si>
    <t>Je suis très satisfaite du service clientele avec des informations claires et  efficace.
J'espère que cela restera si positif dans le temps!
BRAVO!
Merci</t>
  </si>
  <si>
    <t>10/03/2021</t>
  </si>
  <si>
    <t>nathalie-i-107340</t>
  </si>
  <si>
    <t>prix un peu élevé vu le contexte, utilisation de nos deux voitures réduite de moitié en 2020 car télétravail d'un coté et accident de travail de l'autre</t>
  </si>
  <si>
    <t>21/03/2021</t>
  </si>
  <si>
    <t>caro-68135</t>
  </si>
  <si>
    <t>je ne suis pas encore cliente mais pour l'instant disponibilité de la conseillère et écoute de cette dernière</t>
  </si>
  <si>
    <t>28/10/2018</t>
  </si>
  <si>
    <t>tombosoa2-74956</t>
  </si>
  <si>
    <t xml:space="preserve">Qualité prix
Efficace, ils sont des bon conseils pour la mutuelle. 
On a comparé la mutuelle ensemble !
</t>
  </si>
  <si>
    <t>10/04/2019</t>
  </si>
  <si>
    <t>claroche-86304</t>
  </si>
  <si>
    <t>Recement eu un problème avec un remboursement. 
Heureusement que votre conseiller m'a accompagné dans les démarches pour un remboursement facile.</t>
  </si>
  <si>
    <t>Assur Bon Plan</t>
  </si>
  <si>
    <t>24/01/2020</t>
  </si>
  <si>
    <t>pj-97010</t>
  </si>
  <si>
    <t>Au début ravie d'avoir souscrit un contrat chez cet assureur car bon accueil avec un agent de cette assurance que je ne connaissais pas avant, je me suis aperçue rapidement que, une fois le contrat souscrit et malgré le fait que l'agent m'ai signalé que je pouvais le contacter pour toute question et qu'il suivait mon contrat, il n'était plus joignable. 
L'accueil téléphonique n'est pas très agréable et sec dans le ton. Vous êtes mal accueilli lorsque vous souhaitez parler à votre agent. On vous répond au téléphone que l'agent en question ne suit plus mon contrat et qu'ils ne peuvent pas lui laisser de message ; ce que je trouve aberrant et vraiment anti-commercial vis-à-vis du client.
C'est pourquoi j'ai décidé de changer d'assureur pour mes animaux.</t>
  </si>
  <si>
    <t>03/09/2020</t>
  </si>
  <si>
    <t>chassaing-l-133565</t>
  </si>
  <si>
    <t>Très satisfait de cette assurance et je recommande cette assurance à tout me mode  personnel à votre l'ecoute et prêt à répondre à toutes vos questions</t>
  </si>
  <si>
    <t>20/09/2021</t>
  </si>
  <si>
    <t>kamboui14-63013</t>
  </si>
  <si>
    <t>j'ai un soucis depuis un an avec un contrat excelium ou il met impossible de faire le moindre retrait par contre un depot aucun soucis cela fait 5 fois que les agents d'axa se déplacent soit disant pour se problème mais a chaque fois c'est uniquement pour modifier un contrat ou vous en faire ouvrir un autre certain sont a la limite du correcte !!!</t>
  </si>
  <si>
    <t>18/04/2018</t>
  </si>
  <si>
    <t>flica-137479</t>
  </si>
  <si>
    <t xml:space="preserve">Assurance qui semble au prime abord très bien.... Mais helas, au moment des remboursements rien ne correspond à la garantie souscrite.... Décevant j attends la fin de l année pour aller voir ailleurs. </t>
  </si>
  <si>
    <t>14/10/2021</t>
  </si>
  <si>
    <t>bernard-a-113239</t>
  </si>
  <si>
    <t>Tres satisfait par la réactivité des collaborateurs et au suivi de mon contrat. Je recommande L'olivier à mon entourage comme assurance. Un grand bravo aux équipes en cette période particulière.</t>
  </si>
  <si>
    <t>10/05/2021</t>
  </si>
  <si>
    <t>sophie-l-107735</t>
  </si>
  <si>
    <t>Site pour devis ne fonctionne qu'à travers Les Furêts, pas en direct
Les prix ont lair intéressants, nous verrons le moment venu pour les garanties et leur prise en compte :)</t>
  </si>
  <si>
    <t>moi-101506</t>
  </si>
  <si>
    <t>Suite à un démarchage abusif par un courtier extérieur, je ne souhaite pas donner suite.
Je ne met pas en cause vos services, mais les moyens mis en œuvre pour accrocher de nouveaux clients, qui me paraissent (presque) frauduleux.
Par contre les échanges téléphoniques avec "Khadija" pour annuler ce contrat, ont été des plus agréables, clairs et pertinents. 
Dans l'attente d'un bon dénouement....</t>
  </si>
  <si>
    <t>16/12/2020</t>
  </si>
  <si>
    <t>prud'homme-lacroix-c-113845</t>
  </si>
  <si>
    <t>Satisfaite mais impossible de se faire rappeler par les agents pour demander conseil avant la souscription au contrat ce qui rend les choses relativement compliquées.</t>
  </si>
  <si>
    <t>16/05/2021</t>
  </si>
  <si>
    <t>patoux-67261</t>
  </si>
  <si>
    <t>TRES CLAIRE ET PRECIS ACEUIL TRES SYMPA MUTUELLE ETPERSONEL TRES COMPETANT MERCI</t>
  </si>
  <si>
    <t>02/10/2018</t>
  </si>
  <si>
    <t>runtinou-88589</t>
  </si>
  <si>
    <t>Service client incompetent , face à problèmes lors de la souscription: erreur destinataire du courrier de resiliation, erreur de numero d'adherent, incapable de resilier dans le cadre de la loi Hamùon au bout de 3 mois</t>
  </si>
  <si>
    <t>31/03/2020</t>
  </si>
  <si>
    <t>sabit-n-111976</t>
  </si>
  <si>
    <t>Prix corrects, bonne assistance téléphonique à la souscription, garanties claires, interface agréable, bonnes offres de parrainage et promotions en tout genre</t>
  </si>
  <si>
    <t>vache1traire-58342</t>
  </si>
  <si>
    <t>Le moins cher sur le marché...Une fois vous avez un incident panne ou accident vous allez vous rendre compte que vous avez payé pour avoir une carte verte pas plus.
J'ai tombé en panne le vendredi, et ils m'ont trouvé une voiture de location le lundi seulement. Il fallait que je rentre à pieds avec mon fils de 6 ans, en faisant 10 km à pieds, alors que je suis assuré tout risque + toutes options disponibles. Pour eux c'est le week end, donc pas de taxi disponible et pas de voiture non plus.
C'est pratique pour garantir une voiture non roulante.</t>
  </si>
  <si>
    <t>24/10/2017</t>
  </si>
  <si>
    <t>julie-88630</t>
  </si>
  <si>
    <t xml:space="preserve">Je paye 95euros par mois (assurance entreprise obligatoire), exorbitant sachant que ce n'est que la part salarié. Les garanties ne sont pas particulièrement meilleures qu'ailleurs, je continue à payer les dépassements. Ca fait déjà 2 mois que j'attends le remboursement de mes lunettes de vue, toujours rien malgré de nombreux appels... </t>
  </si>
  <si>
    <t>02/04/2020</t>
  </si>
  <si>
    <t>vct-71818</t>
  </si>
  <si>
    <t>Je souhaitais alerter le plus de monde possible sur les pratiques de Génération Santé.
Je me suis retrouvé entre deux emplois pendant un mois et donc sans mutuelle obligatoire.
J ai souscrit une mutuelle pour cette période pour couvrir mes enfants en cas de problème pendant ce mois.
Pour avoir tardé à transmettre le certificat d affiliation obligatoire Génération refuse de résilier mon contrat et me prélève plus de 140e par mois.
Génération a la preuve que je ne leur ferai rien dépenser étant donné qu ils ont une attestation de ma nouvelle mutuelle obligatoire mais refuse de résilier et obligent a payer pendant 12 mois.
Pour mettre mes enfants en sécurité un mois je me retrouve a payer plus de 1700e et génération ne veut rien entendre. Cette pratique est honteuse.</t>
  </si>
  <si>
    <t>18/03/2019</t>
  </si>
  <si>
    <t>teufeu-102552</t>
  </si>
  <si>
    <t>Toujours assuré rapidement au juste tarif et jamais de souci.
J'ai possédé plusieurs style de moto, de quad et j'ai toujours fait confiance à AMV.
Je n'ai jamais eu non plus de vol ou accident d'où un dossier jusqu'à lors sans problème.
Les réponses d'AMV sont toujours très rapides et claires.
Si prochaine moto, je serai à nouveau assuré chez AMV.</t>
  </si>
  <si>
    <t>13/01/2021</t>
  </si>
  <si>
    <t>sebastien-95411</t>
  </si>
  <si>
    <t xml:space="preserve">Cette assurance laisse totalement tombé c'est clients pour ne pas dire (fidèle clients +12 ans) sous prétexte d'être assuré au tiers pour un sinistre matériel non responsable. Voilà maintenant 6 mois que j'attends le feu vert pour faire réparer mon véhicule et l'assureur me balade de semaine en semaine. </t>
  </si>
  <si>
    <t>28/07/2020</t>
  </si>
  <si>
    <t>arf-99378</t>
  </si>
  <si>
    <t>Catastrophique, je n'ai que des problèmes depuis que je suis chez eux. 
Dernier en date, ils font tout pour que je ne puisse pas résilier mon contrat mutuelle.
Fin août j'ai eu deux conseillés différents au téléphone qui m'ont dit tous les deux d'envoyer mon nouveau contrat de travail en recommandé pour résilier mon contrat (on m'a même dit de joindre mes billets d'avion parce que je partais à l'étranger, n'importe quoi ! ).
J'ai tout envoyé et maintenant je reçois un courrier dans lequel on me dit qu'il manque des documents ! 
J'appelle le service client (qui est vraiment déplorable), apparemment ils n'ont reçu qu'une lettre en mon nom et pas mon contrat et la "conseillère" me dit : "en plus vous l'avez envoyé en recommandé" ! Il serait temps qu'ils ''s'harmonisent" chez harmonie ! 
Nouveau discours : je dois leur transmettre une attestation nominative, signée de mon employeur, mais directement sur mon espace personnel. 
Ah oui et service client qui ne peut pas rappeler les personnes lorsque la communication est coupée, c'est pratique pour retomber sur le ou la conseiller.e avec qui on était en communication.</t>
  </si>
  <si>
    <t>29/10/2020</t>
  </si>
  <si>
    <t>claire-r-123431</t>
  </si>
  <si>
    <t>Tout a été simple et rapide.prix compétitifs après de multiples devis auprès d autres assurances.Je vous recommanderai si besoin a mon entourage.merci</t>
  </si>
  <si>
    <t>14/07/2021</t>
  </si>
  <si>
    <t>turumel-g-137061</t>
  </si>
  <si>
    <t xml:space="preserve">Je suis satisfait, 
Rapide, efficace, et très clair.
tarifs correct.
je vais avoir 2 autres véhicules à assurer chez vous et pourquoi pas plus si besoin.
Merci.
</t>
  </si>
  <si>
    <t>11/10/2021</t>
  </si>
  <si>
    <t>sebastien-85533</t>
  </si>
  <si>
    <t>A fuir !!!!!!!!!!!!!</t>
  </si>
  <si>
    <t>06/01/2020</t>
  </si>
  <si>
    <t>nicolas-g-107411</t>
  </si>
  <si>
    <t>Le cout des contrats augmente d'une année sur l'autre sans aucune justification.
Aucune prise en charge à ce jour,  DIRECT ASSURANCE trouve toujours une clause pour ne pas honorer le contrat.</t>
  </si>
  <si>
    <t>22/03/2021</t>
  </si>
  <si>
    <t>fabien-w-99002</t>
  </si>
  <si>
    <t>Tjs très réactif. Heureusement, nous ne le sollicitions pas trop souvent mais dès que nécessaire, ils sont disponibles pour nous rappeler ce qui est prévu dans notre contrat.</t>
  </si>
  <si>
    <t>ulmarson-108832</t>
  </si>
  <si>
    <t>Toujours satisfait des services de la MAIF, j'ai fait l'erreur de partir à la concurrence pour un tarif 30% moins cher... Au final je paie presque aussi cher (frais cachés, révélès après contrat) et le service de la concurrence est nul.</t>
  </si>
  <si>
    <t>aurelien-r-109765</t>
  </si>
  <si>
    <t>Satisfait des prix et du service Internet, mais les assurances aujourd'hui sont de plus en plus cher, je trouve qu'il manque quand même une section spécialisé pour les motos tout-terrain.</t>
  </si>
  <si>
    <t>06/11/2021</t>
  </si>
  <si>
    <t>dany-116662</t>
  </si>
  <si>
    <t>Un avis pour dire merci à la GMF.
Ma pompe de piscine de plus de 2 ans a été inondée accidentellement alors qu'elle était en fonctionnement, cours-circuit.... et impossible de mettre en fonctionnement après ouverture, séchage de longues minutes, exposition au soleil.....
Un appel à la GMF, oui j'étais assuré mais pas en remplacement en appareil neuf, vétusté de la pompe 178 euros (sur 439 prix neuf) à ma charge. les travaux de mise en fonctionnement ( il a fallu modifier les 2 arrivées en 1 donc modifier emplacement des vannes, avec changement....donc baisser niveau d'eau dans la piscine) ont été pris en   totalement en charge, il ne me reste que les 10 m3 d'eau que j'ai perdus ...Le remboursement s'élève à 611 euros.
Question à la GMF, pourquoi passer par un cabinet d'expertises pour un petit sinistre  comme le mien?????
De plus le personnel à l'accueil, j'ai eu 2 personnes différentes très agréables ainsi que la personne au règlement des sinistres, merci à tous.</t>
  </si>
  <si>
    <t>patrice-105293</t>
  </si>
  <si>
    <t>Beaucoup trop chère en comparaison de la concurrence au même niveau de garanties et de prestations.
Je suis actuellement en recherche d'une alternative, 226 euros par mois n'est plus tenable.
40 ans passés à la MGP, il est temps de passer à un meilleur rapport qualité/prix, d'autant que j'ai eu la surprise de revenir en arrière, devant désormais payer l'avance, puis remplir et envoyer les feuilles de soins.
Dommage !</t>
  </si>
  <si>
    <t>03/03/2021</t>
  </si>
  <si>
    <t>daniel-r-109389</t>
  </si>
  <si>
    <t>Site propre et facile d'accès. Les tarifs sont plutôt bons au regard des concurrents et l'application mobile est performante. je vais tester la réactivité en cas de modification du contrat.
seul reproche sur le site mobile pas toutes les possibilités.</t>
  </si>
  <si>
    <t>07/04/2021</t>
  </si>
  <si>
    <t>jessica-74884</t>
  </si>
  <si>
    <t>L'assurance habitation de pacifica est très decevante. Aucune défense bref il faut se débrouiller et aller demander de l'aide ailleurs. Je n'en dirait pas plus tellement décu heureusement qu'il y'a d'autres assurances .</t>
  </si>
  <si>
    <t>08/04/2019</t>
  </si>
  <si>
    <t>gregoire-s-133876</t>
  </si>
  <si>
    <t>Rapide et simple
Le tout en ligne simplifie grandement les démarches.
Un tarif proposé pour un contrat à la carte , avec un prix correspondant à mes attentes</t>
  </si>
  <si>
    <t>cathy-105443</t>
  </si>
  <si>
    <t xml:space="preserve">Le service client sinistre de Allianz sont des incompétents et ont mis en place des procédures de réponses plus que douteuses. En effet, dès que mon numéro de téléphone s’affiche ils coupent la communication. J’ai bien sûr essayé avec d’autres numéros pour bien confirmer la supercherie et là comme par magie nous pouvons avoir un interlocuteur. Cela fait 3 mois que nous avons céde le véhicule à la compagnie après un accident de la circulation et toujours aucune indemnisation. Les lettres recommandées rédigées par mon avocat sont aussi restées sans réponses. 22 ans que je suis cliente (avant allianz, AGF) ainsi que toute la famille. Je suis très très déçue et je pense quitter la compagnie. </t>
  </si>
  <si>
    <t>sv06-132565</t>
  </si>
  <si>
    <t>je suis copropriétaire non occupant au 6e étage d'un immeuble. Un dégât des eaux est survenu dans l'appartement dans des canalisations d'eau chaude et froide non accessibles passant dans la dalle inondant du 6e au 2e étage de l'immeuble.  Après impossibilité de localiser la fuite sans détruire la dalle de façon aléatoire il a été décidé dans l'urgence (l'appartement n'étant plus habitable) de mettre les canalisations d'eau chaude et d'eau froide en apparent. Allianz a refusé de prendre en charge les frais sous prétexte qu'ils ne prenaient en charge que la recherche destructrice.
Au total: si vous n'avez besoin de rien, vous pouvez compter sur Allianz !</t>
  </si>
  <si>
    <t>jean-60989</t>
  </si>
  <si>
    <t>Abus de confiance et vente forcée...
Mutuelle à fuir.
Adhérent MGET, je suis passé MGEN au 1/1/2016. Trouvant la cotisation trop élevée pour ma retraite, je prospectais auprès d'autre mutuelles dans le but de quitter MGEN fin 2016. Une cotisation de base est environ de 40.00 euros au lieu de presque 80 chez MGEN. Coïncidence (ou pas) 1 à 2 mois plus tard mes prélèvements passent à 40 euros ?   J'attends la fin 2016 et là je reçois un échéancier pour 2017 à 40 euros mensuel jusque décembre 2017.  La cotisation étant correcte je reste donc chez MGEN.
    Qu'elle n'est pas ma surprise quand fin 2017 je reçois un courrier m'informant que ma cotisation depuis janvier 2016 n'est pas de 40 mais de plus de 75 euros, en me demandant un paiement rétroactif. Evidemment j'ai contesté de suite et quitter MGEN, mais depuis c'est un harcèlement pour me forcer à payer environ 700 euros.
    De plus en décembre j'ai été prélevé sur mon compte bancaire de 254 euros sans aucune autorisation de ma part.
    Je ne m'attendais pas à ce genre de procédés de la part d'une mutuelle. C'est tout simplement de l'abus de confiance et de la vente forcée.</t>
  </si>
  <si>
    <t>31/01/2018</t>
  </si>
  <si>
    <t>kerasix-103773</t>
  </si>
  <si>
    <t>Correspondant très aimable et attentionné. J'ai eu de très bons rapports à la suite d'un incendie les dommages ont été bien évalués.J'ai aussi une mutuelle de groupe, aucun problème pour les compléments de remboursements Sécurité sociale, mais un peu chère.</t>
  </si>
  <si>
    <t>06/02/2021</t>
  </si>
  <si>
    <t>nougha-n-133153</t>
  </si>
  <si>
    <t xml:space="preserve">Mon avis et que L’olivier assurance Satisfait du service et satisfait du prix de L’olivier assurance ,très rapide et très efficace courtois des conseillers, </t>
  </si>
  <si>
    <t>amelie-b-133420</t>
  </si>
  <si>
    <t>Je ne suis pas satisfaites de garanties proposées dans mon contrats il ne couvre pas l'ensemble des risques auxquels est soumis mon habitation.
Aucunes solutions n'a été proposées pas vos services</t>
  </si>
  <si>
    <t>seraiche-m-108621</t>
  </si>
  <si>
    <t>SATISFAIT+++, rapide simple et efficace ,je conseille fortement, a voir par la suite pour le suivie de cet assurance. compliqué de donné un avis maintenant</t>
  </si>
  <si>
    <t>doume-59597</t>
  </si>
  <si>
    <t>A proscrire  augmentation des cotisations démentes
assuré en 2016, sans Problèmes , cotisation 2017 + 23%  en 2018 avis d'échéence + 32%
soit en 2 ans + 65%. Ou ils me prennent pour un américain ? ou ils se foutent des clients ?
Merci pour la confiance et la fidélité</t>
  </si>
  <si>
    <t>12/12/2017</t>
  </si>
  <si>
    <t>reza-113560</t>
  </si>
  <si>
    <t xml:space="preserve">bjr 
je souhaite baisser les garantie sur mon contrat Peugeot 208 pour passer d'une tout risque a un tiers 
votre conseiller m'a dit que le tarif va passer a cinq cent et quelque euros 
j'ai fait un devis 2282154913 et c'est 275 euros ??????????
j'en ai vraiment marre de cette assurance prq le prix et encor diffèrent ...... 
la conseillère ma dit que par ce que c'est une nouvelle souscription !!!
je ne suis pas d'accord : le produit reste le même les frais peuvent être diffèrent mais le produit en lui même a savoir assurer la 208 et le même donc je comprend pas 
rajouter a cela elle ma envoyer le devis pour la baisse de garantie et en gros vous alliez me rembourser 6.75€ !!!!!!! ce qui veux dire je baisse mes garantie mais je reste au même prix !!!!!! c'est du grand n'importe quoi 
merci de me régler le souci en urgence et de me baisser mon tarif au même temp que je baisse mes garantie 
sans cela cette fois si je déposerais vraiment  plainte a la dgccrf 
c'est pas normal qu'un prix soit pas le meme Alor qu'il propose le même service
en plus je suis client !!!! et je ne comprend pas prq vous me taxer plus qu'un nouveau client 
c'est comme cela que vous traiter vos client Fidel 
</t>
  </si>
  <si>
    <t>anthony--i-139084</t>
  </si>
  <si>
    <t xml:space="preserve">Service rapide ,assez clair maintenant a voir dans le temps quand il y aura un problème, voir leurs disponibilités. Prix correct pour une 50cc cordialement </t>
  </si>
  <si>
    <t>dudu2804-65716</t>
  </si>
  <si>
    <t>Client 315159. J’ai souscris chez eux APRES avoir vu tout les commentaires. J’ai envoyer tout les documents en mail. J’ai appeler deux fois le service clients qui m’ont confirmer avoir tout recu et ce matin je recois un mail me disant qu’ils attendent toujours mes documents. Effectivement je commence a avoir un peu peur....</t>
  </si>
  <si>
    <t>24/07/2018</t>
  </si>
  <si>
    <t>stella12-87176</t>
  </si>
  <si>
    <t>Depuis plus de 40ans à la Maif, entièrement satisfaite dans tous les domaines: habitation, véhicules etc..</t>
  </si>
  <si>
    <t>14/02/2020</t>
  </si>
  <si>
    <t>martine-b-112571</t>
  </si>
  <si>
    <t xml:space="preserve">Satisfait sur les assurances habitation et automobile
Les assurances protection juridique, accidents de la vie ne correspondent pas à mes attentes...
</t>
  </si>
  <si>
    <t>04/05/2021</t>
  </si>
  <si>
    <t>assure-en-colere-85546</t>
  </si>
  <si>
    <t>Aucun scrupule pour se débarrasser des clients qui ne leur rapportent pas assez. Apparemment je suis loin d'être le seul à s'être fait remercier après un accident (même si je n'en avais eu aucun les dix années avant, mais ça ils s'en moquent). Bref, je déconseille fortement.</t>
  </si>
  <si>
    <t>kristago-75305</t>
  </si>
  <si>
    <t xml:space="preserve">Injoignable et cher voir très cher dépassement d honoraires pas pris en charge. .A éviter absolument </t>
  </si>
  <si>
    <t>23/04/2019</t>
  </si>
  <si>
    <t>jiji31-130264</t>
  </si>
  <si>
    <t>assuré chez eux depuis plusieurs année avec 50% de bonus aucun sinistre ,il n'arrête pas d'augmenté les cotisations chaque année au lieu de la diminué ,je change d'assurance</t>
  </si>
  <si>
    <t>nadine-d-116652</t>
  </si>
  <si>
    <t>Les prix augmentent plutôt rapidement + de 80€ d'augmentation sur le contrat de notre C4 en 2 ans alors que nous n'avons eu aucun sinistre, je trouve cela un peu exagéré....</t>
  </si>
  <si>
    <t>frederic-d-114663</t>
  </si>
  <si>
    <t>prix qui augmentent sans motif , ce n'est plus le direct assurance d'autre fois .....pretextant des motifs bidons pour justifier les augmentations.....</t>
  </si>
  <si>
    <t>morgane-c-132165</t>
  </si>
  <si>
    <t>Je suis totalement satisfait, merci direct assurance, service au top, j'ai rien à dire.
Tout était facile, le formulaire de souscription de contrat était clair et facile à comprendre, je recommande vraiment direct assurance !!!</t>
  </si>
  <si>
    <t>lapoudre31-76764</t>
  </si>
  <si>
    <t>Sociétaire Macif depuis plus de 20 ans avec zero sinistre a mon actif (appartement, voiture, moto). Je me suis fais fracturé la vitre de ma voiture et volé tout ce qu'il y avait à l'intérieur (2500 euros de matériel). La macif me dit que je n'ai pas pris l'option effet personnels. Je ne savais meme pas qu'elle existait. Mais 20 ans client, bonus 50% voiture moto, aucun sinistre. C'est  un peu dur à avaler. La fidélité ne sert à rien. C'est triste.</t>
  </si>
  <si>
    <t>13/06/2019</t>
  </si>
  <si>
    <t>machtu--96519</t>
  </si>
  <si>
    <t xml:space="preserve">Je ne donnerai pas d'avis sur le règlement de sinistre puisque pas eu l'occasion de "tester".
En revanche,  les augmentations systématiques de 10% par an ne sont pas acceptables compte tenu de mon profil  (pas de sinistre,  peu de km, bonus max 50% depuis des années et des années. ..) : de 280e à plus de 380e 3 ans plus tard. .. bref recherche d'un nouvel assureur en cours ! </t>
  </si>
  <si>
    <t>20/08/2020</t>
  </si>
  <si>
    <t>mj-56885</t>
  </si>
  <si>
    <t>Je suis assuré chez direct assurance depuis 2 ans et les tarifs sont toujours si cher, au début en 2015 j'ai accepté sous le prétexte du jeune conducteur, et au bout de 2 ans je paye pratiquement la même somme, malgré que je suis sans sinistre et bonus en évolution positive. Ce que je trouve vraiment dommage, que les nouveaux clients profitent d'un tarif beaucoup moins cher, je suis à 56 euros par mois et je fait un devis comme nouveau client et là surprise, 42 euros pour les même options tiers maxi. J'appelle le service client pour demander un geste commercial et l'agent me répond d'un façon sec c'est comme ça monsieur on peut rien pour vous. Bref si pas de réponse positive je résilie, les concurrents proposent des bonne tarifs.</t>
  </si>
  <si>
    <t>vincentmorbihan-62867</t>
  </si>
  <si>
    <t>J'ai changé d'assureur et j'ai economisé 10 euros par mois pour exactement les mêmes garanties, la conseillère a été très disponible pour répondre a mes questions</t>
  </si>
  <si>
    <t>02/04/2018</t>
  </si>
  <si>
    <t>mousse-58306</t>
  </si>
  <si>
    <t>j'ai demander à baisser le prix de mon assurance cela n'est pas possible pour la différance je garde pour l'instant mon assurance avant de trouver une assurance moins cher !!!</t>
  </si>
  <si>
    <t>23/10/2017</t>
  </si>
  <si>
    <t>amc-80753</t>
  </si>
  <si>
    <t xml:space="preserve">Catastrophique - Fuyez!!
Assurance qui après plus de 20 ans sans sinistre, se décide à vous résilier parce que pour l'année 2019 vous avait été jugé trop couteux! Une honte! De même, depuis plusieurs mois gestion plus que douteuse, informations manquantes, interlocuteurs sans compétences ni implication ... </t>
  </si>
  <si>
    <t>05/11/2019</t>
  </si>
  <si>
    <t>mathias-d-112949</t>
  </si>
  <si>
    <t xml:space="preserve">Rapide, simple et efficace. La fait de pouvoir faire ceci en ligne rend les choses encore plus facile. Les prix sont plus que bien, et être basé en France avec des collaborateurs français, que demander de plus. </t>
  </si>
  <si>
    <t>07/05/2021</t>
  </si>
  <si>
    <t>llp-114922</t>
  </si>
  <si>
    <t>Bonjour,
J'ai soucrit chez eux à une assurance tous risques éco. Un jour, j'ai un accident sur un parking à l'arrêt et je n'étais pas dans le véhicule + pas de tiers identifié. J'ai donc sollicité mon assurance en pensant qu'il allait prendre en charge mais NON....car l'assurance tous risques éco prend en charge que les ACCIDENTS DE CIRCULATION. 
J'ai donc appelé le service client en leur disant que ce qu'il m'avait proposé n'était oas une ASSURANCE TOUS RISQUE puisqu'elle ne prend pas en charge 40 - 50 % du tous les risques. C'est donc un titre trompeur !
J'aurai en effet dû mieux lire mon contrat car le conseiller m'avait parlé seulement d'une diffférence importante pour le pare brise. Je n'aurai pas pris cette assurance qui n'est pas une assurance tous risques. C'est du marketing.
J'aurai dû donc lire mais c'est de ma faute car j'ai signé. Du coup :
- ne prenez jamais leur formule tous risque éco qui ne sert à rien et qui ne devrait pas s'appeler TOUS RISQUES
- le conseil était très limité lors de la soscription
Par ailleurs, j'ai donc remonté mon mécontentement via mon espace GMF. Il m'ont rappeléé plus d'une semaine après via une personne de l'agence d'Enghien les bains qui m'a m'écouté sans rien proposer (elle semblait perdue).....et qui m'a envoyé une proposition commerciale (sans geste) via un EMAIL AUTOMATIQUE. Ce sont des emails envoyés aux prospects également. 
Donc, le traitement client est aussi très léger. En tout cas, il ne cherche pas à fidéliser. Je cherche actuellement à partir et pourtant faire de nouveaux papiers pour changer ne m'enchante pas !
Cordialement,
Laurent Le Provost</t>
  </si>
  <si>
    <t>26/05/2021</t>
  </si>
  <si>
    <t>dominique-h-109170</t>
  </si>
  <si>
    <t>Le prix très simple à comprendre 
facilité  de devis en ligne
Je recommande meme aux jeunes conducteurs
:-)) 
super site simple d'utilisation pratique</t>
  </si>
  <si>
    <t>gui-100973</t>
  </si>
  <si>
    <t>Assureur a fuir! Sans sinistre tout se passe bien, facile.
On m a volé mon véhicule fin août, nous sommes en décembre... toujours pas indemnisé... scandaleux!
Toutes les raisons sont bonnes pour que cet assureur tente de diminuer l indemnisation: dès le départ un pseudo expert donne une valeur fortement sous estimée et il faut batailler pour qu un expert auto agréé reprenne le dossier et côte le véhicule à sa juste valeur.
Bref à fuir... même pour quelques euros de moins par an le jeu n en vaut pas la chandelle!!!!</t>
  </si>
  <si>
    <t>04/12/2020</t>
  </si>
  <si>
    <t>delph-104731</t>
  </si>
  <si>
    <t>Malgré le nombre d'années d'assurance chez vous sans aucun accident celle-ci augmente d'année en année ce qui fait quelle heure actuelle je cherche une autre assurance</t>
  </si>
  <si>
    <t>florian-b-127238</t>
  </si>
  <si>
    <t>J'avais besoin de m'assurer dans la journée, grâce au site de Direct assurance j'ai pu le faire simplement sur mon téléphone. Je suis très satisfait de la rapidité du service et du prix correct.</t>
  </si>
  <si>
    <t>ladouce-64267</t>
  </si>
  <si>
    <t>Je vous en prie c'est une mutuelle à prendre. C'est que du N'importe quoi. Suis très déçu de santiane . Pas possibilité de faire une résiliation</t>
  </si>
  <si>
    <t>29/05/2018</t>
  </si>
  <si>
    <t>martine71-67462</t>
  </si>
  <si>
    <t>cliente depuis 3 ans, je suis satisfaite de cette mutuelle, les tarifs sont compétitifs, les remboursements rapides!le services client est agréable et répond de manière satisfaisant bien que le temps d'attente au téléphone soit assez long! le seul bémol c'est pour envoyer un courrier: on ne sait pas toujours à qui le faire ( santiane ou mutua gestion ou néoliane !)  le site est clair et facile sauf pour les devis où l'on doit appeler le gestionnaire par téléphone, dommage!un devis par internet serait plus facile!</t>
  </si>
  <si>
    <t>08/10/2018</t>
  </si>
  <si>
    <t>guillaume-s-134800</t>
  </si>
  <si>
    <t xml:space="preserve">Prix assez élevé
Vu les prestations et les services
Conseils téléphonique assez clairs
Un peu d'attente au téléphone
Problème de connexion au paiement </t>
  </si>
  <si>
    <t>moyeux-o-114108</t>
  </si>
  <si>
    <t xml:space="preserve">Je ne suis pas satisfait de l'offre multi-auto, il devrait être possible de renseigner des coordonnées différentes pour les différents véhicules assurés par le 1er souscripteur, une même personne ayant rarement plusieurs véhicules en sa possession.  </t>
  </si>
  <si>
    <t>chipie-122719</t>
  </si>
  <si>
    <t>j'ai dû faire appel à l'assistance pour mon véhicule en panne. Le remorquage du véhicule a été très rapide et la voiture a été amenée à mon garagiste habituel dans l'après-midi. Dès le lendemain vers 11 h, mon véhicule était réparé. Je remercie la MACIF d'avoir été très rapide pour l'intervention et la personne que j'ai eu au téléphone était très aimable.</t>
  </si>
  <si>
    <t>07/07/2021</t>
  </si>
  <si>
    <t>farouck59-50596</t>
  </si>
  <si>
    <t xml:space="preserve">Très insatisfait après un sinistre l expert très arrogant 
venu sans même le devis 
et au final aucune indemnité, 
Après contestation, la charger du dossier aussi réticente que le soI disant expert m envoie un courrier par mail en s appuyant sur le rapport de l expert ,en effet pour ne pas payé tout est bon ,je quitte axa avec tout mes contrats et bon vent </t>
  </si>
  <si>
    <t>23/12/2016</t>
  </si>
  <si>
    <t>hureau-p-108365</t>
  </si>
  <si>
    <t>Pour l'instant, tout va bien, je suis satisfait. le devis en ligne s'est réalisé sans soucis malgré le fait que j'ai eu quelques difficultés avec mon email qui était mal renseigné</t>
  </si>
  <si>
    <t>29/03/2021</t>
  </si>
  <si>
    <t>shai-104095</t>
  </si>
  <si>
    <t xml:space="preserve">Ne souscrivez surtout pas !!! Certe l’es tarif sont légèrement plus bas que les autres assureurs mais croyez en mon expérience catastrophique vaut mieux payé 10 ou 15 euro par mois de plus chez un assureur de confiance que de souscrire chez eux le jour où vous aurez un sinistre même en raison ou une résiliation ou tout simplement un changement de véhicules ce sera le branle-bas de combat j’ai eu une montée de tension j’ai étais hospitalisé suite à 5 mois d’un acharnement d’échange téléphonique quasi quotidien qui n’a mené à rien...j’ai dû faire appel à un avocat et j’en passe vraiment vraiment ne faite pas l’erreur qu’on et nombreux a avoir faite au vu des commentaires je souhaite pas à mon pire ennemi de vivre le calvaire que j’ai vécu avec cet sois disan assurance qui n’en a que le nom vraiment </t>
  </si>
  <si>
    <t>13/02/2021</t>
  </si>
  <si>
    <t>illomaelo-121983</t>
  </si>
  <si>
    <t>Prix avantageux pour les jeunes même avec beaucoup de chevaux, à voir à cas d’accident. Je ne peux donc pas mettre toutes les étoiles tant que je n’ai pas vu leur réactivité et leur compétence.</t>
  </si>
  <si>
    <t>ouassima-c-131177</t>
  </si>
  <si>
    <t xml:space="preserve">Bonjour,
Le prix me convient je le trouve le moins cher du marché sur internet 
Et l’inscription et simple et efficace 
Cordialement Madame Chaou 
</t>
  </si>
  <si>
    <t>04/09/2021</t>
  </si>
  <si>
    <t>jeanick-c-114238</t>
  </si>
  <si>
    <t>Je suis satisfaite des prestations de la GMF. Qu'elles concernent l'assuré, les ayants-droits, l'auto, la maison, le travail. Ils sont très réactifs . Par ailleurs les produits financiers proposés sont très intéressants.</t>
  </si>
  <si>
    <t>19/05/2021</t>
  </si>
  <si>
    <t>poorcilla-m-124601</t>
  </si>
  <si>
    <t>je suis satisfait d'avoir complété mon assurance d'habitation rapidement et facilement avec des demandes simplifiés.
je recommanderais à mes proches d'y d’adhéré a votre services</t>
  </si>
  <si>
    <t>gloglo--127910</t>
  </si>
  <si>
    <t>Je remercie Rawane de sa gentillesse et de m'avoir bien renseigné sur un changement bancaire.Merci beaucoup pour les renseignements qui m'a proposé de faire.</t>
  </si>
  <si>
    <t>michaele-105578</t>
  </si>
  <si>
    <t xml:space="preserve">'ai eu une expérience extrêmement mauvaise que je partage avec google et facebook en essayant d'assurer ma voiture auprès de votre entreprise.
J'ai demandé à 4 reprises si mon certificat de 15 ans de non-réclamation pour 55% de mes assureurs espagnols actuels était acceptable pour le même rabais avec vous.
À chaque fois, on m'a dit oui. J'ai donc procédé et payé&gt; 4 Février 2021PAIEMENT PAR CARTEDIRECTASSURANCE SURESNES 23 / 02- 452,58 €
Vous avez alors décidé que la déclaration espagnole n'était pas acceptable et avez prélevé 388,72 euros supplémentaires sur mon compte - sans demander mon autorisation, j'ai donc annulé l'assurance par courrier et par courrier électronique.
On m'a dit que vous rembourseriez 388,72 mais pas les 452,58!
Vous avez également écrit aujourd'hui -
En effet, nous avons déduit de votre cotisation annuelle la somme de 14,66 euros correspondant à la période d'assurance du 24/02/2021 au 05/03/2021, à laquelle s'ajoutent 43,30 euros de frais de gestion et 5,90 euros de taxe attentat.
Nous restons à votre disposition.
Merci de votre compréhension.
Cordialement,
Fatimazahra
Service Client Direct Assurance
Êtes-vous content de cela? 
Je peux comprendre la demande de 14,66 mais le reste? Est-ce ainsi que se comporte une entreprise réputée lorsqu'elle a commis des erreurs au téléphone avec un client potentiel?
</t>
  </si>
  <si>
    <t>05/03/2021</t>
  </si>
  <si>
    <t>js21-53832</t>
  </si>
  <si>
    <t xml:space="preserve">Bonjour, je sors d'un appel téléphonique avec l'Olivier assurance. C'est scandaleux. J'explique : j'ai reçu la confirmation de ma résiliation d'assurance. Or ce jour, un prélèvement a été demandé par l'Olivier assurance sur mon compte. La personne que j'ai au bout du fil chez l'Olivier me dit la résiliation est bien prise en compte mais on a envoyé la demande de prélèvement au début du mois de mars. Au début du mois de mars, non mais franchement, j'ai reçu mon avis d'échéance fin mars avec une grosse augmentation sans raison car je n'ai pas eu d'accident. J'ai fait la résiliation dans les temps mais ils ont demandé le prélèvement avant même de m'envoyer le courrier et la personne au téléphone me répond qu'elle ne peut rien faire. J'exige le remboursement de la totalité de l'argent sous une semaine MAXIMUM sinon je déposerai un recours. Cordialement
</t>
  </si>
  <si>
    <t>04/04/2017</t>
  </si>
  <si>
    <t>01/04/2017</t>
  </si>
  <si>
    <t>jose-93624</t>
  </si>
  <si>
    <t>OU EST MON ARGENT????
Je suis bénéficiaire d'une assurance-vie Cardif souscrite par ma mère (contrat BNP Paribas Multiplacements 2 n° 01469721.0001). Au mois de janvier 2020 le dossier était complet et certains de mes freres ont reçu leur part. Apres plusieurs mails en demandant des explications, voila que le 21 juin ils me repondent que "Après vérifications, je relève que notre service dédié avait initié le virement en votre faveur, le 10 janvier 2020. Cela étant, l'opération n'a pas pu aboutir et j'en suis navrée.
Le service successions a procédé à une régularisation. Aussi, un virement d'un montant de X € vous a été adressé le 11 juin, intégrant la revalorisation et les intérêts de retard dus". Enfin, je me suis dit, victoire!! Victoire?? HAHAHAHA, NON... Toujours rien reçu, je renvois un autre mail...et grande surprise avec leur reponse: "Nous mettons tout en œuvre pour étudier votre demande et vous répondre dans un délai de 30 jours. Si l'étude du dossier nécessitait plus de temps, nous vous informerons par courriel de son état d'avancement et du délai supplémentaire nécessaire"
Etudier ma demande??? (comme si rien n'etait fait). Un délai de 30 jours pour me repondre??? Un délai supplementaire nécessaire???
Je ne comprends rien!!! Jusqu'a quand ils vont continuer a se moquer de nous???
Une honte!!! Lamentable!!!
Quelq'un me peut conseiller un avocat pour initier les demarches juduciares a l'encontre de cette bande de vo.....?</t>
  </si>
  <si>
    <t>09/07/2020</t>
  </si>
  <si>
    <t>de-araujo-f-114568</t>
  </si>
  <si>
    <t xml:space="preserve">ras continuez comme ca en espérant que la publicité et conforme a la réalité
accueil très agréable et disponible et professionnel charger de bons conseils 
bravo </t>
  </si>
  <si>
    <t>hugo-i-134321</t>
  </si>
  <si>
    <t>Je suis satisfait du service.. Le questionnaire est simple à suivre, tout est bien indiqué. Le tarif est modulable, nous pouvons prendre des options; Merci</t>
  </si>
  <si>
    <t>christophe--94552</t>
  </si>
  <si>
    <t xml:space="preserve">Je suis satisfait du service en ligne rapport qualité prix très abordable avec ce qui faut pour la sécurité des autres et de moi même je hâte d’être assuré chez vous </t>
  </si>
  <si>
    <t>18/07/2020</t>
  </si>
  <si>
    <t>gdyel-85641</t>
  </si>
  <si>
    <t xml:space="preserve">Nouveau client Néoliane il m'était impossible de contacter le cabinet de courtage (Net Courtage Assurances) pas au top.
J'ai réussi a entrer en contact avec Néoliane </t>
  </si>
  <si>
    <t>08/01/2020</t>
  </si>
  <si>
    <t>cyrillusone-55177</t>
  </si>
  <si>
    <t>Appel de l'assistance AXA pour une porte claquée, qui me met en relation avec un serrurier agrée. L'assistance m'annonce un prix, et me dit de rappeler mardi pour déclarer le sinistre. Mardi le service sinistre me dit qu'il ne prenne pas en charge le déplacement du serrurier pour une porte claquée. Pourquoi me mettre alors avec un serrurier agrée très cher?? Depuis que nous sommes chez AXA rien ne va!!</t>
  </si>
  <si>
    <t>08/06/2017</t>
  </si>
  <si>
    <t>cecile-57203</t>
  </si>
  <si>
    <t>Je suis victime d'un dégât des eaux actif par infiltrations depuis 18 mois. Mon mur est saturé d'eau. Je n'ai plus de placo, il y a des moisissures et des insectes. 18 mois de lutte avec un expert Axa qui clôturé le dossier à plusieurs reprises pour des remontées capillaires, des informations façade non garanties. À chaque fois je dois me battre pour faire d'ouvrir mon dossier. Axa refuse de faire des recherches pour savoir d'où vient l'eau. On me demande maintenant de faire des travaux sur mon toit sans savoir si l'eau provient du toit. La plateforme sinistre au Maroc à gestionnaires multiples est totalement inefficace et je suis seule avec mon sinistre. C'est l'enfer et je ne sais pas comment je vais m'en sortir.</t>
  </si>
  <si>
    <t>08/09/2017</t>
  </si>
  <si>
    <t>dodo--123098</t>
  </si>
  <si>
    <t xml:space="preserve">Attention ! même en longue maladie,  ils ne sont pas réglo à part de vous harceler pour formulaire médical 2 fois, je préviens mairie pour prochain appel d'offres ainsi que le conseil régional des Hauts de France. </t>
  </si>
  <si>
    <t>11/07/2021</t>
  </si>
  <si>
    <t>delobelle-j-109528</t>
  </si>
  <si>
    <t>super,tarif super, tous les services sont disponibles en ligne donc accessible à toute heure je recommande vraiment cette assurance, je la recommande à mes amis</t>
  </si>
  <si>
    <t>aubain-122200</t>
  </si>
  <si>
    <t xml:space="preserve">
J’ai été accueilli au téléphone par Emeline  et je suis tout à fait satisfait de la pertinence de ses réponses et de son aide comme de l’amabilité de ses propos</t>
  </si>
  <si>
    <t>chtiluc-80299</t>
  </si>
  <si>
    <t xml:space="preserve">Pour Nadège </t>
  </si>
  <si>
    <t>22/10/2019</t>
  </si>
  <si>
    <t>gilles-p-125864</t>
  </si>
  <si>
    <t>Je suis satisfait du service
Les prix me conviennent
Simple et pratique
J'ai connu Direct Assurance par publicité sur les chaînes de télévision
Je suis très satisfait.</t>
  </si>
  <si>
    <t>mmz-97562</t>
  </si>
  <si>
    <t xml:space="preserve">La simulation ne correspond pas au prix final. Explication : comme j'étais déjà assuré chez eux pour une autre voiture que j'ai vendue, je ne pouvais pas bénéficier du prix annoncé dans la simulation (prix d'appel pour les nouveaux clients) ! 
Sauf que cette condition n'apparaît nulle part ! 
Résultat, je dois payer 20 % de plus ! </t>
  </si>
  <si>
    <t>18/09/2020</t>
  </si>
  <si>
    <t>loujen-130792</t>
  </si>
  <si>
    <t>Je suis assuré depuis 3 mois et, n'ayant pas encore reçu ma nouvelle carte, j'ai téléphoné.
J'ai été très bien accueilli par Widad qui m'a renseigné sur l'envoi et m'a fait parvenir immédiatement les cartes à jour de mon épouse et de moi;
Merci</t>
  </si>
  <si>
    <t>dom9-85849</t>
  </si>
  <si>
    <t>j 'ai effectué un versement en novembre 2019, nous sommes le 13 janvier 2020 EST TOUJOURS PAS CREDITE SUR MON COMPTE que faire injoignable au  tel</t>
  </si>
  <si>
    <t>13/01/2020</t>
  </si>
  <si>
    <t>marc-david-123517</t>
  </si>
  <si>
    <t>Satisfait du service et pratique. Accueil en agence agréable et toutes les réponses aux questions posées sont claires. Service rapide sans trop d'attente.</t>
  </si>
  <si>
    <t>wilfried-b-125862</t>
  </si>
  <si>
    <t>je ne peux pas me prononcer sur le service vue que je n'ai encore bénéficier de rien.
pour ce qui est du tarif. c'est correct, à voir si l'assurance est à la hauteur.</t>
  </si>
  <si>
    <t>yann-98774</t>
  </si>
  <si>
    <t xml:space="preserve">Le prix de mon contrat auto croît d'années en années malgré une exemplarité certaine sur la route. Je n'ai été impliqué dans aucun accident de la route en trois ans chez eux. J'ai donc décidé d"aller voir ailleurs, chez un assureur qui me propose un tarif moitié moins cher.
Cependant, Axa est malin. Ils retardent la délivrance du relevé d'informations, indispensable à une suscription chez ledit nouvel assureur. Ça fait 3 semaines que j'ai effectué ma demande. 
J'effectue ma première demande du fameux relevé le 24 septembre sur mon espace client, et reçois la confirmation que ma demande a été prise en compte et que je recevrai le relevé d'information par courrier. Bien. 
Deux semaines passent, pas de relevé d'information. Je les contacte par téléphone, la dame me rétorque qu'ils m'ont appelé le 24 septembre (le soir même de ma demande), pour me demander si j'avais bien demandé à recevoir un relevé d'information et comme je n'ai pas répondu à cet appel, ils ont laissé ma demande en statut quo... No comment.
Soit. Je refais ma demande, elle me répond que mon relevé d'information arrivera sous trois jours ouvrés. Nous sommes une semaine après, rien. Bien entendu le devis que j'ai effectué ailleurs va sur son terme. Malin, malin, Axa. 
En fouillant sur internet, j'ai remarqué que ma situation, quant à ce fameux relevé d'information, n'est pas isolée. L'obtenur est un véritable chein de croix. 
C'est d'autant plus drôle qu'en 3 ans et demi de contrat, je n'ai jamais fait appel aux services d'Axa. C'est finalement lorsque je souhaite aller voir ailleurs qu'ils me causent du tort et confirment ainsi mon envie.. d'aller voir ailleurs. </t>
  </si>
  <si>
    <t>thibaudeau-k-133883</t>
  </si>
  <si>
    <t xml:space="preserve">je suis satisfait du service le prix me convient l'inscription simple et facile les documents sont bien lisible. 
mais petit problème dans les questions pour le devis </t>
  </si>
  <si>
    <t>22/09/2021</t>
  </si>
  <si>
    <t>mnewco00-61696</t>
  </si>
  <si>
    <t>Je suis en attente d'un remboursement sur une facture de lunette depuis juillet 2016!!! Malgré mes appels réguliers (quasiment tous les mois) rien n'avance. Je raconte toute l'histoire à chaque fois que j'appelle, à chaque fois le dossier est transmis à la "gestion" et rien ne se passe. Mes interlocuteurs me demandent régulièrement des documents que j'ai déjà envoyé. Il n'y a aucun moyen d'être mis en relation avec un responsable ou avec une personne ayant le pouvoir de faire avancer le dossier. C'est scandaleux.</t>
  </si>
  <si>
    <t>Ag2r La Mondiale</t>
  </si>
  <si>
    <t>23/02/2018</t>
  </si>
  <si>
    <t>boubou76-101986</t>
  </si>
  <si>
    <t>direct assurance prend ses clients!!! meme les bon *bonus 50% depuis plus de 13 ans*pour des pigeons !!! la 1er année bon prix d appel 2 éme année plus 8% D  AUGMENTATION,??? réponse donner  c est normal  c est pour attirer le client*bien vue* cette augmentation représente 4 fois l augmentation des autres assurance aprés plusieurs réclamation rien n a était fait !!! aucun geste commerciale; honteux;;;; je prend note</t>
  </si>
  <si>
    <t>ericc-114425</t>
  </si>
  <si>
    <t>Résiliez votre contrat et faites des économies.
Je résilie mon contrat "Assurance Association" suite à non réponse de mon assureur ALLIANZ  à une demande de gel de cotisation suite au COVID. Au lieu de me répondre elle m'a envoyé une lettre de mise en demeure. J'ai donc consulté la concurrence pour trouver un tarif 2,5 fois moins cher, chez MACIF.
C'est le 3ème contrat que je sors de chez eux pour tarif excessif.</t>
  </si>
  <si>
    <t>20/05/2021</t>
  </si>
  <si>
    <t>felix-76797</t>
  </si>
  <si>
    <t>simple rapide et efficace, pleinement satisfait de leur prestations</t>
  </si>
  <si>
    <t>14/06/2019</t>
  </si>
  <si>
    <t>fed0r06-87202</t>
  </si>
  <si>
    <t>Vehicule au tiers, a pris l'eau lors d'inondations classes catastrophe naturelle: aucune indemnisation (meme s'il sont a priori dans leur droit) ni aucun geste commercial alors que je suis client depuis longtemps et jamais aucun sinistre. Quand il s'agit d'indemniser, ya plus personne.</t>
  </si>
  <si>
    <t>15/02/2020</t>
  </si>
  <si>
    <t>artim-s-113839</t>
  </si>
  <si>
    <t>Prix raisonnable et très rapide à assurer, les informations sont très simples et rapide à entrer, pour une première moto je trouve les prix parfaitement bien.</t>
  </si>
  <si>
    <t>15/05/2021</t>
  </si>
  <si>
    <t>machine-117169</t>
  </si>
  <si>
    <t>Pas contente de cette Mutuelle. Pas de décrochage téléphone... jamais de réponses.Et on  ne peut voir vraiment ses remboursements, impossible d'accéder au tableau ..; et la S Sociale dans son tableau marque "simplement " les informations ont été transmises à votre Mutuelle"  !!!!!  .......  Vraiment, je ne reprendrai pas cet organisme. Nous payons la mutuelle santé chaque mois et personne n'est jamais là pour nous renseigner .. vraiment, ce n'est pas normal. Très mécontente.</t>
  </si>
  <si>
    <t>15/06/2021</t>
  </si>
  <si>
    <t>michel-l-122131</t>
  </si>
  <si>
    <t>Je vous informe dès maintenant que j'emménagerai vers le 15/10/2021 dans une résidence "Maison Helena" située dans la commune de La Mézière près de Rennes (35).</t>
  </si>
  <si>
    <t>naomie-f-136497</t>
  </si>
  <si>
    <t xml:space="preserve">Bien  bonne assurance contente du suivie 
Merci à votre équipe 
Je recommande votre assurance je ne ne suis pas dessus par cet assureur 
J’y ai aussi ma mutuelle </t>
  </si>
  <si>
    <t>mathias-k-115638</t>
  </si>
  <si>
    <t>j'ai eu un accident dont je n'était pas responsable,  mais j'étais mal conseillé par les assistants de direct assurance, en conséquence j'ai supporté tous les frais</t>
  </si>
  <si>
    <t>couillou-137430</t>
  </si>
  <si>
    <t xml:space="preserve">Ne pas oublier que l'assurance est obligatoire.
De ce fait l'on n'a pas le choix. 
Mais sur les prix oui
Ainsi que sur la qualité/prix.
Il me semble que la fidélisation doit être récompensée. Comme le fait d'être prudent. 
</t>
  </si>
  <si>
    <t>sylvain-m-137371</t>
  </si>
  <si>
    <t xml:space="preserve">Un contrat très simple à mettre en place, une mise en place rapide et des tarifs compétitifs vis à vis de l'ensemble des offres proposées sur différents supports.
</t>
  </si>
  <si>
    <t>13/10/2021</t>
  </si>
  <si>
    <t>rossignol-e-137364</t>
  </si>
  <si>
    <t>Vous avez un bon rapport prestations / prix.
J'ai pu comparer avec mon assurance actuelle et apprécier une réduction de 210 € avec les même garanties.</t>
  </si>
  <si>
    <t>hb-116771</t>
  </si>
  <si>
    <t xml:space="preserve">je ne recommande pas cette assurance vous verrai avec le temps il ont des pratique pas très légale. cette assurance abuse pour soutire de l'argent aux consommateur  </t>
  </si>
  <si>
    <t>11/06/2021</t>
  </si>
  <si>
    <t>carl-59909</t>
  </si>
  <si>
    <t>Fonctionnaire de Police en invalidité depuis plus d'un an, j'avais opté pour la garantie maintien de salaire et primes. Après diverses expériences compliquées avec d’autres assureurs, je m'attendais à un parcours du combattant pour les indemnités et pour avoir un interlocuteur. Bien au contraire, j'ai été surpris de la qualité de prise en charge. Du coup je recommande à tous</t>
  </si>
  <si>
    <t>23/12/2017</t>
  </si>
  <si>
    <t>dylan--s-130132</t>
  </si>
  <si>
    <t xml:space="preserve">Bonjour je n’ai pas d’avis particulier étant donné que c’est la première assurance à laquelle je souscrit. Elle semble correct au vue de ce que propose la concurrence, à voir dans le temps </t>
  </si>
  <si>
    <t>rehm-l-121141</t>
  </si>
  <si>
    <t>Parfait Très bon accueil, avec une bonne commerciale. Le prix a changé un peu à la fin mais du au modification du contrat. Bien expliqué par le commercial !</t>
  </si>
  <si>
    <t>25/06/2021</t>
  </si>
  <si>
    <t>laurence-m-122470</t>
  </si>
  <si>
    <t>je suis très contente du tarif auto
et le service client très gentil 
et ils sont a notre écoute
le service internet et très bien expliquer  et facile</t>
  </si>
  <si>
    <t>chetman-101252</t>
  </si>
  <si>
    <t>Les prestations sont ni plus ni moins bonnes qu'ailleurs, sauf sur tout ce qui est dentaire où là les remboursements sont minables. Mutuelle très chère (autour 2,5% du salaire brut d'un prof). Accueil en agence très désagréable, service client catastrophique. Et de plus en plus d'erreurs dans les remboursements (vérifiez vos relevés !). Ca n'est plus la mutuelle de qualité qui était montrée en exemple il y a 20, 30 ans ou plus. Adossée désormais à un gros consortium, c'est devenue une mutuelle comme les autres.</t>
  </si>
  <si>
    <t>10/12/2020</t>
  </si>
  <si>
    <t>mimi-68410</t>
  </si>
  <si>
    <t>Très agréable et réactive ! Mélanie m'a bien conseillée et guidée pour le choix du contrat complémentaire santé le mieux adapté pour ma fille en fonction de son âge et ses besoins.</t>
  </si>
  <si>
    <t>07/11/2018</t>
  </si>
  <si>
    <t>mathilde-77598</t>
  </si>
  <si>
    <t xml:space="preserve">Attention a cet assureur qui est totalement incompétent, qui ne communique pas avec vous et vos autres assurances. </t>
  </si>
  <si>
    <t>13/07/2019</t>
  </si>
  <si>
    <t>01/07/2019</t>
  </si>
  <si>
    <t>yalou-81244</t>
  </si>
  <si>
    <t>merci a la MAAF de m'avoir fait l'avoir du montant mensuel de mon assurance auto tenant compte du confinement pour le mois de MAI 
cet avoir a été effectué suite a ma demande par mail</t>
  </si>
  <si>
    <t>david-m-102509</t>
  </si>
  <si>
    <t>Je suis satisfait, c'est rapide pratique et j'ai eu une réponse a ce que je cherchais très rapidement. je conseil cette assurance les prix sont interessants.</t>
  </si>
  <si>
    <t>phil91-60120</t>
  </si>
  <si>
    <t>service client déplorable.... plus de 3 semaines que j'attends le déblocage d'une avance et PERSONNE ne me répond, malgré de nombreuses relances et appels. J'envisage de placer mon argent ailleurs !</t>
  </si>
  <si>
    <t>18/01/2018</t>
  </si>
  <si>
    <t>aucun-126134</t>
  </si>
  <si>
    <t>vous refusez une personne qui était assuré chez vous qui veut rester avec vous merci c'est tout ce que je veux vous dire merci de votre aimable compréhension</t>
  </si>
  <si>
    <t>03/08/2021</t>
  </si>
  <si>
    <t>coline-l-138748</t>
  </si>
  <si>
    <t xml:space="preserve">Les prix sont chers pour une personne en situation d'invalidité... 
Mais bon c'était l'assurance qui correspond le plus aux besoins de ma mère, alors pas le choix. </t>
  </si>
  <si>
    <t>02/11/2021</t>
  </si>
  <si>
    <t>frederic-p-129936</t>
  </si>
  <si>
    <t xml:space="preserve">Le prix me convient et simple à documenter. Je pense assurer mes autres véhicules ( mégane cc et espace 3 )et propriétés ( maison principale, maison secondaire et appartement locatif ) chez vous. 
Peux être un petit geste commercial? </t>
  </si>
  <si>
    <t>christel-100468</t>
  </si>
  <si>
    <t xml:space="preserve">Renseignements par téléphone au top
Site internet bien
Seul bémol certaines fois lorsque je dois transmettre plusieurs  documents sur le site je ne peux transmettre qu’une feuille et pas plusieurs </t>
  </si>
  <si>
    <t>23/11/2020</t>
  </si>
  <si>
    <t>audreyrob-81032</t>
  </si>
  <si>
    <t>Très mauvaise expérience. 
Le dossier a été très mal suivi pendant plus de 5 mois pour qu'il ne soit ensuite plus possible de le mettre en place car la date anniversaire était dépassée! Les informations doivent être répétées, des erreurs dans les dossiers et les dates... comme si mon conseiller n'avait jamais fait ça de sa vie.
J'ai ensuite été prélevée d'une assurance que je n'ai même pas! 
Et on me répond que le remboursement n'aura lieu que dans un mois.
Tout simplement inadmissible.</t>
  </si>
  <si>
    <t>15/11/2019</t>
  </si>
  <si>
    <t>nakam-68802</t>
  </si>
  <si>
    <t>Difficile de comprendre la direction prise par le groupe, voyez plutôt: véhicule citadin assurée depuis maintenant 9 ans, zéro sinistre depuis toujours.
Cette année mon "geste commercial" (17 euros) acquis l'année derniere disparu, augmentation d'environ 5% de ma prime auto, parrainage d'un proche sur cette année 2018 certes j'ai bien obtenu les 30 euros, mais................donner d'un coté pour mieux reprendre de l'autre?.
Pour l'année 2019 mon frangin voulait changer sa compagnie d'assurance moto pour éventuellement rejoindre le groupe Eurofil..............A MEDITER!!!</t>
  </si>
  <si>
    <t>11/12/2018</t>
  </si>
  <si>
    <t>rem3422-48922</t>
  </si>
  <si>
    <t>Tres bon assureur, je n’ai jamais eu de problème avec eux. Je serais aussi ravi d être votre parrain et vous bénéficierez d un mois gratuit. Pour cela vous pouvez me contacter afin que je vous envoie une invitation. rem3422@hotmail.com</t>
  </si>
  <si>
    <t>29/03/2018</t>
  </si>
  <si>
    <t>agnes-49852</t>
  </si>
  <si>
    <t>Que faire ? ma maison a brûlé en octobre 2015. Plus d'un an après, l'expert mandaté par la MAAF  n'a pas rendu ses conclusions.</t>
  </si>
  <si>
    <t>03/12/2016</t>
  </si>
  <si>
    <t>bertrand-c-106882</t>
  </si>
  <si>
    <t>Très très difficile d'accéder à son espace personnel, l'adresse internet introuvable, mal renseignée. Grosse galère à chaque fois, c'est PAS CLAIR. du tout. Si l'adresse internet était mieux faite, plus facile à trouver, vous auriez plus de clients c'est certains car  vos prix sont attractifs.</t>
  </si>
  <si>
    <t>17/03/2021</t>
  </si>
  <si>
    <t>marie-63405</t>
  </si>
  <si>
    <t xml:space="preserve">je trouve tres interessant les prix  et l accueil  super genial telephonique  ......... </t>
  </si>
  <si>
    <t>19/04/2018</t>
  </si>
  <si>
    <t>dylan-90674</t>
  </si>
  <si>
    <t xml:space="preserve">Je suis satisfait de vos service actuel merci à vous de vos offre.Les offres sont intéressantes il faut maintenant que je réfléchisse à savoir si je la prend ou non.
</t>
  </si>
  <si>
    <t>13/06/2020</t>
  </si>
  <si>
    <t>napa-58421</t>
  </si>
  <si>
    <t xml:space="preserve">15 ans d'assurance, JAMAIS UN SEUL INCIDENT DE PAIEMENT et ils me virent comme une merde. Sans raison, sans explication. </t>
  </si>
  <si>
    <t>27/10/2017</t>
  </si>
  <si>
    <t>camulus-53597</t>
  </si>
  <si>
    <t>Par exemple, devis pour frais dentaire (prothèses) plus de 4200€ et je n'ai débourser que 12.70€ , 4 paires de lunettes (Affelou) pour mon épouse et moi,montant totale plus de 800 € prise en charge en totalité !!!</t>
  </si>
  <si>
    <t>26/03/2017</t>
  </si>
  <si>
    <t>django-65173</t>
  </si>
  <si>
    <t>Service gestion sinistre incompétent et injoignable...
Après une panne assistance injoignable pendant plus de 30min au bord de la route...retour à pied...après Reclamation chèque cadeau de 50€ ??
Après accident sans tiers sur parking alors que je suis tout risque l’expert dit que le choc est trop bas et refuse les réparations...depuis service sinistre injoignable et uniquement des mails automatiques qui disent qu’on va me recontacter mais en vain 
J’essaye de resislier à présent mais ils ne m’envoient jamais mon relevé d’informaction...
Fuyez cette assurance qui vous attire sur les tarifs et fait beaucoup de pub mais devrait embaucher du personnel... et arrêter de prendre ses assurés pour des imbeciles</t>
  </si>
  <si>
    <t>30/06/2018</t>
  </si>
  <si>
    <t>jean-michel-d-107511</t>
  </si>
  <si>
    <t>tres bon service qualité et rapidité a l ecoute et tres professionnelle assuré depuis de nombreuses années toujours aussi satisfait des services proposés</t>
  </si>
  <si>
    <t>jmg974-87761</t>
  </si>
  <si>
    <t>Attention. Vous avez a faire à un assureur SURAVENIR qui aime encaisser les primes pour s'enrichir tant que vous n'avez pas de sinistre. Ca fait sourire et ca confirme la réputation de cet assureur. Au 1er bris de glace sans aucun autre sinistre pendant 5 ans il vous résilie sous le prétexte "d'aggravation du risque" laissez moi rire. Le code des assurances prévoit que nul ne peut s'enrichir injustement aux dépens d'autrui. C'est justement ce que fait cet assureur sur notre dos. Ca vous surprend ?? Si vous voulez l'enrichir alors souscrivez chez eux. Moi je les quitte à leur demande. Merci car j'ai trouvé bien moins cher ailleurs à la concurrence.</t>
  </si>
  <si>
    <t>Suravenir</t>
  </si>
  <si>
    <t>28/02/2020</t>
  </si>
  <si>
    <t>jean-christophe-n-134678</t>
  </si>
  <si>
    <t>Le service est rapide et le site bien conçu .Tarif compétitif avec réduction durant le Covid.( Tout le monde ne le fait pas ).
Par contre je n’ai jamais eu de sinistre à gérer , je ne peux pas donner mon avis à ce sujet.</t>
  </si>
  <si>
    <t>27/09/2021</t>
  </si>
  <si>
    <t>lobet1-62197</t>
  </si>
  <si>
    <t>je souhaiterai faire une demande de rachat partiel via l espace client ( étant mal entendant je ne peux pas recevoir d appel ni émette ) cependant je pouvais faire un retrait partiel via le site axa assurance au dernière nouvelle impossible de le faire apres plusieurs mail j apprend que mon mandataire est décédé le conseiller en charge refuse de faire mon rachat alors que je lui ai envoyé RIB et tout cependant je souhaite quitter avec toutes ma tune AXA ASSURANCE
Cordialement
 LOBET</t>
  </si>
  <si>
    <t>11/03/2018</t>
  </si>
  <si>
    <t>pierrot-88640</t>
  </si>
  <si>
    <t>a éviter, service client peu aimable et n'étant pas à l'écoute.</t>
  </si>
  <si>
    <t>hahno-57411</t>
  </si>
  <si>
    <t>J'ai failli signer chez Macif.je cherchais une assu auto. signature electronique impossible sur le site, par telephone il fallait prendre une prevoyance en plus (dont je n'ai nulle besoin - vente forcée), en agence désagréable et non serviable et formalités beaucoup plus complexes qu'annoncées par téléphone. bref j'ai failli signer chez Macif. heureusement y avait Maaf à coté</t>
  </si>
  <si>
    <t>17/09/2017</t>
  </si>
  <si>
    <t>je-n-en-ai-pas-106368</t>
  </si>
  <si>
    <t>je remerci la personne que je viens d avoir au telephone tres agreable et m avoir dit tout ce que je voulais savoir  a part c tres long pour vous avoir au telephone</t>
  </si>
  <si>
    <t>12/03/2021</t>
  </si>
  <si>
    <t>oualid-58083</t>
  </si>
  <si>
    <t>Devis  fait en ligne.paiement 2 mois plus les frais 60e. Je nai jalais recu la carte verte. Je me suis tretracte au bout de 5 jours apres avoir lu les divers commentaires et depuis le 29 aout jattend le remboursement. Malgré plusieur courrier et email rien.il ne me reste plus qua saisir le mediateur et acpr nous verrons bien ce que cela donne. Un bon conseil fuyez cette assureur qui nen ai pas un</t>
  </si>
  <si>
    <t>15/10/2017</t>
  </si>
  <si>
    <t>assaimpla-63192</t>
  </si>
  <si>
    <t xml:space="preserve">J'ai travaillé plus de 20 ans pour le même employeur . Des mutuelles d'entreprises j'en ai vu passer avec quelques couacs mais rien d' insurmontable . Mais là avec Harmonie mutuelles c'est la cata. Licenciée pour inaptitude physique j'ai en théorie bénéficié de la portabilité de mes droits . Mon ancien employeur a fait toutes les démarches en ce sens . Hospitalisée récemment pour une infection dentaire importante j'ai en suite fait réaliser des soins chez un dentiste . Ne voyant arriver aucun remboursement je suis allée sur le site de cette compagnie . Là je découvre la mention réaliser ma portabilité . Je suis les instructions pour le moins opaques et je transmets mon changement de situation . Plusieurs jours se passent et je ne reçois aucun accusé de réception de mes documents transmis . Je me rends alors à leur agence qui m'informe que je ne serai pas remboursée des frais réalisés car j'ai omis de déclarer mensuellement ma situation . MAIS personne ne m'avait informée qu'il fallait s'exécuter de cette manière et je vous mets en défi de trouver l'info sur le site . Face à cet argument l'agent me répond que toute façon je ne serai pas remboursée des frais avancés car la mutuelle n'a pas mon R.I.B . Ho mais de qui se moque-t-on ? Il a été transmis lors de la souscription par mon entreprise ! Devis dentaire refusé alors que celui-ci est des plus raisonnables . Je n'ai jamais vu cela de ma vie .Je me réserve le droit de donner suites pour non services rendus alors que je paye toujours à l'heure qu'il est mes cotisations ! Je ne me contacterai pas via facebook pour régler cela . Pas envie de faire de la pub gratos en plus !Mes anciens collègues peuvent chacun leur tour témoigner de tas de désagréments depuis que cette mutuelle nous a été imposée .
</t>
  </si>
  <si>
    <t>12/04/2018</t>
  </si>
  <si>
    <t>jcs21-101672</t>
  </si>
  <si>
    <t>tout va bien quand vous n'avez rien à demander ou vous n’attendez rien. cela ce complique dés que vous demandez quelque chose. délais trés long, aucune considération de l'assuré, pas de prise en compte des demandes. mutuelle à éviter</t>
  </si>
  <si>
    <t>19/12/2020</t>
  </si>
  <si>
    <t>marcelou-22061</t>
  </si>
  <si>
    <t xml:space="preserve">je trouve que l augmentation  des tarifs,  auto maison, sans sinistre à échéance et de plus  en plus importante, avant c était quelques euros , maintenant  en moyenne 25 à 30 euros , les salaires et retraites n augmentent plus , surtout les retraites qui ont même tendance à baisser dans la fonction publique d état . On ne comprend pas bien ces augmentations </t>
  </si>
  <si>
    <t>14/09/2019</t>
  </si>
  <si>
    <t>iano-v-118037</t>
  </si>
  <si>
    <t>Je suis good with the service its fast and cheap alors je vous conseille d'assurer tous vos véhicule avec eprel moto ça vous permet de faire plus d'économie</t>
  </si>
  <si>
    <t>elly-95117</t>
  </si>
  <si>
    <t xml:space="preserve">Je suis actuellement cliente direct assurance pour mon véhicule actuel. Le tarif annoncé me semble très cher, presque 700 euros d'écart, cela mérite réflexion ...et analyse des prix chez la concurrence.  </t>
  </si>
  <si>
    <t>24/07/2020</t>
  </si>
  <si>
    <t>cloooooo-76918</t>
  </si>
  <si>
    <t xml:space="preserve">Je recommande vraiment cette assurance auto. J'ai récemment eu un accident, j'ai directement eu une voiture de prêt et ce dans les plus brefs délais. Ils sont très professionnels et compétents. 
Après avoir été prélevée mensuellement, j'ai contacter mon assurance pour leur signaler que je vivait désormais dans une propriété privée avec un garage fermée (assurance du coup moins chère mensuellement) chose qui n'était ne l'était pas avant , j'ai par la suite reçu sur mon compte la régularisation/ l'écart entre mon ancienne situation et celle actuelle pour ce mois ci. Ils ont eux mêmes prit l'initiative de me rembourser la différence, et je les félicites pour ce professionnalisme. C'est tellement plaisant de ne pas avoir à passer sans arrêt son temps au téléphone pour des bêtises... Bravo à eux </t>
  </si>
  <si>
    <t>19/06/2019</t>
  </si>
  <si>
    <t>avocats-109864</t>
  </si>
  <si>
    <t>Assurance a éviter  sont bon que a encaisser les cotisations quand un sinistre ils font attendre des mois et au final il cherche une faille pour pas régler le sinistre    obligé de partir en contre expertise et de prendre un avocat  bravo la MATMUT  il assure   !!!!     Personne qui travaille son  désagréable et raccroche rien de pro</t>
  </si>
  <si>
    <t>bernadette-a-110784</t>
  </si>
  <si>
    <t xml:space="preserve">satisfaite du service et du prix 
site très pratique et simple d'utilisation 
satisfaite dans l'ensemble de l'utilisation sur le site ..
cordialement </t>
  </si>
  <si>
    <t>17/04/2021</t>
  </si>
  <si>
    <t>pp-68559</t>
  </si>
  <si>
    <t>En cas d'accident Pacifica vous encourage vivement à transférer notre véhicule pour sa réparation,  dans le garage de son choix ( prix certainement négociés pour que le sinistre coute le moins possible) ma franchise était de 560 euros mais par une assurance souscrite chez
mon concessionnaire, j'avais une prise en charge de 500 euros à condition de réparer le véhicule chez eux. Cest ce que j'ai fait.  Le jour de la réparation mon garagiste n'ayant aucune consigne  pour le paiement j'ai avancé le prix total de la réparation.  Quelques jours après,  n'ayant aucune nouvelle de Pacifica j'ai appelé le gestionnaire de mon sinistre. Lui expliquant la situation il a refusé catégoriquement d'appeler mon garagiste pour lui donner la marche a suivre en me disant " débrouillez seul " 
Depuis bientôt 1 mois je n'ai toujours pas reçu le compte-rendu de ma prise en charge !!</t>
  </si>
  <si>
    <t>10/07/2019</t>
  </si>
  <si>
    <t>roger-f-125618</t>
  </si>
  <si>
    <t xml:space="preserve">
satisfait  des relations , personnel compétent,  prix compétitifs ,  rapidité  pour  établir devis  et  la concrétisation  des contrats / cordialement //</t>
  </si>
  <si>
    <t>30/07/2021</t>
  </si>
  <si>
    <t>saddam-s-105760</t>
  </si>
  <si>
    <t>Je sui satisfait du service et de la rapidité du traitement des dossiers.
Les prix sont très attractif et intéressant.
Je recommanderai à mon entourage cette assurance.</t>
  </si>
  <si>
    <t>07/03/2021</t>
  </si>
  <si>
    <t>noctua59-60257</t>
  </si>
  <si>
    <t>leur politique de tarifs est de moins en moins attractive
et j ai peur de devoir partir ailleurs si ca continue
ma prime est passée de 500euros à 617 euros en 3ans  alors que je n ai eu aucun sinistres!!!</t>
  </si>
  <si>
    <t>07/01/2018</t>
  </si>
  <si>
    <t>basptiste-c-107582</t>
  </si>
  <si>
    <t>si ma banque accepte votre assurance je serais satisfait. Donc je suis dans lattete de la validation de ma banque. Espérons que ma banque soit d'accord</t>
  </si>
  <si>
    <t>hubert-l-129746</t>
  </si>
  <si>
    <t xml:space="preserve">Je suis très satisfaite de la prise en charge dés mon premier contact réalisé avec monsieur Philippe TUART, ainsi que des autres contacs qui ont suivis. </t>
  </si>
  <si>
    <t>aurelie-d-127810</t>
  </si>
  <si>
    <t>Mon devis était rapide et simple à réaliser et le prix était intéressant. J'ai profité de l'offre MULTIDAYS pour changer d'assurance auto pour mon véhicule.</t>
  </si>
  <si>
    <t>lavande--114973</t>
  </si>
  <si>
    <t>Mutuelle sans interlocuteur, une plate forme qui répond lorsqu'elle répond. Pas de ligne directe vers un conseiller, quasiment pas d'agences.... Et les remboursements ne sont pas satisfaisants... Que dire? Ils piègent tous les jeunes enseignants à adhérer. Or nous sommes totalement libres de choisir une mutuelle. Personnellement j'ai été très déçue. Et pour moins cher il y en a pas mal qui se sont bien adaptées aux médecines douces. La MGEN ne rembourse rien, même les consultations ostéo ne sont pas intégralement remboursées...</t>
  </si>
  <si>
    <t>egor58-90315</t>
  </si>
  <si>
    <t>Suite à un sinistre non-responsable en septembre 2019, je n'ai aucun remboursement à ce jour concernant la moto et le casque. Seul le service corporel m'a indemnisé, le service matériel fait preuve d'un immense talent pour jouer les incompétents à chaque appel téléphonique et ne sait manifestement pas utiliser les mails. J'ai beau contacter le courtier ou le service matériel, je n'arrive pas à obtenir de réponse. Cela devient pesant et je trouve cette attitude particulièrement scandaleuse pour un assureur pourtant compétent dans d'autres domaines.
Il semblerait qu'un(e) certain(e) Dominique soit à même de résoudre ce genre de différent, j'espère qu'il (elle) prendra en considération mes propos.
Bien cordialement</t>
  </si>
  <si>
    <t>08/06/2020</t>
  </si>
  <si>
    <t>marrotte-12579</t>
  </si>
  <si>
    <t>JE NE ME PRONONCE PAS CAR JE TROUVE D'UNE PART QUE LES PRIX SONT ENCORE EXECIFS ET QUE JE N'AI PAS ENCORE EU DE LITIGES A REGLER AVEC L ASSURANCE . cordialement</t>
  </si>
  <si>
    <t>jaubers-101380</t>
  </si>
  <si>
    <t xml:space="preserve">
quand vous souscrivez ils vous promettent tout , après plus possible de les joindre au téléphone , ou alors un stagiaire après 50 minutes d'attente , qui vous remet en attente pour aller explique votre demande , justifiée et contractuelle  je précise  là on en est à peu près à 1h30 en ligne ( prévoyez de recharger votre téléphone avant de le les appeler) le stagiaire vous remercie d'avoir patienté et que c'est ok , il vont rembourser selon votre contrat ,
les semaines passent et aucun remboursement , ils se foutent du client . j'ai au début pensé que c'était de l'incompétence de leur part mais maintenant  j'en doute . vous souscrivez option 4 sur 4  plus l'option renfort confort mais ils remboursent selon l'option 1 le minimum . une seule solution  résilier et changer de mutuelle .
Merci de votre compréhension,</t>
  </si>
  <si>
    <t>coatmeur-123267</t>
  </si>
  <si>
    <t>Bonjour,
Nous tentons de souscrire un contrat d'assurance emprunteur dans le cadre d'un prêt relais qui ne durera que 3 jours. Les démarches ont commencé sur internet le 12 mai, nous sommes le 13 juillet, dans 3 semaines nous signons l'acte de vente, notre dossier est toujours en attente, ils ont égaré tous les documents  (nous n'avons pas fait de photocopie, grosse erreur). Sur les plateformes, personne ne sait jamais rien, les courriers mettent des semaines à nous parvenir, nous les complétons mais cela n'avance pas plus ! Notre banque, la Caisse d'Epargne, n'a pas d'interlocuteur privilégié, ce n'est pas mieux.
Nous sommes scandalisés par la gestion de notre dossier, ne mérite même pas 1 étoile.</t>
  </si>
  <si>
    <t>ismail-95007</t>
  </si>
  <si>
    <t>Je la déconseille fortement, ma situation est : Je suis tombé en panne en pleins milieu de nul part vers minuit, j'appelle mon assurance on m'informe que le dépanneur arrive dans un peu prés 2H, jusqu'à 6H30 du matin je suis toujours entrain d'attendre le dépanneur qui n'est toujours pas venu, j'appel à plusieurs reprise l'assurance y'a pas de suivi à chaque fois la conseillère avec qui je parle me demande d'attendre et me passe une autre conseillère qui n'assure pas non plus son devoir. 
en un an de contrat la seule fois où j'ai eu besoin de mon assurance je ne la trouvais pas, si c'était pour repayer ou me vendre un autre service qui malheureusement que des paroles en l'aire, là on trouve bien les gens compétents pour le faire, mais pour assumer ses devoirs vis à vis à nous qui sommes ses clients là on est plus dans oui on va vous recontacter.
J'ai toujours les appels avec toutes les conseillères enregistré plus les échanges avec le dépanneur par whatsapp.
Conclusion 3 conseillères avec qui j'ai parlé sont incompétentes, pas de suivi, pas de service. 
Je déconseille fortement cette assurance.</t>
  </si>
  <si>
    <t>05/07/2021</t>
  </si>
  <si>
    <t>christo-117796</t>
  </si>
  <si>
    <t xml:space="preserve">J'ai résilié mes deux contrats (habitation,et auto) en janvier 2021 car j'en avais assez de voir les primes prendre 10 % par an et ce malgré aucuns sinistre .
Et depuis je suis harcelé par cette assurance pour me faire payer la totalité de la prime habitation que j'ai résilié ils ont fait appel à un service de recouvrement donc j'ai fait appel au médiateur .
J'en ai assez car leur système est assez simple ils vous harcèlent jusqu'à se que vous payez , même si les démarches ont été faites dans les formes.
</t>
  </si>
  <si>
    <t>papounetrobert-97084</t>
  </si>
  <si>
    <t xml:space="preserve">Puisque je n'obtiens pas de réponse à mes multiples courriers depuis 2 mois, je demande sur internet si la macif accepterait de répondre à mes demandes ???
pourquoi la personne à la macif st bonnet de mure à refusée de prendre mon constat, (refus de l' adversaire de signer le constat donc le mien pas valable ?????,malgré le nom et l' adresse de celui-ci qui est aussi à la macif pas valable car pas  identifié ???? voir avec la police ???) , ensuite j'attends toujours de savoir si je peux ?  Faire réparer la  rayure de ma portière, je suis pourtant tous risques, mais personne ne parle de ma réparation, si je peux la faire ?je n'ai pas vu un expert, pourquoi ??? cela me semble vraiment anormal, y aurait' il  un blocage de certaines personnes ???Je n'avais jamais eu de problème avec mon assurance , mais maintenant j' étudie d'autres contrats pour m'assurer ailleurs
</t>
  </si>
  <si>
    <t>07/09/2020</t>
  </si>
  <si>
    <t>jean-pierre-132645</t>
  </si>
  <si>
    <t xml:space="preserve">Souscription rapide et bon tarifs surpris qu'il n'y ai pas une application à charger pour naviguer dessus et s'informer des autres services et produits et  prix </t>
  </si>
  <si>
    <t>khier-m-122793</t>
  </si>
  <si>
    <t xml:space="preserve">Si je suis encore chez L’olivier assurance c’est grave à des gens comme Nabil que j’ai eu hier entre 15h et 16h il est très accès satisfaction client, il est juste parfait ! </t>
  </si>
  <si>
    <t>jeanmi-99829</t>
  </si>
  <si>
    <t xml:space="preserve">Très mauvaise assistance juridique. Fonctionnement mutualiste qui ronronne sans réelle implication pour ''défendre''  le client mutualiste.
Bonus en trompe l'oeil et suppression partielle au 1° sinistre mineur.
</t>
  </si>
  <si>
    <t>07/11/2020</t>
  </si>
  <si>
    <t>ophelie07300-97282</t>
  </si>
  <si>
    <t xml:space="preserve">À fuir. 
Contrat assurance auto signé le 18/06/20 avec offre 3 mois remboursé. 
Accident non responsable le 6/08/2020 véhicule part en épave. 
Au final ne rembourse pas les mois que j ai payé sans avoir aucune raison. 
Ils savent juste appâter les clients avec des offres et ils arnaquent une fois le contrat signé. 
Les conseillers ne répondent pas la même chose et la plupart sont hautains. 
Prix élevé 
Temps d attente téléphonique catastrophique. 
Vraiment à fuir. 
</t>
  </si>
  <si>
    <t>11/09/2020</t>
  </si>
  <si>
    <t>kevnath-110901</t>
  </si>
  <si>
    <t>Après avoir passé trois ans chez amdm cette année je paye plus cher qu'à mes débutalors que mon bonus a pris 0.5%.
Leurs explications était qu'ils avaient eu beaucoup d'accident en 2020 année du COVID 19 alors que pendent plusieurs mois nous n'avons pas pu rouler, alors que toutes les autres ont baissé leurs tarifs eux ils augmentent.
Je ne comprends pas car si moi j'ai un accident je vais prendre du malus et donc payer plus cher normal, mais je ne vois pas pourquoi mon assurance augmente alors que pour ma part je n'en ai pas eu.
Du coup cette année j'ai changé et de 1100 euros je passe à 506 tous risque alors qu'à la MDM j'étais au tiers ... Chercher l'erreur</t>
  </si>
  <si>
    <t>19/04/2021</t>
  </si>
  <si>
    <t>kummel-r-125158</t>
  </si>
  <si>
    <t>le groupe l'olivier assurance faisant parti du groupe Admiral, vous pourriez vous adresser à votre branche UK pur récupérer les documents nécessaires à mon adhésion car vous demandez des documents qui ne sont pas courant en Angleterre</t>
  </si>
  <si>
    <t>olivier-t-111984</t>
  </si>
  <si>
    <t>Le service clientèle est catastrophique, les conseillers font n'importe quoi et m'ont fait payer 3 contrats pour 2 voitures, je suis excédé, la communication est coupée est il est impossible de parler au même conseiller perdu 3 heures au téléphone et le problème n'est toujours pas réglé et je ne suis pas remboursé de la cotisation trop payée</t>
  </si>
  <si>
    <t>rachid-42821</t>
  </si>
  <si>
    <t xml:space="preserve">Je débute je n’ai pas grand chose à dire sur ce n’est que j’ai été  en relation avec des oerdonne à l’écoute,  patientes  et efficaces et que mon inscription a été rapide </t>
  </si>
  <si>
    <t>michele-b-108218</t>
  </si>
  <si>
    <t xml:space="preserve">Augmentation de plus de 12% en un an !
Je n'ai souscrit aucun pack et je vois une ligne supplémentaire attentats  pour plus de 25€ J'aimerais savoir de quoi il s'agit .
Merci </t>
  </si>
  <si>
    <t>27/03/2021</t>
  </si>
  <si>
    <t>jeremy-68972</t>
  </si>
  <si>
    <t>Bonjour à tous, je rejoins le cercle des grands déçus de la cardif....ma femme en arret depuis février suite à accident de travail pr pb à la jambe et au dos.....apres avoir attendu les 90jours de carence, tt les interlocuteurs st d accord sur le fair qu on ai le droit à l indemnisation, sauf le decideur qui évoque une clause de contrat alors qu il est bien écrit sur mon contrat la prise en charge du pret suite à ITT apres 90j de carence.....il faut m expliquer....</t>
  </si>
  <si>
    <t>27/11/2018</t>
  </si>
  <si>
    <t>dylan58-109134</t>
  </si>
  <si>
    <t xml:space="preserve">La souscription  en ligne est simple et rapide, les options sont bien détaillé et à la carte
Le tarif est visible de suite des que l'on a cliqué sur l'option 
Et tarif bien placé </t>
  </si>
  <si>
    <t>04/04/2021</t>
  </si>
  <si>
    <t>mohamed-ali-h-124539</t>
  </si>
  <si>
    <t xml:space="preserve">Je suis satisfait du service mais reste à améliorer dans le sens où si on doit modifier ou rajouter des conducteurs ce n’est pas possible directement </t>
  </si>
  <si>
    <t>loris-c-132725</t>
  </si>
  <si>
    <t>efficace ,
et,
 rapide ,
le
 meilleur 
tarif
 du
 net mais des commentaires obligatoire pour donner son avis c est vraiment tres tres tres tres tres saoulant</t>
  </si>
  <si>
    <t>levy-d-125283</t>
  </si>
  <si>
    <t xml:space="preserve">Je suis satisfait du site et du service par téléphone, j'attends le retour des pieces et de completer mon dossier chez vous pour réellement apprécier votre assurance au quotidien </t>
  </si>
  <si>
    <t>aminemallek-60607</t>
  </si>
  <si>
    <t>Adhérent depuis plus de 15 ans , je n'ai rien à redire concernant ma mutuelle. En entendant d'autres collègues parler de leurs problèmes, je me sens plutôt pas mal lôti.</t>
  </si>
  <si>
    <t>anais-44091</t>
  </si>
  <si>
    <t>Très cher
Critères d'adhésion maïf ou Filia Maîf   très critiquables</t>
  </si>
  <si>
    <t>16/07/2017</t>
  </si>
  <si>
    <t>niniezing--100579</t>
  </si>
  <si>
    <t xml:space="preserve">Malgré des contacts téléphoniques cordiaux,  je suis très déçue pour ne pas dire en colère envers cet assureur. Les informations données sur les plaquettes publicitaires sont certes alléchantes mais totalement mensongères. 
J'ai pris la formule confort qui me coûte 61€/mois, c'est cher mais que ne ferait-on pas pour nos amis à 4 pattes. 
Je suis normalement remboursée à 100% pour les frais chirurgicaux (examens pré et post opératoires entre autres), les frais médicaux (visite, consultation, soins, médicaments ) et les frais de diagnostic (analyse, radio, echo etc). Et bien queneni!!! Des menteurs!
Déjà il y a cette histoire de franchise de 30€ qui n'apparaît dans leur publicité qu'en une toute petite ligne mal indiquée bien-sûr et à lire avec une loupe. 
Ensuite les frais. J'ai fait stériliser mon chien. Cela m'est remboursée 100€. Ok. Mais tout ce qui va avec cette opération,  les frais pré et post opératoires, les echo et autres analyses,  les médicaments à donner après... tout ça n'est pas remboursé contrairement à ce qu'ils annoncent ! Pour eux cela fait parti des frais de stérilisation ! Une honte ! Des menteurs! Si j'avais pu mettre aucune étoile je l'aurais fait !
J'ai résilié mon contrat et c'est sans regret! Mettez plutôt de l'argent de côté pour votre animal, mais ne prenez pas d'assurance! </t>
  </si>
  <si>
    <t>25/11/2020</t>
  </si>
  <si>
    <t>f-104849</t>
  </si>
  <si>
    <t>insatisfaite !
En voulant contracter une assurance rapidement et pour pas trop cher, je les ai choisi.
A mon plus grand regret, je suis en train de voir pour trouver une médiation mais impossible  facturation abusive d'un forfait de 80 € Pour non transformation du devis en contrat .
je trouve cela inadmissible.
ASSURANCE A FUIR !</t>
  </si>
  <si>
    <t>26/02/2021</t>
  </si>
  <si>
    <t>aline-67372</t>
  </si>
  <si>
    <t xml:space="preserve">je suis à SANTIANE depuis mars.les remboursements ont été effectués sans problème.
j'ai toujours eu un bon accueil téléphonique
</t>
  </si>
  <si>
    <t>05/10/2018</t>
  </si>
  <si>
    <t>li-101807</t>
  </si>
  <si>
    <t>Qui connait une bonne assurance?  On paye, on paye mais aucune aide, voir le contraire. Dommage que les assurances soient obligatoires! La Macif s'est bien dégradée:(</t>
  </si>
  <si>
    <t>23/12/2020</t>
  </si>
  <si>
    <t>supermamix-59203</t>
  </si>
  <si>
    <t xml:space="preserve">Une demande de renseignements via leur site n'a toujours pas reçu de réponse au bout de 4 jours. Ils affichent sur leur site aucun remboursement alors qu'ils ont fait un virement arrivé hier sur mon compte. Leurs garanties affichent 55 € pour une chambre particulière, alors que la clinique ne facture pas 54 € mais 72 € à leurs clients car Neoliane n'a pas signé la convention avec la clinique .. </t>
  </si>
  <si>
    <t>28/11/2017</t>
  </si>
  <si>
    <t>psandra-99149</t>
  </si>
  <si>
    <t>Je suis cliente depuis le 23 août 2020 et on m envoie un nouveau échéancier avec  7€ d augmentation pour janvier 
Je trouve ça scandaleux une augmentation au bout de 5 mois 
A eviter</t>
  </si>
  <si>
    <t>23/10/2020</t>
  </si>
  <si>
    <t>ilyes-k-134230</t>
  </si>
  <si>
    <t>Merciii pour votre assurance je suis très content de votre accueille et de votre fidélité j’essayerais sans parler à plusieurs amie à moi et mon entourage.</t>
  </si>
  <si>
    <t>rob-101449</t>
  </si>
  <si>
    <t>Le 29/11/2019 Souscription d'une assurance auto chez Direct Assurance. Véhicule Citroen c3 tous risques ,bonus 50%pour 318,51 euros.Mon fils habitant en Angleterre désirant se servir de cette voiture lord de ses séjours en France,j'en avise cette assurance le 10/08/2020 ,100,49 euros de supplément pour boucler l'année
Cotisation pour l'année 2021 667,99 Euros avec une franchise de 1500 euros en cas d'accident responsable
Comparaison avec la MAIF même voiture ,même bonus, mes enfants peuvent  se servir de mon véhicule ,même mon voisin si nécessaire Cotisation 374,82 euros franchise en cas d'accident responsable 240 Euros
Faites votre choix,en ce qui me concerne c'est déjà fait</t>
  </si>
  <si>
    <t>15/12/2020</t>
  </si>
  <si>
    <t>glo-89471</t>
  </si>
  <si>
    <t xml:space="preserve">Depuis plus de 20 ans que je suis chez macif et malheureusement j ai été déçu car depuis des années j ai payé très chere alors que ca ne devrait pas être tout simplement parce que cette assurance n a pas régularisé mon bonus 
Si je ne me suis pas rendu compte loez de mon accident je continuerai à payer plein pot 
Aucune excuse de leur part  j ai voulu un remboursement des trop percu 
 ils n ont pas voulu me rembourser la totalité de la  somme mais  encore une fois il voit leur avantage en déduisant dans mes mensualités 
 C est honteux </t>
  </si>
  <si>
    <t>07/05/2020</t>
  </si>
  <si>
    <t>fabien-l-105172</t>
  </si>
  <si>
    <t xml:space="preserve">pour l'instant tout va bien , attendons de voir quand je n'aurai plus mon A pour la suite et négocier mon contrat, en tous cas le site est claire et et bien penser.
</t>
  </si>
  <si>
    <t>02/03/2021</t>
  </si>
  <si>
    <t>odile-c-109255</t>
  </si>
  <si>
    <t>Trop cher maintenant, pour mon premier contrat contrat les prix étaient attractifs. Mais malgré un bonus en hausse, mes cotisations explosent un peu plus tous les ans.</t>
  </si>
  <si>
    <t>ombrecool-75297</t>
  </si>
  <si>
    <t>Ma mère, qui a fêté ses 93 ans, a eu un bris de glace début février Début mai toujours pas de nouvelle de la Matmut malgré de nombreux mails Compagnie à proscrire sauf à ne pas s'en servir</t>
  </si>
  <si>
    <t>05/05/2019</t>
  </si>
  <si>
    <t>michel46-102595</t>
  </si>
  <si>
    <t>MGP cher230€/mois/2 têtes. 45 ans de cotisation, retraité PN. Je la garde pour assurances vie datant 1970. Remboursements satisfaisants, convient jeunes agents, prévoir autrement dans le temps.</t>
  </si>
  <si>
    <t>marcel-79703</t>
  </si>
  <si>
    <t>efficacite rapidite
baisse du tarif par apport a ancien tarif
meilleurs remboursements</t>
  </si>
  <si>
    <t>alain-r-122202</t>
  </si>
  <si>
    <t>je suis satisfait à tous les niveaux : prix, prestations, accueil et professionnalisme de la Téléconseillère, ainsi que de la procédure de souscription en ligne</t>
  </si>
  <si>
    <t>lima-87364</t>
  </si>
  <si>
    <t>Je vous déconseille cette mutuelle, les garanties sont bien alléchantes mais les cotisations augmentent à tout va ( + 15 euros de cotisation au 1er Janvier 2020 quand même), il faut se battre pour le moindre remboursement et celà prend souvent des mois ( au vu du montant des cotisation c'est quand même vexant..) des conseillers téléphonique qui ne savent pas vous renseigner mais qui en plus vous prennent de haut, des délais de traitement jamais vu lorque qu'un mail leur est envoyé, des radiations sans préavis et sans en informer les adhérents...NON..vraiment NON.</t>
  </si>
  <si>
    <t>19/02/2020</t>
  </si>
  <si>
    <t>mathieu555--111519</t>
  </si>
  <si>
    <t>De retour en France après plusieurs années passées à l'étranger, je cherchait une nouvelle assurance pour la (nouvelle) voiture que je me suis acheté à mon retour. 
En allant sur un comparateur d'assurances automobiles, L'Olivier Assurance paraissait être la meilleure niveau prix et service proposé.
Aucun problème pour la création de dossier, bonne communication.
Dans ma grande chance, j'ai eu un accident le 28 mars 2020, quelqu'un qui a pilé devant moi dans une voie d'insertion d'autoroute, sans raison apparente. Évidemment j'ai été déclaré 100% fautif, mais bon. On se fait tous avoir avec ce genre d'idiotie absolument pas logique. Bref, le vrai problème n'est pas là.
Mon accident est arrivé un dimanche. J'appelle l'assurance, personne au bout du fil, un message automatique me dit d'aller sur le site, et ça raccroche. Je vais sur le site, et évidemment, "problème technique", la section dépannage du site ne fonctionne pas. Par chance la Gendarmerie a pu s'en charger. Mais merci L'Olivier Assurance! Heureusement que je n'ai pas eu un accident tout seul au milieu de nulle part!
Par la suite, il aura fallu 3 semaines à l'Olivier Assurance pour être capable de me fournir un "résultat d'expertise" sur mon véhicule. J'ai reçu par courrier le résultat de l'expertise, mentionnant que mon véhicule ne pouvait plus rouler légalement (Je m'en doutais merci) et un formulaire à remplir pour céder mon véhicule. À qui? Pourquoi? À quel montant? Aucune réponse à ces trois questions.
Je les appelle, on me dit que eux non plus savent pas à combien ils vont me rembourser, et que je dois encore attendre qu'ils se renseignent. De plus, on s'était mis d'accord pour laisser ma voiture dans un garage "agréé" afin que je ne paie pas de frais de gardiennage.
Évidemment, je reçoit une facture de frais de gardiennage de 12 euros par jour, sur un dossier qui traîne PAR LEUR FAUTE depuis des semaines!
J'envoie un e-mail au service qualité la semaine dernière, aucune réponse. Aucun rappel.
À chaque fois que j'appelle il n'y a aucune réponse convaincante juste des vagues explications.
Je veux bien être patient. Je comprends. Mais il ne s'agit pas d'un dossier complexe. L'autre personne concernée par l'accident, elle, a déjà son dossier réglé et terminé.
Alors s'il vous plait l'Olivier Assurance, BOUGEZ VOUS! 
Très mauvaise communication, des délais interminables, on a l'impression de s'adresser à un mur.
Je le déconseille à quiconque, payez plus cher pour une assurance digne de ce nom, l'Olivier Assurance c'est bien si vous voulez une assurance "sur papier", mais leur seule utilité c'est de fournir une vignette verte à mettre sur votre pare-brise.</t>
  </si>
  <si>
    <t>24/04/2021</t>
  </si>
  <si>
    <t>trapon99-30848</t>
  </si>
  <si>
    <t>sinistre déclaré au moment de sa découverte, non remboursé  et recommandé pour nous résilier pour nombre de sinistre excessif(1 sinistre)</t>
  </si>
  <si>
    <t>05/09/2019</t>
  </si>
  <si>
    <t>sandy-110904</t>
  </si>
  <si>
    <t>Demande de portabilité effectuée an janvier, réponse obtenue le 27 mars!
De plus à ce jour, 19 avril 2021, ils n'ont pas fait le nécessaire auprès d'Ameli, résultat je ne suis pas remboursée!! C'est scandaleux, ils ne répondent pas aux mails</t>
  </si>
  <si>
    <t>fanny-96733</t>
  </si>
  <si>
    <t xml:space="preserve">assurance chere qui ne prend pas en charge les frais je suis tout risque depuis 11 ans , pas d'accident seulement un par brise changé il y a 10 ans , pas de sinistre avec autre voiture je suis partie au fossé pour eviter un chien meme pas capable de verifier un par choc a l'arriere car le bas de caisse touché pour le reste on me traite de menteuse l'avant aussi touché une rayure mais pas retouchée , expert impoli est puis sa boite tres mal noté sur internet ,,mon mari a été obligé de dire au carrossier de verifier les pattes ce que l'expert n'a pas fait. du beau travail, on va encore dire que je suis une femme, pas de chance je suis taxi ambulanciere depuis 19 pas d'accident. </t>
  </si>
  <si>
    <t>27/08/2020</t>
  </si>
  <si>
    <t>coucou75-50947</t>
  </si>
  <si>
    <t>Bons prix mais franchises élevées et service client déplorable qui essaie de tout faire pour ne rien faire débourser... à quoi sert donc une assurance après 5 ans sans rien ? A récupérer l'argent des cotisations ...</t>
  </si>
  <si>
    <t>04/01/2017</t>
  </si>
  <si>
    <t>cs-54238</t>
  </si>
  <si>
    <t>Sont toujours prêts à encaisser les mensualités d'assurance mais, lorsqu'il s'agit de cotiser une défaillance sur vehicule, tout est fait pour ne pas payer..  Alors que le cout de l'intervention est largement couvert par une annee de cotisation d'assurance</t>
  </si>
  <si>
    <t>23/04/2017</t>
  </si>
  <si>
    <t>mdj-137811</t>
  </si>
  <si>
    <t xml:space="preserve"> Avis très satisfait de même sokhana Est 1 personne très compétente et à l écoute merci je recommande maintenant j attend de voir quand interviendra mon remboursement c</t>
  </si>
  <si>
    <t>vigne-c-126463</t>
  </si>
  <si>
    <t xml:space="preserve">les premiers conseillés que j'ai eu au téléphone n'etais pas trés clair alors que le dernier m'a tout trés bien expliquer et c'etait parfais. je trouve juste ca domage que vous n'ayez pas des solution adapter pour reduire les pris pour les jeune conducteur, comme l'installation d'un boitier dans la voiture pour evaluer notre conduite et pour faire baisser les tarifs </t>
  </si>
  <si>
    <t>04/08/2021</t>
  </si>
  <si>
    <t>manubis-104446</t>
  </si>
  <si>
    <t>Que dire ? : Surpris !
Dans le cadre d'un devis, il m'a été répondu qu'il ne pouvait me le fournir car ma future résidence se trouve en zone inondable (ce qui est le cas de l'ensemble de la ville) et que n'étant pas "client", je ne pourrai pas être chez,  elle doit également écarter les zones à risque sismique, les zones argileuses et celles à risques industrielles.
Cette assurance ne prend que des clients sans souci.
Navrant, pour une assurance qui se dit à l'écoute ...</t>
  </si>
  <si>
    <t>patrick-c-105622</t>
  </si>
  <si>
    <t xml:space="preserve">Prix 100€de plus que la concurrence ,pour une premiere demande depuit que Je suis assurè chez vous cela ne sait pas bien passè , je refait un dernier essaye pour un an si j'ai un autre problème j'arrette </t>
  </si>
  <si>
    <t>cricri-102026</t>
  </si>
  <si>
    <t xml:space="preserve">Macif assurance a fuir assurée depuis plus de trente ans sans auquin sinistre  je vais changer tous mes contrat d'assurance  d'automobile moto maison mutuelle </t>
  </si>
  <si>
    <t>30/12/2020</t>
  </si>
  <si>
    <t>loutch29-109437</t>
  </si>
  <si>
    <t>Juste un seul mot ... LAMENTABLE
On ne peut pas les joindre directement, et lorsque l'on y arrive, ils ne peuvent pas résoudre le problème sur le moment. On vous dit que vous serez re-contacter sous 10 jours par un conseiller pour avoir une réponse (alors que vous attendez une solution immédiatement) et bien évidemment, ce même conseiller ne vous rappel même pas... Et le contact, par mail, c'est encore mieux il faut attendre quasiment 1 mois pour avoir un quelconque retour !! Je peux par dire mieux parce que ce serait pire ... BREF A FUIR (J'ai mis 1 étoiles parce que l'on ne pouvait pas choisir Zéro)</t>
  </si>
  <si>
    <t>jimmy-d31-136301</t>
  </si>
  <si>
    <t>La MAIF, assureur militant qui milite surtout pour ses profits. Le passage récent à la rémunération au mérite achève de dissiper toute illusion sur cet organisme : adieu la façade sociale et humaine, bienvenue à l'ultra-capitalisme affiché et revendiqué. Une connaissance employée chez ces gens-là m'avait bien avertie il y a près de vingt ans : il ne faut pas avoir de problème. Particulièrement si l'on est assuré chez eux en effet ! A quoi bon souscrire une assurance tout risque si le coût de la réparation est compensé par l'augmentation automatique de la cotisation et la flétrissure d'un malus, quand bien même des années se seraient écoulées sans le moindre événement. Dernièrement j'ai été démarché de manière assez agressive par une agente afin de souscrire un contrat supplémentaire pour ma fille. Dans la foulée, j'ai signalé en ligne un accident causé par une automobiliste en état second, par le bais d'un courriel d'abord puis par une déclaration de sinistre en ligne, pièces à l'appui, dont la photo de la carte d'identité de la chauffarde tenue par un gendarme. Pas de réponse. En revenant sur le site, ma déclaration en ligne avait purement et simplement disparu ! J'ai appelé, on m'a dit qu'il était trop tard, qu'un freinage d'urgence ne pouvait pas causer un problème de géométrie. Je doute qu'un agent d'assurance fasse autorité en physique et puisse me donner des leçons sur les effets de la dissipation de l'énergie. Bref, la MAIF au même titre que n'importe quel autre prestataire de service lambda participe du mépris du consommateur généralisé, dans un système où moyennant finances ( pas loin de 2000 euros annuels en ce qui me concerne), vous obtiendrez toujours la même prestation : rien, niente, nada.</t>
  </si>
  <si>
    <t>yahyaoui-i-134172</t>
  </si>
  <si>
    <t>Je suis satisfaite de la mise en place, j'ai appelé plusieurs fois les conseillers et j'ai toujours été très éclairée. J'ai découvert via un comparateur.</t>
  </si>
  <si>
    <t>hober-j-136580</t>
  </si>
  <si>
    <t>Très bien, je suis satisfaite de mon assurance pour ce début de contrat. l'ouverture a été rapide et mon conseiller à l'écoute. Je recommande cet assureur.</t>
  </si>
  <si>
    <t>08/10/2021</t>
  </si>
  <si>
    <t>bruno-69021</t>
  </si>
  <si>
    <t xml:space="preserve">L'assurance tout risque n'est pas tout à fait tout risque puisqu'il  y a des franchises trop élevées.
être assuré tout risque et avoir 80 e pour un par-brise, 40 e il y a 4 ans avec un véhicule bien plus conséquent.  </t>
  </si>
  <si>
    <t>carpentier-c-139315</t>
  </si>
  <si>
    <t xml:space="preserve">Je suis satisfait même très content et remercie l Olivier assurance   Je recommande à tous ceux qui ont une situation un peu particulière comme moi après 3 ans d Afrique sans avoir maintenu un véhicule assuré en France c est très compliqué de ce réassurer ne perdez pas votre temps avec les le furet etc etc j ai tout tenté et un seul a répondu présent c est l Olivier assurance  bravo a vous l Olivier </t>
  </si>
  <si>
    <t>09/11/2021</t>
  </si>
  <si>
    <t>jeff69800-137357</t>
  </si>
  <si>
    <t>J'ai eu une conversation avec FALL au sujet de mon admission a l'hôpital et a propos de la prise en charge et tout était clair dans ses explications. je suis satisfait de cet échange.</t>
  </si>
  <si>
    <t>joao-m-133980</t>
  </si>
  <si>
    <t>Je suis sastifait je recommanderais direct assurance à mes amis
J’ai été bien accueilli quand j’ai appeler direct assurance
Bon accueil téléphonique Merci à vous</t>
  </si>
  <si>
    <t>yl-98281</t>
  </si>
  <si>
    <t>Dossier de remboursement refusé pour mon fils étudiant après de nombreuses relances avec a la fin pour motif....certificat de scolarité fourni non valable car soins au mois de juillet et certificat terminant en juin et reprenant en septembre courrier non signé .......</t>
  </si>
  <si>
    <t>02/10/2020</t>
  </si>
  <si>
    <t>anita-64137</t>
  </si>
  <si>
    <t>assurance résidence secondaire. si vous êtes absent plus de 8 jours vous n’êtes plus assuré sauf cas de force majeure. ne pas pouvoir se déplacer même avec certificat d'hospitalisation n'est pas un cas de force majeure. j'ai 84 ans. je cherche une autre assurance</t>
  </si>
  <si>
    <t>22/05/2018</t>
  </si>
  <si>
    <t>moimeme-98474</t>
  </si>
  <si>
    <t>Tres bonne assurance avec des interlocuteurs  a lecoute de vos problèmes  et des personnes competentes et professionnels  lors dun sinistre  ce qui a ete le cas our moi</t>
  </si>
  <si>
    <t>07/10/2020</t>
  </si>
  <si>
    <t>francisco-jose-d-105049</t>
  </si>
  <si>
    <t>Satisfait du service meme si eu besoin d'appeler suite a un beug, dans l'ensemble bon service clientele et prix intéressants + offre parrainage non négligable</t>
  </si>
  <si>
    <t>jpf-112557</t>
  </si>
  <si>
    <t>suite à un problème de connexion au site de la mutuelle, j'ai appelé Santiane .
Mon interlocuteur a été courtois, efficace et a mis tout en œuvre pour traiter mon problème.</t>
  </si>
  <si>
    <t>bernard-62653</t>
  </si>
  <si>
    <t>Bonjour, un serveur vocal ma mis en relation avec un conseiller de cette assurance. Le conseiller me dit alors qu'il est mandaté par ma mutuelle pour mettre mon dossier à jour prétextant que je ne suis pas protégé par ma mutuelle si je doits subir un acte chirurgical. Il me propose alors de mettre en place une indemnité journalière hospitaliere d'un montant de 18 euros par mois me donnant droit à prise en charge de 150 euros par jours passé à l'hôpital. Après tout je me dits pourquoi pas venant surtout de passer un séjour à l'hôpital. Puis très vite viens le moment de donner mon IBAN puis il me dit que je vais recevoir un code à 5 chiffres sur mon portable pour sécuriser la transaction j'ai franchement trouvé sa très louche ce fameux code à 5 chiffres...viens donc le moment où je reçois ce code qui me confirme le montant des 18 euros c'est alors que je lui demande si il m'était possible de résilier après validation le conseiller me répond que oui. J'accepte donc volontier de donner ce code surtout après que le conseiller m'a confirmé qu'une personne du contrôle qualité aller m'appeler pour vérifier l'appel du conseiller. Trois jour après je reçois ce fameux appel du contrôle qualité et la je demande à résilier. La personne que j'ai au bout du fil me confirme ma résiliation mais à ma stupéfaction la plus totale je me faits prélever depuis depuis janvier sur mon compte !!! Comment dois je faire pour arrêter ces prélèvements qui n'auraient jamais dû avoir lieu puisque le monsieur du contrôle qualité m'avait bien confirmé que le contrat était résilié !</t>
  </si>
  <si>
    <t>24/03/2018</t>
  </si>
  <si>
    <t>tetreiis-101865</t>
  </si>
  <si>
    <t>méfiez vous de cette assurance qui est comme une toile araignée une fois la mouche pris dans son filet ne se gêne pour bien en profiter de vous dévorer.</t>
  </si>
  <si>
    <t>26/12/2020</t>
  </si>
  <si>
    <t>laurent-95784</t>
  </si>
  <si>
    <t>Je suis à la MGP depuis plus de 20 ANS et n'en changerais pas. Interlocutrices aux TOP, courtoises et très professionnelles. Je recommande cette mutuelle. Personnellement, j'en suis très satisfait.</t>
  </si>
  <si>
    <t>31/07/2020</t>
  </si>
  <si>
    <t>mounir-137976</t>
  </si>
  <si>
    <t>Depuis 3 jours que j'essaie d'avoir des info sur ma voiture qui m'a lacher a l'étranger avec une panne moteur, la voiture est toujours sur place, et il ne l'ont toujours pas emmener dans un garage, et personne de chez cette assurance n'est capable de me donner la moindre visibilité, ils me sort toujours la phrase magique (on va noté dans le dossier) ou (on va envoyer un mail au service international)
cette assurance n'a aucun service client, c'est a éviter et a résilier pour les personnes qui n'ont pas encore eu des galère a l'étranger</t>
  </si>
  <si>
    <t>21/10/2021</t>
  </si>
  <si>
    <t>momo-103340</t>
  </si>
  <si>
    <t xml:space="preserve">Une assurance facile d'accès pour leurs clients bravo pour leur assistance lors des interventions aux sinistrés ils sont extrêmement compétants et de bon conseils vraiment rien a redire sur cet organisme MATMUT ils ont toujours répondu présent lors de mes problèmes tempête inondation ou autres </t>
  </si>
  <si>
    <t>27/01/2021</t>
  </si>
  <si>
    <t>philippe77-78293</t>
  </si>
  <si>
    <t>J ai découvert cette assurance sur un comparatif d assurance,du coup j ai souscrit,prix plus que correct, a mon avis c est par rapport aux franchises qui sont quand même assez élevées ,on a le choix du montant,ce qui influe en + ou en - sur le tarif,mais bénéficiant d une complémentaire qui couvre le complément cela ne me gêne pas plus que ça !</t>
  </si>
  <si>
    <t>08/08/2019</t>
  </si>
  <si>
    <t>niki-76338</t>
  </si>
  <si>
    <t xml:space="preserve">Depuis 30 ans à la MAMUT pour 1 assurance habitation. 1er sinistre, la douche froide !. Cet hiver mon véhicule en stationnement a glissé à cause du verglas dans ma pente de garage et est venu percuter ma porte coulissante. Dossier traité : recul d'un véhicule dans 1 porte de garage. Pas d'explication ni d'excuse sur cette erreur. J'ai été prévenu par courrier tarif vert de l'annulation d'un RDV pour 1 expertise à mon domicile. Evidemment ce courrier n'est jamais arrivé à temps et absence de mon travail pour rien ! Là, non plus, aucune excuse. Pour finir, bien que le jour du sinistre METEO FRANCE avait qualifié les conditions climatiques de tempête GABRIEL, la MAMUT se base sur 1 bulletin officiel local qui atteste que la vitesse du vent était inférieur à 100 km/h. Donc la clause intempérie n'est pas prise en compte. J'ai porté une réclamation depuis + de 2 mois. Toujours aucune réponse !    </t>
  </si>
  <si>
    <t>29/05/2019</t>
  </si>
  <si>
    <t>djamel-c-132306</t>
  </si>
  <si>
    <t xml:space="preserve">Demande très simple et facile à comprendre avec un prix raisonnable sans la moindre complication informatique ni blocage des information donner je recommande </t>
  </si>
  <si>
    <t>mimi-66032</t>
  </si>
  <si>
    <t>Catastrophique, ne tient pas ses engagements, j'attends depuis deux semaines une facture. La personne avec qui j'ai dialogué m'a dit qu'elle traitait ma demande immédiatement et que j'allais la recevoir sous une petite semaine, je l'attends toujours.......
Aujourd'hui j'ai proposé que l'on me l'adresse par mail.......Pas possible!!!!!</t>
  </si>
  <si>
    <t>07/08/2018</t>
  </si>
  <si>
    <t>bm-76445</t>
  </si>
  <si>
    <t>Contact efficace impossible agent ou générali France. Les anciens contrats sont délaissés</t>
  </si>
  <si>
    <t>03/06/2019</t>
  </si>
  <si>
    <t>chaba75-70634</t>
  </si>
  <si>
    <t xml:space="preserve">Bonjour, suite à un accident non responsable survenu le 13/12/2018 (gros choc à l'arrière de mon vehicule alors que j'etais à l'arrêt pour cause d'embouteillages), je n'ai à ce jour aucune nouvelles de la gestion de mon sinistre. Comme une impression que mon dossier est tombé aux oubliettes et que personne ne s'en occupe. Les interlocutrices que j'ai eu au telephone m'avaient pourtant assuré qu'on me contacterai dans un délais maximal de 30 jours, aujourd'hui nous sommes le 26/01/19 et ce délais est LARGEMENT dépassé. Je me retrouve donc avec un coffre bloqué, enfoncé, et avec un radar de recule H.S depuis le 13/12/18. Inadmissible. De +, le garage qui était censé prendre contact avec moi sous 48h pour l'expertise de mon vehicule ne m'a même pas contacté. J'ai du contacter direct assurance, pour qu'ensuite on me dise "Ils sont debordés tenez leur numéro et contactez les directement". En claire, depuis le 13/12/18, mon dossier est toujours en cours d'analyse, et la gestion doit apparemment être faite par moi même. Je ne travail pas chez direct assurance à ce que je sache, de plus je vous paye chaque mois pour être ASSURÉ donc merci de GERER mon dossier AU PLUS VITE. </t>
  </si>
  <si>
    <t>26/01/2019</t>
  </si>
  <si>
    <t>jordan-tony-b-127897</t>
  </si>
  <si>
    <t>Une assurance au top niveau prix et facilité, je recommande vivement, imbattable par rapport aux autres assureurs moto et possibilité d assurer des motos de grosses cylindrée pour bcp moins cher.</t>
  </si>
  <si>
    <t>bsafran-50612</t>
  </si>
  <si>
    <t xml:space="preserve">Alors que la lois impose une mutuelle employeur obligatoire il est très compliqué de résilier la mutuelle Néoliane. Ce n'est qu'après avoir engagé une procédure légale qu'ils ont accepté la résiliation. entre temps j'ai perdu beaucoup d'argent. </t>
  </si>
  <si>
    <t>emilie-53110</t>
  </si>
  <si>
    <t>impossible de faire des retraits partiel par soi même, quand on en a vraiment vraiment besoin!!!!!!. Toujours des incidents technique sur leur site .....</t>
  </si>
  <si>
    <t>dadu-65145</t>
  </si>
  <si>
    <t xml:space="preserve">Je suis très déçu de la Macif. J'ai changé d'assureur suite à des augmentations de tarif pour venir à la Macif il y a à peine 2 mois pour assurer 2 véhicules. Cela a commencé lors de la souscription par des problèmes de documents non reçus que la Macif m'a réclamés et qu'elle a retrouvé quand j’ai eu un conseiller au téléphone !
 Lors de la souscription d'un troisième véhicule, rebolote, documents non reçus. Après appel téléphonique, 1 des documents soit disant manquant est retrouvé !!
Vu la gestion catastrophique des documents lors d'une souscription, je n'ose même pas imaginer ce qui va se passer si un jour j'ai un sinistre. J'ai donc stoppé le dossier en cours pour le troisième véhicule.
La plateforme messagerie du site internet ne sert à rien car personne ne vous répond ni ne vous rappel, sauf bien sûr pour souscrire les contrats.
Donc du coup, je vais retirer les deux autres véhicules qui ne sont assurés que depuis 2 moins à peine. 
</t>
  </si>
  <si>
    <t>29/06/2018</t>
  </si>
  <si>
    <t>kalimero62-88327</t>
  </si>
  <si>
    <t>Tant que vous payez et qu'il vous n'arrive rien .... cet assureur est fait pour vous !</t>
  </si>
  <si>
    <t>14/03/2020</t>
  </si>
  <si>
    <t>anne-claire-g-130631</t>
  </si>
  <si>
    <t>nous sommes pour le moment satisfaits de GMF globalement
rien à signaler de majeur, toujours présents quand on les appelle, espérons que ça dure! merci</t>
  </si>
  <si>
    <t>j-m-99101</t>
  </si>
  <si>
    <t xml:space="preserve">nul en suivit conseils …. nul en tout……. tres decu …. suite a un sinistre non responsable …. j ai l impression d 'etre le coupable …. cette assurance me laisse bien des doutes et de l'amertume …… chez eux depuis 17 ans voir plus jamais de sinistres ….. je suis degouter </t>
  </si>
  <si>
    <t>22/10/2020</t>
  </si>
  <si>
    <t>emilie-78429</t>
  </si>
  <si>
    <t>Cela fait plusieurs années que je suis chez l'olivier et j'en suis très heureuse les conseillers sont disponible et agréable et les tarifs très intéressant.</t>
  </si>
  <si>
    <t>24/09/2020</t>
  </si>
  <si>
    <t>nenen79-126670</t>
  </si>
  <si>
    <t>Ayant trouver beaucoup moins chère sur l'ensemble de mes contrats j 'ai donc fais le nécessaire pour résilier  l'ensemble par le biais de ma nouvelle compagnie d'assurance. J'ai ensuite reçu l'acceptation de résiliation donc je pensais que c'etait régler et bien non puisque les prélèvements ont encore lieux 3 mois après!!! Depuis la demande de résiliation en mai 2021 et demande du relevé d'information rien  n'à été pris en compte, il m ont fait tourner en bourique plusieurs fois par mails pour me réclamer les documents qu'ils avaient déjà ...Un comble de voir çà!
 Au premier appel au téléphone ils m'ont dit qu'ils me rembourserai des mensualitées prélevés à tors puis m'ont laisser le bec dans l'eau sans réponse, et ont fini par me dire qu ils ne pouvaient plus rien faire que c'est à la nouvelle compagnie de faire le necéssaire pour tout refaire (alors que cela avait déjà été fait)!!! 
Impensable....C'est le monde à l'envers!
Prise de tête avec cette personne qui ne voulais rien entendre je lui ai donc écrit pour lui réexpliquée mon mécontentement mais bizarrement impossible de l'envoyer! je suppose qu' elle m'à surement bloquer.. Bravo Pacifica
 Abhérant et inadmissible se sont des menteurs, prêt à tout pour ponctionnner de l'argent malgrès les démarches faite. Ils se foutent du monde et font à l'usure des nerfs  à fuir totalement!!! 
L'affaire n'etant pas résolu ce jour je pense faire prochainement une lettre avec AR à la direction pour être rembourser.</t>
  </si>
  <si>
    <t>05/08/2021</t>
  </si>
  <si>
    <t>jps45-37995</t>
  </si>
  <si>
    <t>Tout à fait d'accord avec les avis des autres Internautes. Direct Assurances moins cher que les autres mais ... la 1ère année seulement. Après ça augmente et pas qu'un peu. De plus, il est vivement conseillé de ne pas avoir un accident, responsable ou pas d'ailleurs, car pour les règlements de ceux-ci, il faut être très très très patient.
En conclusion, une compagnie d'assurance à fuir !</t>
  </si>
  <si>
    <t>28/01/2019</t>
  </si>
  <si>
    <t>claire-l-114301</t>
  </si>
  <si>
    <t>Très satisfaite de la prise en charge et des assurances proposées, mon conseiller a toujours été présent à chaque demande ou interrogation. Je recommande.</t>
  </si>
  <si>
    <t>maminou-130144</t>
  </si>
  <si>
    <t xml:space="preserve">globalement satisfaite par contre par du tout contente sur le non remboursement d injection de Durolane non remboursé alors que ce type de mesure n est pas  inscrit dans le contrat ce qui veut dire que les régles changent au bon vouloir de l assureur j ai porté une réclamation laisse lettre morte hormis le fait de dire que c est non 
</t>
  </si>
  <si>
    <t>danyray-108527</t>
  </si>
  <si>
    <t>j'ai eu des renseignements positifs de SALIM. Je suis dans l'attente de l'ouverture de mon compte adhérent. heureusement SALIM m'a redonné espoir ! Cordialement</t>
  </si>
  <si>
    <t>jean-92281</t>
  </si>
  <si>
    <t>Très intéressant, je pensent vraiment à souscrire à cette assurance, j’ai pas mal d’amis qui y sont assurer et il sont tout satisfait, surtout ce système de youdrive</t>
  </si>
  <si>
    <t>25/06/2020</t>
  </si>
  <si>
    <t>pierre-s-131057</t>
  </si>
  <si>
    <t>Je suis satisfait de vos services et de votre réactivité de l amabilité et de la patience des personnes qui correspondent au téléphone.Je conseillerais vôtre entreprise.</t>
  </si>
  <si>
    <t>bouad-b-115923</t>
  </si>
  <si>
    <t xml:space="preserve">premier pas chez l'olivier assurance, pour le moment tout vas bien, je vais bientôt assurer un deuxième véhicule. je recommande grandement cette assurance </t>
  </si>
  <si>
    <t>ouahmed-a-134562</t>
  </si>
  <si>
    <t>service client au top , le conseillé a été très clair et ne manquait pas de gentillesse. il était très professionnel. je recommande l'olivier assurance auto</t>
  </si>
  <si>
    <t>adrien-50187</t>
  </si>
  <si>
    <t>Assurance correcte mais qui ne cesse d'augmenter ses tarifs d'année en année. La conseillère m'a même dit que je n'avais d'autres choix que de résilier si je voulais avoir un prix d'assurance correct...</t>
  </si>
  <si>
    <t>patrick-68064</t>
  </si>
  <si>
    <t>Bonjour, sociétaire à la MAIF depuis 1970, je constate une dérive décevante de ce qui n'est plus qu'une pseudo mutuelle vers le monde du commerce. Alors que mon véhicule est assuré Plénitude, je viens de me voir refuser la prise en charge du capteur de pluie lors d'un changement de parebrise. Le garage BMW qui a effectué la réparation m'assure que ce capteur est solidaire du parebrise et ne peut être réutilisé et aucun autre assureur n'a refusé de le prendre en charge jusqu'à ce jour. A la MAIF aussi il va falloir prendre l'habitude de lire entre les lignes avant de signer un contrat. Patrick.</t>
  </si>
  <si>
    <t>25/10/2018</t>
  </si>
  <si>
    <t>mm-53953</t>
  </si>
  <si>
    <t xml:space="preserve">Très déçue </t>
  </si>
  <si>
    <t>09/04/2017</t>
  </si>
  <si>
    <t>maurice-49981</t>
  </si>
  <si>
    <t xml:space="preserve">L'assureur est incompétent
Il est de connivence avec les experts, et ceux ci sont rémunérés en fonction de leur avis défavorables à la prise en charge du sinistre.
A la suite des conditions climatiques de septembre 2016, ma fille a un mur de clôture de son petit jardin qui est tombé chez le voisine.
Appel assurances: ok c'est pris en charge, on vous envoie un entrepreneur pour établir un devis.
L'entrepreneur vient les mains dans les poches, ne mesure rien, "un touriste", est repart en disant: "ça va faire cher", 12000 à 15000€.
Bien sur Direct Assurances au delà d'un montant envoie un expert.
2 mois après l'expert arrive, et établit un rapport disant:"le mur n'a pas été fait dans les règles de l'art avec ferraillage"
Le ferraillage y est mais il ne l'a pas vu, ou pas cherché, la construction est de 1978.
Conclusion de l'assurance: nous ne pouvons pas prendre en charge les travaux.
Merci Direct Assurances.
Si vous avez une ancienne maison, qui avec le temps a des points faibles, il est inutile de vous assurer, on ne vous remboursera pas en cas de sinistre.
Et pourtant l'assurance est obligatoire.
  </t>
  </si>
  <si>
    <t>08/12/2016</t>
  </si>
  <si>
    <t>mohanidas-104009</t>
  </si>
  <si>
    <t>L assureur fait des erreur sur ton coefficient et il te resilie alors que c est de leur faute.imcomprehensible mes traite toujours payer et pas d accident mais il te continue pas ton assurance a cause de leur erreur ????????????????</t>
  </si>
  <si>
    <t>11/02/2021</t>
  </si>
  <si>
    <t>henri-s-131276</t>
  </si>
  <si>
    <t>Je suis déjà client pour une voiture chez direct assurance ..Puis avoir encore un meilleur prix avec ma femme en conducteur principal pour cette voiture.ceci est la voiture secondaire du couple et fait environ 5000 kilomètres par an</t>
  </si>
  <si>
    <t>olivierin-54554</t>
  </si>
  <si>
    <t>si t'as un sinistre, ton conseiller te demande de bien vouloir ne pas renouveler le contrat.
L'expert passe en petit tailleur, et est plus copine avec l'expert adverse que pour t'aider; ne monte pas à l'échelle pour voir le sinistre!</t>
  </si>
  <si>
    <t>09/05/2017</t>
  </si>
  <si>
    <t>jeanluc77-111849</t>
  </si>
  <si>
    <t xml:space="preserve">Sauvez vous de cette mutuelle. Impossible d avoir  une personne pour un entretien téléphonique. Remboursement en moyenne 1 mois après l envoie du remboursement. Nous étions au groupe Malakoff jamais nous avons eu de problème au contraire avec des gens très compétents et toujours à régler vos problèmes avec le sourire ?? </t>
  </si>
  <si>
    <t>elbrahmi270-94179</t>
  </si>
  <si>
    <t>La macif aucune valeur humaine
La macif nous a laisse avec nos 4 enfants en galère à 450 km de notre domicile pour une franchise de 350 euros que nous ne pouvons pas régler dans l'immédiat et le garage ne veut pas nous remettre le véhicule et malgré nos demandes a la macif pour annuler la franchise exceptionnellement et leur rembourser en fin de mois, nous avons eu des refus. C'est écœurant et après la macif se dit avoir des valeurs ! Foutaises ! Aucune différence avec d'autres groupes d'assurance. Avant d'aller verser des millions d'euros à des associations ils feraient mieux de s'occuper avant tout de leur sociétaire</t>
  </si>
  <si>
    <t>jean-philippe-77165-90688</t>
  </si>
  <si>
    <t>Très satisfait des services et renseignements; nous sommes clients depuis de nombreuses années chez Direct assurance. Les prix sont également attractifs</t>
  </si>
  <si>
    <t>ludom-91348</t>
  </si>
  <si>
    <t xml:space="preserve">Il y a deux ans je suis arrivé chez eux en tant que nouvel assuré et nouveau motard.
A se moment j'avais dû faire assuré ma moto non A2 au nom d'un de mes collègues pour qu'il puisse me la chercher et l'emmener en concession pour la faire bridée. Dès que j'avais reçu mon permis.  Appel au service client pour changer de conducteur avec envoi par mail de la copie de mon permis.
Depuis trois jours je réalise que se changement de conducteur n'a pas eu lieu. C'est a dire que je roule sans être assuré depuis DEUX ANS !
Et comme beaucoup je n'arrive pas a les contacter.
Je ne peux donc ni utiliser ma moto, ni revendre ma moto ! Vu que j'ai eu la passerelle et que je vais changer de moto.
Cette situation n'a rien a voir avec le covid19 mais a une faute lourde et qui aurait pu avoir de graves conséquences pour ma vie si j'avais eu un accident.
 </t>
  </si>
  <si>
    <t>18/06/2020</t>
  </si>
  <si>
    <t>oussous--97303</t>
  </si>
  <si>
    <t>Direct Asdurance a  le meilleur service.et moins chère en france. Je conseille tous mes connaissances à rejoindre Direct Assurance.en plus les conseillers de clientèle sont bien accueillir.
Mille Merci et merci.</t>
  </si>
  <si>
    <t>joelleschneider-89511</t>
  </si>
  <si>
    <t xml:space="preserve">Je suis en invalidité 2 et j'aimerais percevoir le capital pour changer de maison adaptée à ma maladie dégénérative. Je suis actuellement remboursée mensuellement à 100%. Au téléphone on me dit que mon dossier à été enregistré en ITT et le faire passer en IPT semble irréalisable et J'ai saisi une réclamation .Si je n'ai pas de réponse je saisirai la mediation-assurance. A part ce pb, remboursement efficace pour ma part ! </t>
  </si>
  <si>
    <t>10/05/2020</t>
  </si>
  <si>
    <t>antares-46797</t>
  </si>
  <si>
    <t xml:space="preserve">  je suis  depui+  de 20 ans  chez euophil  aujourd'hui   je quite cet assureur 
 je suis ce que  l'on apelle un bon conducteur  ss accident depuis  30 ans 
 j'ai demander un geste commercial   pr mon assurance  tous risque  ce qui  m'a ete  donne  puis retirer cette annee  l'interlocuteur  que   j'ai eu  est on ne peux plus desagreable   je  quite donc europhil  ss etat  d'ame  </t>
  </si>
  <si>
    <t>09/04/2018</t>
  </si>
  <si>
    <t>leclercq-v-108352</t>
  </si>
  <si>
    <t xml:space="preserve">Pour ce qui est de la souscription, rien à dire, simple rapide et efficace, pour le prix a priori je n'ai pas trouvé plus compétitif , j'espère que le service derrière sera également de qualité le jour où il le faudra </t>
  </si>
  <si>
    <t>cyril38-90545</t>
  </si>
  <si>
    <t xml:space="preserve">Tout commence par une journée ensoleillée où je vais suivre l'avancée des travaux qui ont eu lieu au cours de la semaine.
Arrivé sur place je constate que le ciel se couvre et devient nuageux.
Je m'approche de la baie vitrée et là je constate qu'elle est entrouverte. Stupéfait le montant et l'encadrement de la baie vitrée ont été forcés ! Quelqu'un est rentré dans ma maison après une détermination sans faille. Je ne fais qu'un tour dans ma tête, qu'ont-ils pu voler?
La maison est vide et en construction, la chape vient tout juste de sécher.
Que vois-je ?, deux autres baies vitrées et une fenêtre à l'étage ont été forcées également !
Je garde mon sang froid, rien de particulier a été volé dans cette maison vide à part deux gâches à l'étage. Pourquoi autant d'acharnement pour deux gâches?
Immédiatement, je m'éloigne de la maison observe une vue d'ensemble sur celle-ci, le ciel se couvre, la pluie tombe, j'appelle notre maître d'œuvre pour l'informer.
Stupéfait lui aussi, il me demande sur un ton assez inquiet mais courtois de vérifier immédiatement si le tableau électrique est toujours présent.
Je cours jusqu'au local technique, Ouf ! Tout est en place. Seulement une baie vitrée qu'il faudra changer complètement et deux autres avec des pièces à changer. Après l'arrivée des gendarmes qui se déplacent rapidement pour constater les faits et relever des empreintes de mains gantées. Je vais déposer plainte sous une pluie battante et commence à monter le dossier que l'assurance SOGESSUR m'a demandé d'établir. Une véritable investigation commence, dehors le déluge s'abat sur notre village. Je joins au dossier d'expertise, photographies, plan de la maison, l'état des pertes des objets endommagés et / ou dérobés, devis et justificatifs pour les réparations à engager, 72 heures avant l'arrivée de l'expert le tout pour un montant de plus de 10 600 eurosTTC.
Lors de la visite de l'expert le temps s'est adouci, le dossier scanné 72 heures avant n'a pas pu lui parvenir mais il commence à œuvrer malgré cela et nous fait un véritable interrogatoire :
Question: " Monsieur, Madame, habitez-vous dans le logement ? "
Réponse : " Non monsieur, il est en cours de construction sans eau ni électricité."
Question : " Est-il hors d'air et hors d'eau ? "
Réponse : " Oui Monsieur "
Directive : "Montrez-moi toutes les dégradations constatées pour cette tentative de vol par effraction".
En compagnie du maître d'œuvre et de mon épouse, nous faisons le tour de la maison, l'expert prend les photos de toutes les dégradations et du matériel à changer.
Au bout d'1h30, il nous salue, je le raccompagne et l'expert en assurance habitation, mandaté par SOGESSUR repart au volant de sa voiture, dans la grande ville voisine afin de rédiger son compte rendu à SOGESSUR.
Dehors le ciel noirci.
Quelques jours plus tard, je reçois un courrier électronique, m'expliquant que rien, non rien de rien ne sera pris en charge par l'assurance SOGESSUR. Ce genre de sinistre n'est pas pris en charge par l'assurance SOGESSUR car je n'habite pas dans les lieux. Je précise à nouveau que le domicile est en construction sans eau, ni électricité.
Dehors il tombe une pluie de toute une vie en quelques heures.
Rapidement, j'appelle l'assurance SOGESSUR pour me protéger, si les brigands reviennent, je ne pourrai pas sortir 10 600€ du chapeau de magicien d'un de mes trois enfants.
L'attente au téléphone me paraît interminable. Ca y est, une charmante dame me répond.
Après avoir échangé par téléphone et dans le but de me couvrir pour un éventuel sinistre à venir, celle ci m'explique qu'à l'assurance de la SOCIETE GENERALE, SOGESSUR il n'existe ni option, ni forfait pour ce genre de sinistre. C'est à dire, tant que le propriétaire n'habite pas sur place, dans ce logement en construction, il pourra se faire dégrader, détruire sa maison sans être indemnisé tout sera de son porte monnaie.
Il était de mon devoir de mari et de père de prendre ce genre d'assurance habitation.
Lorsque j'avais posé la question à ma conseillère de la SOCIETE GENERALE celle-ci m'avait affirmée verbalement que tout était pris en charge en omettant de me dire, seulement, à partir de la date d'entrée dans les lieux.
Sachant que le maître d'œuvre, ayant sa garantie décennale comme celle des artisans, n'étant pas dans l'obligation de prendre une assurance habitation pour ma construction et pensant que j'étais assuré chez SOGESSUR, je n'ai pas souscrit à une assurance habitation contre le vol par effraction.
Aujourd'hui je suis obligé de contracter une assurance habitation chez un concurrent de la SOCIETE GENERALE pour être couvert jusqu'à la fin des travaux puisque SOGESSUR est en incapacité de proposer cette couverture en assurance.
Je viens de perdre en quelque instant 10 600 euros sur un projet de construction neuve.
Attention cher consommateur qui, comme moi, avez été obligé de souscrire à l'assurance habitation SOGESSUR avec votre Crédit Immobilier à la SOCIETE GENERALE !
Si vous vous faites dégrader votre maison avant d'y habiter, vous ne serez pas remboursé et perdrez votre rêve d'enfant de la construction neuve.
Aujourd'hui, je suis bien endetté pour une maison qui n'est même pas terminée et je dois payer pour des mauvais conseilleurs, prêts à tout pour obtenir des contrats d'assurance.
Cher consommateur, je vous donne l'alerte, Fuyez cette assurance c'est un leurre. 
Pour preuve : 
"Nous vous informons que nous ne pouvons intervenir pour la prise en charge de vos dommages.
En effet, comme le précisent vos conditions générales, le bâtiment en construction, dès lors qu'il est construit par des professionnels du bâtiment, et clos et couvert, est garanti dans le cadre des événements suivants :
• Responsabilité civile propriétaire d'immeuble,
• Incendie et événements assimilés,
• Dégâts des eaux et gel,
• Tempête, grêle, neige,
• Attentats ou actes de terrorisme,
• Catastrophes naturelles ou technologiques.
Les autres garanties, dont la garantie vol et détériorations immobilières suite à vol ou tentative de vol, sont acquises à la date d'entrée dans les lieux. Cette dernière est fixée par vos conditions particulières au 1er septembre 2020.
Le sinistre étant antérieur à cette date, les dommages que vous avez subis ne sont donc pas garantis.
Nous vous remercions de votre compréhension.
</t>
  </si>
  <si>
    <t>Sogessur</t>
  </si>
  <si>
    <t>12/06/2020</t>
  </si>
  <si>
    <t>chryslec-57622</t>
  </si>
  <si>
    <t xml:space="preserve">cliente depuis 40 ans de la macif j'ai été résiliée pour retard de paiement , pas facile de se réassurer à mon age malgré 50%de bonus les prix doublent quand on veut bien me prendre encore ce qui n'est pas le cas , la carte grise étant au nom de mon époux décèdé il y a 5 ans , lamentable le service clients de plus en attente de paiement de sinistres D.EAUX depuis 3 ANS de qui se moque t on ? DOSSIERS CLASSES FAUTE DE SUITE </t>
  </si>
  <si>
    <t>26/09/2017</t>
  </si>
  <si>
    <t>florian-91949</t>
  </si>
  <si>
    <t xml:space="preserve">Étant jeune conducteur les prix sont très avantageux, j’attends de recevoir le devis pour ainsi bien l’étudier avant de confirmer mon engagement ! Mais c’est en bonne voie </t>
  </si>
  <si>
    <t>23/06/2020</t>
  </si>
  <si>
    <t>simon-71042</t>
  </si>
  <si>
    <t>S'il y avait possibilité des notes négatives ,je les mettrai sans hésitation. Ma demande de rachat a mis plusieurs semaine avant d'arriver sur mon compte en banque alors que j'avais signalé avoir  besoin de cet argent d'urgence.</t>
  </si>
  <si>
    <t>adil-b-129461</t>
  </si>
  <si>
    <t>Tout va bien pour moi Je je trouve que le prix c’est un peu élevé J’espère que dans l’avenir j’aurais besoin de réduction car je suis déjà client chez direct assurance</t>
  </si>
  <si>
    <t>25/08/2021</t>
  </si>
  <si>
    <t>davidp-78875</t>
  </si>
  <si>
    <t>Je ne sais pas comment ca donne avec les autre mutuelles mais celle ci est horrible.
Aucun suivi de dossier; plusieurs mois a vous écrire toutes les semaines remboursement
Vous confondez tout le temps des factures de actuelles avec des factures passée.
De toute mon experience de suivi client, je pense que vous êtes les pires.
Cela dit, je ne sais meme pas comment ca se passe ailleurs. Ca se trouve en fait vous etes dans le top 10 des moins pire.....</t>
  </si>
  <si>
    <t>02/09/2019</t>
  </si>
  <si>
    <t>francois-91538</t>
  </si>
  <si>
    <t xml:space="preserve">Bonjour, je suis Satisfait du service, C’est rapide et Les prix me semblent Très corrects.  Je recommande ce service aux autres personnes, ne pas hésiter </t>
  </si>
  <si>
    <t>19/06/2020</t>
  </si>
  <si>
    <t>yohanaj-65036</t>
  </si>
  <si>
    <t>Explications claires......................................................................................................................................</t>
  </si>
  <si>
    <t>25/06/2018</t>
  </si>
  <si>
    <t>alex-dpt-91605</t>
  </si>
  <si>
    <t>L’assurance la moins cher que j’ai trouvé, la prestation a l’air plutôt bonne, site internet facile à utiliser et complet. 
Le service d’appel est bien aussi</t>
  </si>
  <si>
    <t>j-c-h-105807</t>
  </si>
  <si>
    <t>J'ai envoyé plusieurs lettres par mails et par la poste avec accusé de réception pour annuler mon contrat chez eux. J'ai envoyé 2 lettres au cabinet de courtage lui a accepter la demande et pourquoi pas vous.
La nouvelle assurance à envoyer 2 courrier, toujours refusé
Avant de souscrire chez Néoliane renseigner vous,  moi je vous conseille d'éviter les cabinets de courtage.  Je vais voir avec l'aide de mon petit fils pour faire un tour sur les réseaux sociaux pour le dire ce que je pense de vous. Je vais vous réserver des surprises, suis un malade à risque donc je vais me soigner un peu plus souvent</t>
  </si>
  <si>
    <t>08/03/2021</t>
  </si>
  <si>
    <t>paix-64559</t>
  </si>
  <si>
    <t>Bonjour, J'ai contacté la MAIF pour savoir au bout de combien d'année le coefficient de majoration s'applique lors d'un premier sinistre responsable ? La réponse de la MAIF est 4 ans avec un bonus à 0,50. Est ce exact?</t>
  </si>
  <si>
    <t>jack-64246</t>
  </si>
  <si>
    <t>gestion sinistre très mauvais suivi du dossier il faut les relancer souvent par téléphone</t>
  </si>
  <si>
    <t>elodie-c-127786</t>
  </si>
  <si>
    <t>Rapide mais pourrait être plus clair pour les options. Très bon tarif, à voir si le service client est réactif également dans le avenir en cas de besoin.</t>
  </si>
  <si>
    <t>12/08/2021</t>
  </si>
  <si>
    <t>rico01-122928</t>
  </si>
  <si>
    <t xml:space="preserve">A éviter !  assurer chez eux depuis 3ans j’ai jamais eu tout de soucis jusqu’à un sinistre non responsable y’a 2mois et la l horreur 
J’amène mon véhicule chez le carrossier donne un chèque en attendant , il me dise 48h après avoir reçu la  facture je serai rembourser , jusqu’à aujourd’hui c’est 1mois et 3 semaines qu’il ont la facture tous les jours les appel 
«  la réponse cest « dossier à l’étude » du coup le carrossier veut plus attendre et encaisser mon chèque de 1100e 
</t>
  </si>
  <si>
    <t>charly-104422</t>
  </si>
  <si>
    <t>Victime d'1 degat des eaux je me suis retrouvé apres ACM?CONSTATEL?DOMUS? ARETECH?
F3G? a etre invectivé pour 1 paiement de travaux mal réalisé a payer 1 franchise!1 PROCEDURE VA ETRE ENGAGEE
J'ai Resilié mon assurance aux ACM.A FUIR</t>
  </si>
  <si>
    <t>emma-80070</t>
  </si>
  <si>
    <t xml:space="preserve">mon fils porte des lunette, petit accident à lécole. il casse ses lunettes.
nous détenons un contrat  habitation dans lequel est compris la responsabilité civile et contrat garantie accident.
on nous demande un certificat médical que l on transmet!! juste parce qu il a cassé ses lunettes .
puis on me demande de transmettre tt ça a la sécu et mutuelle car la Macif complète le restant à charge.
Bien entendu la mutuelle ne prend pas en charge normal puisque ca ne fait pas un an qu il les a .
Et on me dit de voir avec mon assurance scolaire puisquil s'agit d un accident.
Et la on me téléphone en me disant que si la mut et la sécu ne prenne rien en charge ben eux nn plus.!
Donc ma question A QUOI SERT LA GARANTIE ACCIDENT ( ah si elle sert pour l invalidité ) ok donc il aurait fallu que mon fils soit invalide pour pouvoir etre ermboursé de  365 euros!
Merci la Macif mais comme la gestionnaire m 'a dit vous ne payez pas grand chose comme cotisation !!!!!! </t>
  </si>
  <si>
    <t>15/10/2019</t>
  </si>
  <si>
    <t>soxnna-65238</t>
  </si>
  <si>
    <t>Incompétence totale. Aucune cohérence entre les services. Ma voiture est immobilisée depuis une semaine, je travaille en zone industrielle mais il sont incapables de me trouver une solution et je suis obligée d'appeler tous les jours gestionnaires, garae et agence axa pour avoir des informations. Ras le bol</t>
  </si>
  <si>
    <t>04/07/2018</t>
  </si>
  <si>
    <t>alain-j-106113</t>
  </si>
  <si>
    <t>Rapide et bon rapport qualité prix, après avoir comparé plusieurs assurances, direct assurance est largement la mieux placée, reste à voir son efficacité et sa réactivité en cas de sinistre</t>
  </si>
  <si>
    <t>gilles-a-124783</t>
  </si>
  <si>
    <t>Je suis satisfait du prix des services de la rapidité de l’information que j’ai eu au téléphones Ainsi que les informations que j’ai eu reçu sur mon contrat la fluidité du site Internet</t>
  </si>
  <si>
    <t>sademi-idhina-124767</t>
  </si>
  <si>
    <t>Pire assurance du monde . 
Assurance qui résilie votre contrat sans motif valable . 
Pire standard téléphonique, impossible d’avoir un standard téléphonique potable. 
Aucun responsable présent et joignable ce jour. 
Interlocutrice condescendante qui ne comprend rien quand on lui parle, le quotient intellectuel n’est pas très élevé dans cette société. 
On est harceler quand c’est pour nous vendre leurs assurances mais pour demandé des explications personne n’est disponible. 
Faites attention à vous. Allez chez axa c’est les meilleurs.</t>
  </si>
  <si>
    <t>suze-59479</t>
  </si>
  <si>
    <t xml:space="preserve">tres nulle l'assurance pacifica . pourquoi ils envoient l'expert et vont contre lui et classe le dossier 
mauvaise assurance 
j'ai eu beaucoup d'eau 
la gestionnaire elle claase vite les dossiers c pas son agence </t>
  </si>
  <si>
    <t>07/12/2017</t>
  </si>
  <si>
    <t>yana-p-110334</t>
  </si>
  <si>
    <t>Je suis satisfaite de votre prestation et des tarifs réalisés. le site est fonctionnel et facile d'utilisation. C'est assez simple pour quelqu'un comme moi qui ne maîtrise pas forcément l'outil informatique</t>
  </si>
  <si>
    <t>14/04/2021</t>
  </si>
  <si>
    <t>gougoutte83-61540</t>
  </si>
  <si>
    <t>Un peu cher, surtout pour un vieux client.</t>
  </si>
  <si>
    <t>18/02/2018</t>
  </si>
  <si>
    <t>maurat-l-112638</t>
  </si>
  <si>
    <t>Je suis satisfaite du prix, j'attends de voir en cas de problème comment mon assurance gère leurs services promis. J'espère qu'ils seront à la hauteur.</t>
  </si>
  <si>
    <t>pia-60520</t>
  </si>
  <si>
    <t xml:space="preserve">Vous me dégousez niveau tarif.... C'est terminé.  Vous n'êtes pas sérieux. </t>
  </si>
  <si>
    <t>15/01/2018</t>
  </si>
  <si>
    <t>ali-s-132930</t>
  </si>
  <si>
    <t>Je suis satisfais du service merci et c est beaucoup moin cher que toute les autre assurance je paye depuis plusieurs annee mes assurance et dieu merci je nes jamais eux a avoir men servir.</t>
  </si>
  <si>
    <t>15/09/2021</t>
  </si>
  <si>
    <t>sam-87163</t>
  </si>
  <si>
    <t xml:space="preserve">Une honte cette assurance sauver vous vite accident même pas en tord on m’a rentré dedans par derrière et c qui qui été en tord il défends même pas leur client il en on rien a foutre de vous </t>
  </si>
  <si>
    <t>philippe81100-107284</t>
  </si>
  <si>
    <t>Résilié après 35 ans (40000 € de cotisations) pour 3 sinistres sur les 3 dernières années (3000 € euros de dédommagement). Ou est l'esprit mutualiste?</t>
  </si>
  <si>
    <t>ffzia-96463</t>
  </si>
  <si>
    <t>Ce n est pas du tout une harmonie. Avec ce groupe, tout est bon pour refuser vos devis, il manque toujours un document bloquant le dossier. J ai eu plusieurs rdv avec  une conseillère de visu, elle me dit à chaque fois qu elle a fait le nécessaire et que tous rentrera dans l ordre. Cependant, à chaque fois, dans la foulée, je reçois des courriers du centre de gestion me disant ENCORE qu il manque des DOCS (je précis que je leurs ai donné plusieurs fois ces foutu docs) . C est très frustrant de ne pas pouvoir se soigné, du coup j ai décidé résilier cette mutuelle. A fuir absolument, je n ai jamais vu un organisme aussi peu motivé à résoudre les problèmes des ses adhérents.</t>
  </si>
  <si>
    <t>19/08/2020</t>
  </si>
  <si>
    <t>ouiouju-52606</t>
  </si>
  <si>
    <t xml:space="preserve">Un service client très irrespectueux. Le 20 fevrier, Un appel à 19h30, je réponds poliment que je suis occupé et qu'on peut me joindre demain ou en fin de semaine. Madame me répond alors avec un profond respect  "je peux vous rappeler jamais si non" 
</t>
  </si>
  <si>
    <t>20/02/2017</t>
  </si>
  <si>
    <t>fredwihp-61173</t>
  </si>
  <si>
    <t>Dramatique, ma cotisation assurance voiture a augmenté de 8%, alors que mon bonus a augmenté de 4%, cela n'a aucun sens. La seule raison invoqué par le SAV c'est la hausse des bris de glaces en france et la pluie. Direct assurance avez vous des difficultés financiéres?</t>
  </si>
  <si>
    <t>06/02/2018</t>
  </si>
  <si>
    <t>thierry326-81693</t>
  </si>
  <si>
    <t>Assurance qui n'assure rien du tout . Et en plus qui prélève avant d'assurer. Je ne vous recommande pas du tout. J'étais assuré pour la maison et la voiture . Il a fallu d'une fois pour se rendre compte qu on était mal assuré.</t>
  </si>
  <si>
    <t>06/12/2019</t>
  </si>
  <si>
    <t>cardi-123503</t>
  </si>
  <si>
    <t>mon mari décédé le 8 mars avait une assurance vie dont je suis seule héritière et ils ne veulent pas me la verser malgré les documents fournis. On me mène en bateau</t>
  </si>
  <si>
    <t>paulker-51146</t>
  </si>
  <si>
    <t>La gestion et le suivi des sinistres est cauchemardesque. Tout est fait pour que vous soyez indemnisé au minimum. Mon véhicule a été percuté par un bus devant mon domicile. Les 2 Jantes gauches ont été abimées et les 2 pneus éventrés. Après la réparation j'ai remarqué un bruit de roulements. J'ai demandé à la MACIF de faire changer les 2 roulements gauches. L'expert a revu mon véhicule une 1ère fois et à constaté le bruit. Il m'a envoyé chez Audi qui ont aussi constaté le bruit. L'expert a revu mon véhicule lors d'un 3eme RDV avec le technicien Audi. Au final il propose de ne changer qu'un roulement et conclu que je n'apporte pas la preuve que le bruit est lié au sinistre. Au final j'ai perdu 3 mâtinés sur mon temps de travail et je dois encore demander une contre-expertise qui peut au final être à mes frais. C'est tout simplement scandaleux. Tout ça pour un sinistre dont je ne suis pas responsable. Pour moi la MACIF c'est définitivement terminé.</t>
  </si>
  <si>
    <t>17/11/2020</t>
  </si>
  <si>
    <t>philippe-b-126894</t>
  </si>
  <si>
    <t xml:space="preserve">Après plusieurs réclamations sur notre changement d'adresse, l'attestation d'assurance scolaire 2021/2022 de notre fils Charles est toujours à notre ancienne adresse .....!!!
</t>
  </si>
  <si>
    <t>06/08/2021</t>
  </si>
  <si>
    <t>mondial13100-56856</t>
  </si>
  <si>
    <t>Rien ne sert de se rendre en agence puisqu'ils vous diront que tout est sur le site que rien de plus ne peut être fait... Alors autant prendre une assurance en ligne qui sera moins cher. Les garanties sont bonnes mais le prix n'étant pas négligeable cela semble plutôt "normal" que les garanties soient correctes.</t>
  </si>
  <si>
    <t>24/08/2017</t>
  </si>
  <si>
    <t>moniap-75444</t>
  </si>
  <si>
    <t xml:space="preserve">Service client incompétent. Ne sont pas capables de reconnaître leurs torts même dans une situation où ils nous ont mis en danger. Nous ne pouvons pas communiquer avec eux ils se braquent et récitent leurs textes. </t>
  </si>
  <si>
    <t>27/04/2019</t>
  </si>
  <si>
    <t>yanna-71973</t>
  </si>
  <si>
    <t>Service honteux, prix fixé et payé, envoi des documents avec difficulté car aucun moyen de les joindre auquel ils répondent (alors que pour souscrire c'est très facile d'avoir quelqu'un!) et après la fin de la période de rétractation, on m'annonce une majoration du prix avec prélèvement bancaire immédiat ??? Assureurs à fuir</t>
  </si>
  <si>
    <t>07/03/2019</t>
  </si>
  <si>
    <t>marcthorn-51722</t>
  </si>
  <si>
    <t>Adhérent chez Cégéma depuis le 1er janvier 2014, j’ai moi aussi quelques commentaires à faire :</t>
  </si>
  <si>
    <t>26/01/2017</t>
  </si>
  <si>
    <t>laida-a-137607</t>
  </si>
  <si>
    <t>Je suis satisfaite du rapport qualité /prix . Le service est rapide et efficace, les conseillers très à l'écoute, ce qui est très appréciable, je recommande!</t>
  </si>
  <si>
    <t>16/10/2021</t>
  </si>
  <si>
    <t>ds-129617</t>
  </si>
  <si>
    <t xml:space="preserve">Une honte! Je n'ai jamais vu ça chez une mutuelle...perte de temps et d'argent assuré. Pas de télétransmission sur un grand nombre de professionnels qui nous force à avancer les frais et à renvoyer la facture à santiane. Comme si ce n'était pas suffisant il faut sans cesse les appeler pour vérifier que les paiements ont bien été effectué sans ça gare aux défauts de paiement pour cause de "manque de documents" dont on ne vous parle qu'une fois que vous avez appelé. Aucune confiance entre vous et votre mutuelle.... Si c'est ce que vous souhaitez, souscrivez, dans le cas contraire, ayez l'intelligence de ne pas souscrire. Une réclamation pour manque d'information à la signature du contrat et résiliation faite le 30.06 et toujours aucune réponse ou comment flouer ses clients et laisser courir le contrat. Faut pas s'étonner que les clients arrêtent tout simplement de payer. Solution pour laquelle je vais sûrement opter vu qu'aucune solution en vue. 
</t>
  </si>
  <si>
    <t>bongiorno-r-131780</t>
  </si>
  <si>
    <t>étant déjà client pour un autre véhicule, je ne comprends pas pourquoi je dois m'embêter à retaper toutes mes infos pour ajouter un deuxième contrat d'assurance. Cela devrait être beaucoup plus simple que cela. Faites remonter l'information s'il vous plaît.</t>
  </si>
  <si>
    <t>07/09/2021</t>
  </si>
  <si>
    <t>laurentozon-55538</t>
  </si>
  <si>
    <t xml:space="preserve">Rachat d’un contrat loi Madelin. 1 mois après avoir transmis les documents, emails sans réponses ou réponses partielles parfois une semaine après, changements incessants d’interlocuteurs, hotline injoignable ou durée d’attente incroyablement longue, etc. Il semble beaucoup simple et rapide de déposer de l’argent à la Mondiale que de la retirer.
Ne placez JAMAIS votre argent dans cette entreprise. </t>
  </si>
  <si>
    <t>21/06/2017</t>
  </si>
  <si>
    <t>bpide76110-78438</t>
  </si>
  <si>
    <t>j'ai eu un arrêt il y a presque 4 mois et toujours aucune indemités! je suis libérale sans autre source de revenus! il manque toujours quelque chose!! finalement sans vraiment m'expliquer on me vire !</t>
  </si>
  <si>
    <t>14/08/2019</t>
  </si>
  <si>
    <t>cherif-b-127661</t>
  </si>
  <si>
    <t>je sus satisfait du service et de la procedure en ligne, cependant vos prix sont un peux eleve par rapport a mon profil de conducteur depuis trente ans n ayant pas été à l origine d'accident et en plus je suis client deja chez vous pour mon assurance habitation.</t>
  </si>
  <si>
    <t>benghali-t-113234</t>
  </si>
  <si>
    <t xml:space="preserve">je suis satisfait bon service et bon prix téléphonique, rapide simple merci beaucoup cordialement mr benghali reste a parler il ya trop de caractère a marquer </t>
  </si>
  <si>
    <t>benjamin-s-122262</t>
  </si>
  <si>
    <t>Je suis satisfait du service
Le prix est convenable
Bonne gestion du dossier
Donne de très bon conseils
Explique tous les options pour l'assurance moto</t>
  </si>
  <si>
    <t>bonus-n-129961</t>
  </si>
  <si>
    <t xml:space="preserve">accueil tres professionel ,explication Claire.Un accompagnement complet pour les clients.
j' ai été bien conseillé  et guidé,je suis satisfait du service, merci </t>
  </si>
  <si>
    <t>adel-g-125350</t>
  </si>
  <si>
    <t>Je suis satisfait du service ainsi le prix et sans oublier la conseillère était sympa gentille et patiente merci a vous tous et bonne continuation.
Cordialement.</t>
  </si>
  <si>
    <t>max-105223</t>
  </si>
  <si>
    <t>Tout est mieux qu'ailleurs quand il te présente les conditions, les contrats ...
A la souscription, la première année, on me demande 1 antivol SRA ... Je retrouve la facture et l'emmène au bureau de Lyon et là, surprise on me dit "pour être assuré contre le vol, il faut deux antivol SRA ! 
Deuxième surprise, la seconde année, alors que tous annonce, à cause du confinement, une baisse très importante des accidents, moi j'ai la surprise de découvrir une hausse 16.89% de ma cotisation annuelle. C'est juste une honte!</t>
  </si>
  <si>
    <t>daouda-d-105272</t>
  </si>
  <si>
    <t>Difficulté à communiquer avec le service clientèle pour obtenir un document. On ne sait pas à quel service s'adresser ! Suite à un sinistre de bris de glace avec vol d'objets à l'intérieur de la voiture (téléphone  et ordinateur portable), nous avons besoin d'une attestation de non prise en charge par Direct Assurance que l'on doit donner à l'assurance des portables pour un dédommagement. Il nous est impossible d'avoir quelqu'un pour nous fournir ce document malgré plusieurs appels et demandes par mail !</t>
  </si>
  <si>
    <t>jm-80125</t>
  </si>
  <si>
    <t>suite a une rupture de frein sur ma Jaguar, la macif a tout prix en charge et sans aucun soucis, de plus il nous ont offert le choix de différent transport de taxi, afin de ne pas gâcher notre week-end, il nous on déposer dans nos réservations d'hôtel et repris le lendemain pour nous rapatrier a notre domicile.
Par le passer j'ai changer d'assurance ( l'olivier ) mais suite a un accident non responsable. Merci pour vos services et vos interlocuteurs (trices).</t>
  </si>
  <si>
    <t>12/07/2021</t>
  </si>
  <si>
    <t>bensabeur-m-136320</t>
  </si>
  <si>
    <t xml:space="preserve">Très satisfait conseiller très à l écoute aucune surprise content d assuré mon second véhicule comme certains membres de ma famille qui sont eux aussi client chez l Olivier assurance </t>
  </si>
  <si>
    <t>nordine-b-135256</t>
  </si>
  <si>
    <t xml:space="preserve">Aujourd’hui Je suis toujours satisfait  des offre proposées.
Le prix de la cotisation me convient 
Je suis client chez direct assurance depuis plus de 10ans 
</t>
  </si>
  <si>
    <t>30/09/2021</t>
  </si>
  <si>
    <t>fanny090204-67350</t>
  </si>
  <si>
    <t xml:space="preserve">Dossier envoyé depuis le 10 septembre 2018, au bout de 30 jours, aucun retour de la part de CNPF Assurances ... Quasi 30 minutes à rester en ligne et à écouter leur musique d'attente ... et toujours aucun chargé de clientèle au bout du fil ... Allô ?? Il y a quelqu'un ?? ... </t>
  </si>
  <si>
    <t>04/10/2018</t>
  </si>
  <si>
    <t>maryam-99682</t>
  </si>
  <si>
    <t xml:space="preserve">Nous payons une police d'assurance pro de 210 euros par mois.
Plus de 6 mois après la déclaration de sinistre nous n'avons toujours pas été remboursé. Nous n'avons aucun suivi digne de ce nom et il faut croire que la personne en charge de notre dossier a d'autres priorités à traiter malgré nos différents appels. Lorsque nous appelons pour tenter d'avoir des informations ce sont toujours les mêmes réponses: "La personne en charge du dossier vous rappellera" ou "il manque des documents (docs que nous avons envoyé". 
Ils ne savent meme pas nous donner une vision claire de la procédure à suivre et c'est quelques mois après la déclaratuon du sinistre que nous apprenons par hasard que nous devons leur transmettre un doc (ils n'auraient pas pu nous appeler , non non, trop fastidieux). 
C'est assurance est une horreur. A fuir!
</t>
  </si>
  <si>
    <t>marian-50770</t>
  </si>
  <si>
    <t xml:space="preserve">A FUIR !!!!
je suis assurée chez eux pour mon chien.
30 min pour les avoir au téléphone ...
ne sont pas du tout cohérent concernant le contrat il dise qu'il te couvre pour les maladie sachant que j'ai pris l'option la plus cher 
et voila qu'au moment du remboursement il trouve le pretexte d'une maladie héréditaire de mon chien pour ne pas me rembourser !!!
si vous avais un labrador les problème de hanche ne serons pas pris en compte..
 si vous avais un bouledogue le problème de palet ne sera pas rembourse non plus ...
car si je crois ce quel ma dit tout les chien on des maladie héréditaire... 
mais bien sur on doit tout connaitre sur les animaux avants de payer??!!!
mais bien sur tout sa il vous le dise une fois le contrat signée!!! et les frais engagé!!!
je suis vraiment très déçu!!! </t>
  </si>
  <si>
    <t>29/12/2016</t>
  </si>
  <si>
    <t>zoelie-52775</t>
  </si>
  <si>
    <t>J'ai 2 véhicules assurés et cette année (comme tous les ans) une augmentation de 14% sur l'une et 8% sur l'autre. Aucun sinistre déclaré, bonus à 50% et en plus une grosse différence dans les augmentations. Le service client ne sait pas vraiment expliquer pourquoi. Je pense revenir vers une assurance ayant un bureau et un vrai service client.</t>
  </si>
  <si>
    <t>26/02/2017</t>
  </si>
  <si>
    <t>imed--b-110403</t>
  </si>
  <si>
    <t>Je suis très heureux d'avoir conclu un contrat avec vous et j'espère passer une bonne année avec votre serviceJe suis très heureux d'avoir conclu un contrat avec vous et j'espère passer une bonne année avec votre service</t>
  </si>
  <si>
    <t>gael31-56334</t>
  </si>
  <si>
    <t>Ne prenez surtout pas cette "assureur". Les prix semblent compétitif mais cet "assureur" vous résilie votre contrat à cause d'un sinistre ou vous n'êtes pas responsable. La résiliation se fait par courrier sans motif. Vous êtes obligés de les contacter et quand vous avez quelqu'un, la personne en question est agressive. 
Je ne suis pas étonné que cet "assureur" n'est quasiment aucune agence en physique.</t>
  </si>
  <si>
    <t>27/07/2017</t>
  </si>
  <si>
    <t>arthur-51110</t>
  </si>
  <si>
    <t>C'est ma nouvelle compélmentaire je la connaissais moins que ma précédente que je voyais partout à la télé et pourtant je suis beaucoup mieux avec la nouvelle car elle n'est peut être pas à la télé mais elle au moins elle me rembourse et correctement !</t>
  </si>
  <si>
    <t>09/01/2017</t>
  </si>
  <si>
    <t>avoidapril-64226</t>
  </si>
  <si>
    <t>À éviter à tout prix ! Attention au contrat qui est extrêmement trompeur. Attention également au service pole courtage land qui travail en lien avec April Santé. Service déplorable et pas fiable !</t>
  </si>
  <si>
    <t>27/05/2018</t>
  </si>
  <si>
    <t>sarn-96076</t>
  </si>
  <si>
    <t>Processus de résiliation abusive et prix élevé tout le long du contrat :
1/ Aucune procédure de résiliation numérique : il faut téléphoner puis envoyer un courier.
2/ Première lettre recommandé avec accusé de réception : ils me le refusent la résiliation car "il manquait ma signature" (or cette condition ne figurait pas dans leur condition générale, article 20.2)
J'attends toujours qu'ils prennent en compte ma demande de résiliation.</t>
  </si>
  <si>
    <t>spike-61265</t>
  </si>
  <si>
    <t>Je paye plus de 2400€/ans pour une honda civic de 1996 21ans donc 1 ans plus vieille que moi et juste de 7cv fiscaux et vos services ne prend pas en considération le fait que pour un accident que la personne roulait avec un taux d'alcool supérieure a la limite autorisé qu'il roulait les phares étaient qu'il mon bloqué en me tendant un embuscade et qu'il on remplit le constat a ma place et a leur avantage et vous n'avez pas pris en considération la plainte que j'ai déposé et vous m'avez mis du malus donc je m'efforce de resté poli dans ce petit texte mais j'en pense pas moins et il n'y a pas assez de place dans cette encadré pour dire ce que je pence réellement de vôtre compagnie d'assurance. Cordialement Pichard Guillaume</t>
  </si>
  <si>
    <t>08/02/2018</t>
  </si>
  <si>
    <t>moimeme-95882</t>
  </si>
  <si>
    <t>Excellent placement jusqu’au décès de l’assuré 
Le service succession est inexistant, ne réponds pas au téléphoné ne demande pas les pièces nécessaires à la constitution du dossier de versement de la prime.... une horreur.
Il a fallu menacer d’une plainte pour abus de confiance pour enfin obtenir en 2 jours le virement des fonds que l’on attendait depuis plusieurs mois
A fuir</t>
  </si>
  <si>
    <t>03/08/2020</t>
  </si>
  <si>
    <t>jc-53012</t>
  </si>
  <si>
    <t>J'ai appelé ce jour Direct Assurance car mon assurance a augmente de 40%
La réponse de mon interlocuteur fut sèche et sans appel
Monsieur la première année nous vendons en dessous du marche et la deuxième année nous reprenons un tarif normal
Nous ne sommes pas la pour travailler à perte.
Lorsque j'ai exprime mon entonnement et mon mécontentement
La réponse fut nette "c'est comme ça on ne vous retient pas"
De plus le personnage c'est montré odieux
Mes 3 véhicules ainsi que ma maison seront désormais assures ailleurs</t>
  </si>
  <si>
    <t>05/03/2017</t>
  </si>
  <si>
    <t>sylvie-123492</t>
  </si>
  <si>
    <t>J'assure mes 2 chiens au crédit mutuel pour la chirurgie en janvier 2019. Je demande si la hernie discale est assurée ? On me répond oui madame pas d'exclusion!! En juin 2021 J'adresse une facture de 1517 euros pour hernie discale opérée et on ne me rembourse pas ....car c'est congénital !!!  Assurance animaux à fuir ...</t>
  </si>
  <si>
    <t>louisy-gabriel-e-131498</t>
  </si>
  <si>
    <t>On ne peut juger la qualité d'une assurance qu'après un sinistre. Cependant L'olivier Assurance a de très bons commerciaux et une expérience client en ligne limpide. Les tarifs sont aussi relativement compétitifs.</t>
  </si>
  <si>
    <t>titi68-60497</t>
  </si>
  <si>
    <t>Sociétaire depuis des années, j'ai eu 3 soucis (habitation et voiture).
A chaque fois, le service protection juridique ou accident me répond qu'il ne peut rien faire suite à la réponse de la partie adverse. A chaque fois, je me suis battu soit avec le concours de l'automobile club, soit personnellement, et j'ai obtenu gain de cause.
Donc mis à part encaisser notre argent, il n'y a personne lorsque l'on sollicite un service.
A fuir!!!</t>
  </si>
  <si>
    <t>weiss-129249</t>
  </si>
  <si>
    <t xml:space="preserve">bonjour
nous avons eu une fuite d'eau dans la canalisation souterraine dans le jardin entre le compteur et la maison.
Nous sommes très déçus des réponses que l' agent maif nous a apportées. Sur un ton très désagréable, cet agent nous soutient qu' aucune assurance habitation ne prend en charge les frais dus à une fuite d' eau des canalisations après compteur dans le jardin (réparation et surconsommation). Nous constatons que payer une assurance depuis plus de 20 ans, formule haut de gamme, pour la maison comme pour nos 3 voitures auprès de la maif est un mauvais choix. Nous envisageons , donc, de voir ailleurs </t>
  </si>
  <si>
    <t>24/08/2021</t>
  </si>
  <si>
    <t>numeror86-101164</t>
  </si>
  <si>
    <t>apres un bris de glace l'olivier assurance a reagi rapidement et correctement mon sinistre. les contacts telephoniques ont été cordiaux et l'interlocuteur était à l'écoute.
.</t>
  </si>
  <si>
    <t>jean-philippe-b-106405</t>
  </si>
  <si>
    <t>très satisfait du service direct assurance, votre collègue est très compètent, explications précises et claires, le tarif est top, je recommande vivement, merci.</t>
  </si>
  <si>
    <t>mimi596234-81754</t>
  </si>
  <si>
    <t xml:space="preserve">Une assurance qui sait prélever sur votre compte mais quand vous êtes cambriolés vous pouvez oublier . Une conseillère qui vous prend de haut et n'est pas capable de vous répondre ni même de traiter votre dossier 
A fuir </t>
  </si>
  <si>
    <t>10/12/2019</t>
  </si>
  <si>
    <t>oxo63-89097</t>
  </si>
  <si>
    <t>Zero. Je suis actuellement en litige car, malgré la preuve de résiliation du contrat, les prélèvements se poursuivaient. Sans réponse à mes réclamations en ligne, j'ai fait opposition. Ils menacent d'envoyer l'affaire au service contentieux. Mes mails sont sans réponse, mes appels téléphoniques "bottent en touche". Le dossier est en route pour l'ACPR. Sans résolution à l'amiable, j'irai en justice. Pour une action commune, n'hésitez pas à me contacter.</t>
  </si>
  <si>
    <t>23/04/2020</t>
  </si>
  <si>
    <t>fougerouse-97251</t>
  </si>
  <si>
    <t>Ecoute, compréhension, amabilité des conseillers . Rapidité de traitement de mes demandes. très satisfaite de cette assurance, je recommande fortement</t>
  </si>
  <si>
    <t>10/09/2020</t>
  </si>
  <si>
    <t>ludo-70448</t>
  </si>
  <si>
    <t>HONTEUX! Malheureusement il s'agit de la mutuelle sélectionnée par mon entreprise. Ils perdent les courriers (avec les ordonnances et factures!!!), ne préviennent pas quand il manque un document et mettent plus de 20 minutes à répondre (avec un numéro payant). 
L'opératrice que j'ai eu était très bien mais n'a rien pu faire pour moi. Je regrette amèrement mon ancienne mutuelle.</t>
  </si>
  <si>
    <t>22/01/2019</t>
  </si>
  <si>
    <t>lucois-52937</t>
  </si>
  <si>
    <t>J'ai voulu effectuer un rachat partiel sur un contrat de 14 ans. Impossibilité de débloquer de l'argent soit disant une avance de 4 centimes € bloquerait les transaction !!!.. aberrant surtout j'ignore pourquoi et ou sortent ces 4 centimes et aucune explication de leur part.
Le leur ai envoyé un courrier en AR mais pas de réponse
et le conseiller fait lui aussi la sourde oreille. Maintenant je ne peux effectuer aucune transaction en ligne il ont bloqué tous mes comptes et doit passer par le conseiller
Bref évitez cette compagnie fuyez vous n'aurez que des ennuis</t>
  </si>
  <si>
    <t>02/03/2017</t>
  </si>
  <si>
    <t>marina-b-123340</t>
  </si>
  <si>
    <t xml:space="preserve">Je suis très satisfaite du service et de la réactivité au top
Très bon rapport qualité prix. Je recommande cette assurance à ma famille et à mes amis. </t>
  </si>
  <si>
    <t>alain-r-131146</t>
  </si>
  <si>
    <t>Je suis satisfait. Prise en charge et suivi en cas de sinistre. Tarification cohérente et présentiel en cas de demande. Plate forme virtuelle accessible et conviviale. Parfait.</t>
  </si>
  <si>
    <t>christophe-f-129591</t>
  </si>
  <si>
    <t>Très bien avec les conseillés au téléphone.
Par contre le devis sur le site internet est évolutif et ne permet pas de finaliser correctement le contrat. Il est étonnant que modifier le curseur du kilométrage et revenir en arrière ne permet pas de retrouver le même prix d'assurance.</t>
  </si>
  <si>
    <t>tuil-a-137966</t>
  </si>
  <si>
    <t>Je suis satisfait des prestations et de l'accueil des conseillers très clair et détaillé avec des conseils très avisés. Je recommande l'Olivier Assurance</t>
  </si>
  <si>
    <t>aguer-s-134169</t>
  </si>
  <si>
    <t>Vos tarif défie la concurrence, formalité rapide et efficace.
Par contre les téléconseillers parlent très vite et on a du mal à "en placer une", mais très poli et réactif.
Pas d'attente lors de l'appel, très appréciable.</t>
  </si>
  <si>
    <t>roger-49967</t>
  </si>
  <si>
    <t>que des erreurs de remboursement il vous réclame 1 an après 21 euros car remboursé a tord pour moi c'est une mutuelle d'entreprise donc obligatoire je serais en retraite en septembre 2017 et je les vire de suite   en parlant avec des collègues de travaille je ne suis pas le seul dans se cas la   il devrais faire des formations pour apprendre a travailler correctement</t>
  </si>
  <si>
    <t>06/12/2016</t>
  </si>
  <si>
    <t>seiler-p-116458</t>
  </si>
  <si>
    <t>Les prix me conviennent. A voir l'attention porté par la suite.
L'appel téléphonique était très bien. Le site a l'air facile d'utiliser.
A voir par la suite l'accompagnement en cas de sinistres</t>
  </si>
  <si>
    <t>09/06/2021</t>
  </si>
  <si>
    <t>yves-a-115789</t>
  </si>
  <si>
    <t>Beaucoup trop de retours négatif sur cette compagnie d'assurance.
Des retours très négatifs sur internet également.
Beaucoup trop de retours négatif sur cette compagnie d'assurance.
Des retours très négatifs sur internet également.</t>
  </si>
  <si>
    <t>eric-49867</t>
  </si>
  <si>
    <t xml:space="preserve">Un assureur qui privilégie les nouveaux clients  mais ne tient pas compte des bons conducteurs. Préfère laisser partir ses anciens adhérents au lieu de les fidéliser.  </t>
  </si>
  <si>
    <t>man1-61186</t>
  </si>
  <si>
    <t>Cardif un cauchemar . Ca commence avec le service médical qui vous harcèle de courrier et ca s'empire avec le suivi de gestion ou les cotisations changent au bout de 3 mois sans raison  de 71€ à 339€</t>
  </si>
  <si>
    <t>max-68640</t>
  </si>
  <si>
    <t xml:space="preserve">Service clair et efficace. 
Une inscription en ligne rapide, et simple.
Tarif intéressant. 
Le service client est disponible et professionnel. Il répond rapidement aux questions. Je recommande vraiment. </t>
  </si>
  <si>
    <t>15/11/2018</t>
  </si>
  <si>
    <t>jms-88446</t>
  </si>
  <si>
    <t xml:space="preserve">Apres un sinistre il y a 1 mois
RDV avec l'expert 1 mois apres la declaration de sinistre 
Montant évalué au minimum 
Malgré plusieurs messages envoyés à la macif je n'ai jamais été rappellé
La Macif n'a aucune considération pour ses assurés </t>
  </si>
  <si>
    <t>20/03/2020</t>
  </si>
  <si>
    <t>ptourgmail-75788</t>
  </si>
  <si>
    <t>Ma belle mère est décédée dans l'incendie de son appartement. Il a fallu environ 1 an et demi pour obtenir indemnité remise en état de l'appartement. Aucune compassion ni ecrits ni paroles. Inertie totale et probablement commandée des soit disant experts . Mutuelle à fuir malgré plus de 30 ans de fidélité</t>
  </si>
  <si>
    <t>10/05/2019</t>
  </si>
  <si>
    <t>severine-p-116392</t>
  </si>
  <si>
    <t>Votre site est très opaque et il faut fouiller pour trouver des informations importantes.
Je viens de voir que mon assurance augmente de 70€ par rapport à 2020  (sans accidents). Je ne peux pas mettre à jour mon contrat concernant ma fille qui vient d'avoir son permis de conduire et n'est plus en conduite accompagnée.
ALORS NON JE NE SUIS PAS SATISFAITE !</t>
  </si>
  <si>
    <t>08/06/2021</t>
  </si>
  <si>
    <t>mememe-50101</t>
  </si>
  <si>
    <t>UN TEMPS D'ATTENTE VRAIMENT ABUSÉ 
ça fait plus de d'une heure perdu sans avoir quelqu'un au bout de la ligne !!!!!
C'est vraiment abusé !!!!!!!!!!!!!!!!!!!!!!!!!!!!!!!!!!!!!!!!!!!!!!!!!!!!!!!!!!!!!!!</t>
  </si>
  <si>
    <t>09/12/2016</t>
  </si>
  <si>
    <t>greg-51526</t>
  </si>
  <si>
    <t>Bonjour, Suite à un achat de voiture Audi A3 en 2014 mes parents avaient souscrit en toute confiance une assurance décès. Mon père est décédé le 2 Aout 2016. CBP Cardif m'a mené en bateau pendant 6 mois avec des demandes de documents pour finalement refuser le remboursement; la raison il prenait un traitement lors de la souscription, cette dernière faite sans demande médicale, et son décès est naturelle donc pas en lien avec son traitement. Je recherche des cas similaires afin de rassembler nos forces est monter un dossier complet
Pas la peine que cardif me réponde par une réponse bateau comme elle le fait sur ce site</t>
  </si>
  <si>
    <t>21/01/2017</t>
  </si>
  <si>
    <t>silviu-marius-r-115806</t>
  </si>
  <si>
    <t xml:space="preserve">Je suis satisfait de prix et de assurances, je a deja deux assurances chez L'olivier, je recommande cette assurance a tout mes amis pas que le risc du assurances me convient avec cette prix </t>
  </si>
  <si>
    <t>stephnaetla--115502</t>
  </si>
  <si>
    <t>6 mois dans quelques jours que notre sinistre incendie a eu lieu et toujours pas la moindre proposition d'indemnisation de la part de la MAAF malgré le fait que les enquêtes et les rapports d' experts soit établis... 
Merci la MAAF pour votre réactivité! Et merci à notre conseiller de la MAAF à Orvault! ??
Combien de temps va t-on encore devoir attendre ??? ??</t>
  </si>
  <si>
    <t>arnono-20047</t>
  </si>
  <si>
    <t>très déçu ! depuis le 27 décembre j'attends ma carte verte on m'a juste dit 2 fois que mon dossier était en cours de traitement ,je paie pourtant tous les mois .j'ai aussi fais depuis 2 mois le changement de domiciliation bancaire et pareil pas de resultat.</t>
  </si>
  <si>
    <t>06/03/2017</t>
  </si>
  <si>
    <t>catherine-c-105209</t>
  </si>
  <si>
    <t xml:space="preserve">Pour l'instant je démarre chez vous. En tout cas le jeune homme était très aimable et attentionné et grâce à lui j'ai souscrit immédiatement mon contrat 
</t>
  </si>
  <si>
    <t>ourson-87621</t>
  </si>
  <si>
    <t>Je demande simplement la résiliation de mon contrat que j'ai demandé en lettre recommandé depuis le 06.12.2019 et 07.02.2020 à ce jour aucune de ses demande ni prise en compte alors je vous demande encore une fois le respect de la lois Chatel.</t>
  </si>
  <si>
    <t>25/02/2020</t>
  </si>
  <si>
    <t>christophe-c-108936</t>
  </si>
  <si>
    <t xml:space="preserve">Je suis très heureux de faire partie de votre groupe je voudrais savoir si vous pouviez me faire parvenir mon assurance pour la moto à mon adresse postale 'm corbin Christophe rue due général pol dupy btm10 aptm2 l'arche 16000 Angoulême merci </t>
  </si>
  <si>
    <t>jean-caryl-g-131523</t>
  </si>
  <si>
    <t xml:space="preserve">Une offre de prix très intéressant, avec des produits adaptés à ton budget
Le contrat est très bien expliqué, les options ou extensions de garantie sont très bien. </t>
  </si>
  <si>
    <t>hal-89563</t>
  </si>
  <si>
    <t>Service sinistre injoignable et incompétent. 6 mois passés sans porte à la suite d'un cambriolage. Je dois faire toutes les démarches moi-même et leur envoyer les devis des prestataires et attendre 1h au téléphone pour avoir une réponse. Je n'ai jamais eu affaire à un service aussi mauvais.</t>
  </si>
  <si>
    <t>12/05/2020</t>
  </si>
  <si>
    <t>7caramba0-101112</t>
  </si>
  <si>
    <t>assurance trop chère délai d'attente remboursement trop long et impossible d'avoir un correspondant en cas de litige. déçue par les prestations de cet assureur</t>
  </si>
  <si>
    <t>moi-137541</t>
  </si>
  <si>
    <t>je viens de passer 46 minute en attente et toujour personne bravos  
felicitaion je bloc mes prelevement en attendant que vous m appellez 
cordialement</t>
  </si>
  <si>
    <t>15/10/2021</t>
  </si>
  <si>
    <t>phillipe-117975</t>
  </si>
  <si>
    <t xml:space="preserve">Suite à un dégât des eaux survenu pendant le confinement , j'ai relancé la Matmut début juin car pas encore vacciné il était hors de question de faire venir des gens chez moi.  Si le personnel de l'agence de Poissy est toujours très aimables et disponibles, le service sinistre ne se bouge pas vraiment et m'indique des informations diverses et variées suivant mes interlocutrices.
 Le délais d'un expert (non prévu à la base) à pris un temps incroyable et malgres l'urgence en vue de la remise des clefs, elle serait disponible qu'après mon départ, qui empêchera mon propriétaire de louer et va me mettre en porte-à-faux avec des risques ne pas pouvoir récupérer ma caution et une mauvaise image de moi. 
J'ai 3 assurances encore chez eux, mon ex et une option santé pour ma fille ainsi que     ma nouvelle habitation, je vais résilier en respectant les délais et vous encouragent de faire de même avant l'arrivée d'un sinistre .  </t>
  </si>
  <si>
    <t>carabas-k-107833</t>
  </si>
  <si>
    <t xml:space="preserve">Je suis très satisfaite des prix, des offres et très à l'écoute. C'est très simple et je vais conseillé à des connaissances. 
Merci beaucoup pour la patience. 
</t>
  </si>
  <si>
    <t>val-67425</t>
  </si>
  <si>
    <t>A fuir cette assurance. Je me suis cassée un pied en tombant des escaliers, et bien pour eux ca ne fait pas parti des accidents, donc pas de prise en charge de leur part sur mon emprunt immobilier. C'est une plate forme qui gère le dossier. Il nous demande de reconstituer le dossier entier je dis bien entier, questionnaire de santé, le pret, l'offre de prix etc. Et tout cela pour vous dire que je ne suis pas couverte scandaleux, pourquoi prendre une assurance dans ces conditions!</t>
  </si>
  <si>
    <t>fabrice-m-106417</t>
  </si>
  <si>
    <t>je trouve dommage d'être pénalisé au niveau du prix de la cotisation en me considérant comme conducteur à risque à que les 2 accidents que j'ai eu, n'étaient pas de ma faute.</t>
  </si>
  <si>
    <t>jeancri-54391</t>
  </si>
  <si>
    <t xml:space="preserve">Bonjour
Insatisfaite car au moment de l adhésion on m à laisser croire que si je parrainais j allais recevoir un chèque cadeau
Je n ai jamais rien reçu,  envoi de plusieurs mails sans réponse,  plusieurs appels me disant que cela va venir,  un mois et demi après,  j ai toujours rien
Service client et qualité incorrect vis à vis des adhérents </t>
  </si>
  <si>
    <t>14/05/2017</t>
  </si>
  <si>
    <t>pradier-c-114939</t>
  </si>
  <si>
    <t>Très satisfaite du service client,très rapide et compétent.
Les tarifs sont concurrentiels 
A voir maintenant sur le long terme 
Merci pour les services</t>
  </si>
  <si>
    <t>adel-116568</t>
  </si>
  <si>
    <t>Ma demande ce jour concernait une mise à jour de mon dossier et l'envoi de ma carte de mutuelle. Merci beaucoup Maria pour votre service et votre réactivité. Appel courtois et efficace. Demande traitée instantanément. Je suis satisfaite.</t>
  </si>
  <si>
    <t>kat-127653</t>
  </si>
  <si>
    <t>C'est vraiment un plaisir j'ai fait des économies ils sont extrêmement disponibles et réactifs  très professionnels
J'ai donc choisi de prendre aussi la mutuelle pour ma fille chez eux là aussi des économies et un petit peu mieux assuré que c'est Pacifica</t>
  </si>
  <si>
    <t>sauvageot-99530</t>
  </si>
  <si>
    <t>Les tarifs ne sont pas les plus bas du marché mais le service largement compense cette différence.
C'est une assurance mutualiste qui cherche à aider au maximun le sociétaire! Une personne est toujours à votre écoute afin de vous servir au mieux. Tous les sinistres que j'ai eu en 30 ans d'assurance ont toujours étés traités positivement pour moi.</t>
  </si>
  <si>
    <t>j2m-96433</t>
  </si>
  <si>
    <t xml:space="preserve">Excellente mutuelle. Très facile à contacter. Des conseillers très disponibles toujours à votre écoute qui rappellent si besoin est. Le coût de l'assurance est justifié par rapport aux risques couverts (complémentaire santé et complément de salaire).Rapport qualité prix excellent. Très bonne prise en charge en générale et notamment le complément de salaire. Les remboursement sont rapides. La prise en charge pour le complément de salaire est rapide et l'indemnisation est conforme aux montant prévus au contrat. Je suis très satisfait de la MGP et je la recommande sans aucune hésitation. </t>
  </si>
  <si>
    <t>18/08/2020</t>
  </si>
  <si>
    <t>patrick-m-107608</t>
  </si>
  <si>
    <t>Je suis satisfait de mon contrat. Les prix sont très corrects. J'ai été conseillé de manière efficace. Je conseillerai éventuellement à des amis. Merci</t>
  </si>
  <si>
    <t>severine-d-105953</t>
  </si>
  <si>
    <t>SIMPLE et pratique. En général bon suivi des dossiers chez Direct Assurance.  
Site clair et facile d'utilisation. Rapide à l'examen de la situation personnelle. Recommandé.</t>
  </si>
  <si>
    <t>09/03/2021</t>
  </si>
  <si>
    <t>liline0083-56546</t>
  </si>
  <si>
    <t xml:space="preserve">Laisser tombé un bon client ( 0 bris de glace, 0 accident, toujours payer en tant  et en heure ) pour un nouveau véhicule est que l'olivier ne veux pas assurée un véhicule car il est en WW , pff vraiment déçu </t>
  </si>
  <si>
    <t>08/08/2017</t>
  </si>
  <si>
    <t>daniel--122583</t>
  </si>
  <si>
    <t xml:space="preserve">Assuré chez DA depuis plus de 10 ans avec bonus 50 à vie. Un jour j’ai le malheur de prêter la voiture à une amie pour faire ses courses. Elle a un petit accrochage. Sans dommage. L’assureur me réclame une franchise de 2000€. Mon amie envoie un chèque immédiatement. Suite à plusieurs relance pour savoir si un expert est passé et si l’autre voiture a eu une réparation. En fait non, l’autre voiture n’a rien du tout. Elle n’a eu aucune réparation et pas d’expert. Je demande donc le remboursement. On me dit on a le droit de garder la franchise pendant 2 ans. Ça fait maintenant 26 mois. Toujours pas de nouvelles. C’est une boîte de m... En plus ils ont le culot de m’envoyer une lettre pour me dire qu’ils ne voulaient plus m’assurer. Jamais un accrochage de ma vie et ils se permettent de me virer. Bonus 50 à vie c’est du pipo </t>
  </si>
  <si>
    <t>jojeezy-55529</t>
  </si>
  <si>
    <t>Assurance OK pour le prix KO sur le service.
Aucune indemnisation suite à mon vol de véhicule, de plus les frais de fourrières sont à ma charge après plus de 30 jours de traitement du dossier je me suis acquitté d'une somme de 1 330 euros.</t>
  </si>
  <si>
    <t>mohammed-m-105762</t>
  </si>
  <si>
    <t>Je suis satisfait du service ,et le prix me convient ,ainsi  que la facilité de souscription par internet, et la clarté des questions .dont on peut y répondre clairement .</t>
  </si>
  <si>
    <t>hlemerle-98531</t>
  </si>
  <si>
    <t xml:space="preserve">L'Olivier assurance est une bonne assurance auto, mais low cost. 
Si vous avez un accident avec votre voiture, sachez que le rapatriement de votre famille et vous même n'est pas pris en charge par l'Olivier. Le rapatriement se fait à vos frais quand bien même vous auriez une assurance tous risques. 
Pour ma part nous avons eu un accident à 2h30 de route de chez nous, le soir. Nous avons dû payer 850€ de taxi, non pris en charge par l'assurance pour rentrer chez nous. Je précise que nous n'avions pas eu le choix que de rentrer chez nous car mon mari et moi-même étions avec notre bébé quand nous avons eu notre accident. 
Je ne recommande pas cette assurance auto, pas si vous souhaitez être serein quant à la prise en charge de votre rapatriement si vous avez un sinistre avec votre véhicule. </t>
  </si>
  <si>
    <t>09/10/2020</t>
  </si>
  <si>
    <t>alane-c-133539</t>
  </si>
  <si>
    <t xml:space="preserve">Je  suis  satisfait  du  service  mes  je 
 trouve  que  les  tarif  pour  un  50cm3 
 sont  vraiment  exorbitant  surtout 
 pour  un deuxième contrat. </t>
  </si>
  <si>
    <t>19/09/2021</t>
  </si>
  <si>
    <t>cartman-61643</t>
  </si>
  <si>
    <t>Des tarifs attrayant, cependant au détriment du service qui est déplorable, personel peu investi dans son travail, peu formé et pas très aimable dans les bureaux comme au téléphone. 
Le contact est peu présent et peu réactif, très compliqué en cas de sinistre ! 
Remboursement à la hauteur des tarifs exercé par cette compagnie "très bas"
Je ne vais donc pas réitérer mes contrats chez eux et préfère largement payer une dizaine d'euros de plus à l'année pour un service moins déplorable.</t>
  </si>
  <si>
    <t>21/02/2018</t>
  </si>
  <si>
    <t>carole-r-107741</t>
  </si>
  <si>
    <t>Très satisfaite du service et de la rapidité des réponses au mails.
Toujours une réponse rapide et correspondant à ma demande. Réponse à mes mails dans les 48 heures max mais en général dans les 24 h .</t>
  </si>
  <si>
    <t>nini27-71490</t>
  </si>
  <si>
    <t xml:space="preserve">Je rejoins les avis précédents concernant les prestations de cette assurance auto. L'Olivier alpague certes ses clients avec des tarifs qui semblent très attractifs mais dont les garanties ne sont pas la hauteur des autres Assureurs du Marché. 2 mois et une semaine aujourd'hui que mon sinistre est ouvert et aucun suivi concernant sa gestion. Le service client rejette la faute sur l'expert mais ne prend même pas la peine de relancer ce dernier  (c'est aux clients de s'en charger), mes mails à destination de l'Olivier restent sans réponse, et les réponses à mes appels restent plus que floues... A ce jour mon dossier est complet, l'expert a communiqué toutes les informations à l'Olivier et je reste toujours en attente et sans véhicule... Fuyez!! </t>
  </si>
  <si>
    <t>20/02/2019</t>
  </si>
  <si>
    <t>jamme-l-121364</t>
  </si>
  <si>
    <t>Lors d'une précédente simulation il me semble que le prix était moins élevé. Mais les tarifs restent tout de même attractifs, il s'agit de mon deuxième véhicule assuré chez l'olivier et je suis pour le moment satisfait en règle générale.</t>
  </si>
  <si>
    <t>minique-106683</t>
  </si>
  <si>
    <t>mutuelle nulle; ils ne répondent pas au téléphone, ni aux email. Ils n'ont pas fait la résiliation, comme promis, auprès de ma précédente mutuelle. J'ai envoyé une recommandée avec A.R le 20 janvier 2021 avant l'adhésion qui devait avoir lieu au 1 er février 2021 leur informant de ma non adhésion auprès de leur mutuelle suite aux nombreux appels et écrits sans réponse. J'ai donc fait opposition aux prélèvements prévus j'essaie toujours de les joindre" mais en vain. Que faire?</t>
  </si>
  <si>
    <t>15/03/2021</t>
  </si>
  <si>
    <t>alexandru-t-126951</t>
  </si>
  <si>
    <t xml:space="preserve">Satisfaisant les prix sont correcte en fonction de l assurance demandé
Je recommande tres bon rapport qualité prix
En espérant un bon suivie des dossiers </t>
  </si>
  <si>
    <t>07/08/2021</t>
  </si>
  <si>
    <t>dominique-a-108671</t>
  </si>
  <si>
    <t>Je suis très satisfait du contrat enregistré chez vous pour mon véhicule DACIA DUSTER 130 FAP 4x2 en tous risques avec pack tranquillité et zéro franchise bris de glace</t>
  </si>
  <si>
    <t>adichai-88093</t>
  </si>
  <si>
    <t>Une augmentation de plus de 10% en 2020, justifié par le prix des réparations qui augmentent.
Ben oui, tout augmente sauf nos revenus.
On ne récompense pas les clients retraités / gilets jaunes qui n'ont pas d'accident et/ou peu de moyen en prenant une assurance au tiers au bénéfice des riches avec leurs assurances tous risques proportionnellement pas assez chère par rapport aux tiers ... et les grosses réparations de leur SUV dernier cri ou voitures électriques.
Merci à Hamon et Chatel et la poste pour le recommandé avec A/R qui permet de faire jouer la concurrence.</t>
  </si>
  <si>
    <t>07/03/2020</t>
  </si>
  <si>
    <t>mrmay-74652</t>
  </si>
  <si>
    <t>Le pire service client que j'ai pu rencontrer.
Impossible de faire valoir ses droits - une machinerie interne qui semble si complexe que les conseiller vous baladent d'un service à l'autre pour éviter de répondre aux questions et se défausser de toute responsabilité.</t>
  </si>
  <si>
    <t>domdom21700-100437</t>
  </si>
  <si>
    <t xml:space="preserve">Assureur qui ne tient pas ses engagements. Moto très très mal remboursée. Équipements neufs de 3 mois remboursés au tiers de leur prix d'achat. Sinistre corporel non réglé 3,5 mois après l'accident. </t>
  </si>
  <si>
    <t>21/11/2020</t>
  </si>
  <si>
    <t>etienne-e-132890</t>
  </si>
  <si>
    <t xml:space="preserve">Je suis satisfaite du service qui est assez réactif.
Il est facile de les joindre par téléphone.
Assurance moins chère pour mon véhicule secondaire mais plus chère pour le principal. </t>
  </si>
  <si>
    <t>sabine-l-112345</t>
  </si>
  <si>
    <t>Je suis satisfaite du service, adhésion simple et pratique en quelques minutes, le prix est très intéressant
flexibilité sur la date d'adhésion, site très facile à utiliser</t>
  </si>
  <si>
    <t>ny-hanitrinisoa-r-123570</t>
  </si>
  <si>
    <t>le service est satisfaisant et rapide . le tarif est attrayant convient au petit budget.  service joignable à tout moment et cela répond à mes attentes</t>
  </si>
  <si>
    <t>dany-116782</t>
  </si>
  <si>
    <t xml:space="preserve"> saliha a rapidenent compris mon problème et a  contactè les services intéressés pour  que le remboursement que j'attendais depuis 2 mois soit mis en place</t>
  </si>
  <si>
    <t>rougeron-l-126217</t>
  </si>
  <si>
    <t xml:space="preserve">Je suis très satisfaite du service, les conseillers sont très bien formés et sont agréables.
Je recommande sans hésiter l'olivier assurance à tous mes proches </t>
  </si>
  <si>
    <t>alp-62013</t>
  </si>
  <si>
    <t xml:space="preserve">pour pas cher, t'as pas cher!
à part les franchises à payer très élevées en cas de sinistre ou bris de glace (au passage c'est comme ne pas etre assuré car les reparations coutent moins chere que la franchise)... à part tout ça donc, ose vouloir me resilier car j'ai fait 2 accidents responsable dans la même année...eh oui je ne suis plus rentable du coup ! </t>
  </si>
  <si>
    <t>06/03/2018</t>
  </si>
  <si>
    <t>pierre-m-111527</t>
  </si>
  <si>
    <t>très cher comparé à d'autres assurances pour les mêmes garanties voir mieux, service clients qui ne répond pas ou partiellement, injoignables par téléphone... Ne donnent pas suite quand on souhaite résilier et surtout NOUS PRELEVENT SANS AVOIR SIGNE LE MANDAT SEPA!!!  en bref A EVITER!!</t>
  </si>
  <si>
    <t>flouka64-97884</t>
  </si>
  <si>
    <t>bonjour,
vos services ont été très réactifs suite à ma demande de perte de salaire suite à mon congé longue maladie, très à l'écoute et rapide 
je souhaite avoir un devis pour une mutuelle familiale pour mon époux et moi même, voici nos ages 62 et 56 ans 
dans l'attente de votre appel
bien amicalement mme zenasni malika 0610452603</t>
  </si>
  <si>
    <t>26/09/2020</t>
  </si>
  <si>
    <t>hicham3105-100256</t>
  </si>
  <si>
    <t xml:space="preserve">Assurance au prix très responsable, équipe très à l’écoute, des réponses et des solutions dans les meilleures délais. 
Je recommande cette compagnie à tout ceux qui cherchent du sérieux. </t>
  </si>
  <si>
    <t>18/11/2020</t>
  </si>
  <si>
    <t>oursel-n-108155</t>
  </si>
  <si>
    <t xml:space="preserve">Le service est assez cool et rapide, mais faites attention le contrat que vous envoye n'est pas nette on vois pas grand chose on fait que le deviner. </t>
  </si>
  <si>
    <t>papiloulou-60379</t>
  </si>
  <si>
    <t>Nous avons 2 contrats assurance vie AGIPI depuis  plus de 10 ans. La lecture de vos avis ne rassure pas du tout. Je ne sais que faire surtout que les intérêts  ne cessent de diminuer et que les frais de gestion restent importants et à ce rythme dépasseront bientôt les intérêts servis..</t>
  </si>
  <si>
    <t>11/01/2018</t>
  </si>
  <si>
    <t>catherineclt-77828</t>
  </si>
  <si>
    <t xml:space="preserve">Merci à Caroline pour sa gentillesse et son efficacité ! Nous ne regrettons pas d'être adhérents chez-vous et c'est grâce à des employés comme elle ! </t>
  </si>
  <si>
    <t>22/07/2019</t>
  </si>
  <si>
    <t>lupin-104261</t>
  </si>
  <si>
    <t xml:space="preserve">MUTUELLE FACILE D'ACCES PAR TELEPHONE ET PAR INTERNET. PAR CONTRE IL EST DOMMAGE QUE LE BUREAU D'ACCUEIL QUI SE TROUVAIT A AVIGNON AIT FERME.
MUTUELLE FIABLE. </t>
  </si>
  <si>
    <t>sharkey-52850</t>
  </si>
  <si>
    <t>9 mois déjà et petite assurance vie non encore réglée.</t>
  </si>
  <si>
    <t>Sogecap</t>
  </si>
  <si>
    <t>28/02/2017</t>
  </si>
  <si>
    <t>thomas-r-127485</t>
  </si>
  <si>
    <t xml:space="preserve">Les prix me conviennent.
Petit bémol quand au moment de choisir la tarification qui n'est pas super clair si l'on souhaite être mensualiser ou en paiement annuel </t>
  </si>
  <si>
    <t>v-116460</t>
  </si>
  <si>
    <t>lors d'une demande d'info, je suis accueillie par Emeline : ses réponses sont claires, précises et surtout accompagnée d'un beau sourire. accueil professionnel, chaleureux. Félicitations</t>
  </si>
  <si>
    <t>lili-99914</t>
  </si>
  <si>
    <t>Adhérente depuis plusieurs années je n'avais rien à redire sur Néoliane
Mais cette année en prévision de soins dentaires, j'ai fait établir par mon dentiste 2 devis pour comparer
( 1 pour 2 couronnes et l'autre pour un implant ) ,j'ai donc envoyé ces 2 devis à Néoliane pour connaître le  montant de prise en charge et le montant restant à ma charge
j'ai bien reçu par courrier leur réponse
J'ai donc choisi les 2 couronnes avec un reste à ma charge 0€
J'ai réglé mon dentiste pour ces soins en septembre et dans les jours qui ont suivi la CPAM m'a remboursé la part SECU et à transmis ce dossier à Néoliane ( c'est inscris sur mon compte AMELI)
J'ai aussi envoyé les factures originales par courrier à Néoliane
J'ai attendu plusieurs semaines et vu mon étonnement de ne pas recevoir de réglement de la part de Néoliane, j'ai envoyé 1 mail en notant  mon étonnement, je n'ai reçu aucune réponse, puis j'ai envoyé d'autres mail et toujours aucune réponse
J'ai appelé en résumant la situation, au début de cet appel on m'a répondu qu'ils n'avaient rien reçu et suite à mon grand étonnement(comme par hazzard ) en vérifiant,  mon courrier venait d'arriver la veille et on m'a répondu qu'ils allaient traiter mon dossier au plus vite, chose que j'ai cru
J'ai attendu encore quelques semaines, n'ayant toujours rien reçu , j'ai rappelé lundi dernier, après beaucoup d'attente j'ai réussi par avoir une interlocutrice qui après avoir vérifier mon dossier m'a donné le montant de mon remboursement  et promis que celui ci serait viré sur mon compte au plus tard 48h après ( cette personne était aimable)
N'ayant toujours rien reçu vendredi ( soit 4 jours après ) j'ai rappelé et j'ai attendu très longtemps mais j'ai fini par avoir une personne , je lui ai expliqué le but de mon appel et mon étonnement en lui disant que je commençais à me poser des questions sur le bon déroulement de celui ci et qu'elle me donne une date de remboursement
Là cette personne est devenue "limite agressive " en me disant que mon dossier était traité et que je serais remboursée sans me donner plus de précisions, qu'ils avaient du retard dans les dossiers et que je pouvais faire des réclamations ,"qu'il y avait un service pour ça "
Je lui ai simplement dit que j'espérais que ce dossier soit clôturé au plus vite sinon que j'allais porter plainte, chose que je vais faire d'ici peu si je n'ai pas de nouvelles</t>
  </si>
  <si>
    <t>09/11/2020</t>
  </si>
  <si>
    <t>nina1902-97412</t>
  </si>
  <si>
    <t xml:space="preserve">Nul je n'ai jamais vu un manque de compétences de ce niveau voila presque 3 mois que j'attends le remboursement de mon véhicule, ne répondent que 2 fois sur 10. Donne des dates mais ne les respecte pas. De plus sois disant assurée tout risque mais les garanties sont celles d'une assurance au tiers. JE VOUS DECONSEILLE FORTEMENT CETTE ASSURANCE SOUS PEINE DE VOUS VOIR TRAINER DANS LA BOUE PENDANT DES MOIS </t>
  </si>
  <si>
    <t>15/09/2020</t>
  </si>
  <si>
    <t>adnane-b-132851</t>
  </si>
  <si>
    <t xml:space="preserve">Prix correct, dommage qu’on doit passer par un nouveau  contrat pour avoir le bon tarif. Une modification de contrat lors d el’achat d’un nouveau véhicule est beaucoup moins intéressante </t>
  </si>
  <si>
    <t>chadou-56956</t>
  </si>
  <si>
    <t>eurofil est une assurance de publiciter monsengere on leur verse un acompte pour un contrat auto et en final le contrat auto na pas prix effet et aucun accompte et renbourser</t>
  </si>
  <si>
    <t>29/08/2017</t>
  </si>
  <si>
    <t>marmet-m-126896</t>
  </si>
  <si>
    <t xml:space="preserve">Je suis satisfaite du prix et de la qualité des conseillers, très bon accueil téléphonique, et très bon site internet très bien expliquer, avec des remises très correcte </t>
  </si>
  <si>
    <t>jluc54-68784</t>
  </si>
  <si>
    <t>très bon contact personnes très compétente et explications très claire je recommanderais votre site</t>
  </si>
  <si>
    <t>21/11/2018</t>
  </si>
  <si>
    <t>july-78268</t>
  </si>
  <si>
    <t>J'ai envoyé ma facture de dépassement d'honoraires pour mon hospitalisation en maternité et je n'ai toujours pas de remboursement depuis plus de 3 semaines. Je tente de les joindre tous les jours depuis 10jours par téléphone et mail et impossible de les joindre.</t>
  </si>
  <si>
    <t>michel-d-108849</t>
  </si>
  <si>
    <t>Je suis satisfait du tarif ainsi que de votre formule . Je pense éventuellement en faire par à mes connaissances afin qu'il face un devis pour leur contrat .  Cordialement</t>
  </si>
  <si>
    <t>rykyo50--101873</t>
  </si>
  <si>
    <t>Beaucoup trop cher c'est bien pour ça que je cherche une autre j'en ai trouvé d'autres avec les mêmes garanties et a moitié prix, et pareil pour mon assurance moto!!!</t>
  </si>
  <si>
    <t>27/12/2020</t>
  </si>
  <si>
    <t>leanal-105150</t>
  </si>
  <si>
    <t xml:space="preserve">Pour économiser 200 € par rapport à mon ancienne assurance, j'ai souscrit mon assurance habitation à la MAIF, dans leur bureau, expliquant précisément que ma maison était louée sans mobilier, avec pompe à chaleur fixée au mur extérieur. 
A cause d'une manœuvre, un camion a percuté une pompe à chaleur ; 
la MAIF ne m'a pas du tout aidé pour ce litige : je n'étais pas assuré pour ça ! 
Les systèmes de chauffage sont pour la MAIF des MOBILIERS ; 
Comme je n'avais aucun meuble dans la maison je n'étais pas assuré ! 
De plus, je n'avais pas assuré la maison pour les dégâts avec un véhicule : 
c'est sûr que la maison s'est déplacée pour entrer dans le camion ! 
à part lors d'un tremblement de terre, ça se serait si les maisons se déplaçaient ! 
Il m'a été impossible de faire remettre en place une pompe à chaleur ;
A FUIR même si le prix est moins cher que votre assurance actuelle 
</t>
  </si>
  <si>
    <t>steph-93001</t>
  </si>
  <si>
    <t>Un accueil tjs de très bonne qualité, des personnes à l écoute, des explications clair, une rapidité d action, l'envie de rester car les interlocuteurs sont vraiment gentil et humain.</t>
  </si>
  <si>
    <t>02/07/2020</t>
  </si>
  <si>
    <t>catherine--h-124819</t>
  </si>
  <si>
    <t>Je suis Satisfaite du service  sur votre site internet -et les prix proposés pour assurer ma voiture fiât doblo Reste correct-j’aurais souhaité quand même une proposition d’un fractionnement de paiement en deux fois dans l’année.</t>
  </si>
  <si>
    <t>makarova-m-139686</t>
  </si>
  <si>
    <t>Service simple et pratique. En tant que jeune conductrice: première expérience très agréable.
Et prix également très abordable et donc très arrangeant</t>
  </si>
  <si>
    <t>sophie-b-128796</t>
  </si>
  <si>
    <t>simple et rapide prix très intéressant.
Avoir pour la suite!
explications claires 
devis rapide.
je recommanderai à mes proches certainement 
merci de votre attention,</t>
  </si>
  <si>
    <t>charlesh-67005</t>
  </si>
  <si>
    <t>J'ai toujours été satisfait de PACIFICA a partir du moment ou je n'avais pas de problème. Le jour ou je me suis fait voler mon véhicule, il a fallu bataillé par mail, courrier, appel durant plus de 2mois et demi pour enfin être remboursé. C'est une situation que je trouve inacceptable. Cette assurance n'est pas à la hauteur de sa réputation.</t>
  </si>
  <si>
    <t>21/09/2018</t>
  </si>
  <si>
    <t>roncin-v-112715</t>
  </si>
  <si>
    <t xml:space="preserve">Je suis satisfais du rapport qualité prix et des avantages fournis par l'olivier assurance avec ni bonus et ni malus j'ai trouver vraiment un prix défier toute concurrence par rapport au autre assurance. </t>
  </si>
  <si>
    <t>maryze16-81745</t>
  </si>
  <si>
    <t>Si votre voiture tombe en panne, assurez vous qu'il y ai plus de 3h de main d'oeuvre dessus ou sinon vous vous retrouverez a pied pour le délais de réparassions... en tant qu'auto entrepreneur itinérante, pas de voiture égale pas de rentrée d'argent...</t>
  </si>
  <si>
    <t>pierre-clement-v-134171</t>
  </si>
  <si>
    <t>Efficace et rapide pour souscrire à une nouvelle assurance via Internet.
Service impeccable, rien à signaler de plus mais je dois remplir le nombre de caractères minimum =)</t>
  </si>
  <si>
    <t>salheddine-m-124707</t>
  </si>
  <si>
    <t xml:space="preserve">Satisfait du prix , c est la première fois fois que j assure mon véhicule chez vous ont verra par la suite . Pour mon habitation vous êtes au top , je n ai eu aucun.probleme aucune critique à emetre .
</t>
  </si>
  <si>
    <t>25/07/2021</t>
  </si>
  <si>
    <t>jbm-80676</t>
  </si>
  <si>
    <t>Je suis à la Macif depuis des années et je suis très satisfait jusqu'au jour où j'ai été victime d'une usurpation de 
Plaque d'immatriculation .
Je vais pas expliquer ici mon problème très complexe mais après beaucoup de dépôts de plainte j'ai l'impression que la MACIF doute toujours de ma bonne fois .
J'ai changé mon numéro d'immatriculation .
Bon il m'a été confirmé ( téléphone ) que j'aurai pas de malus et que je garderais mes 50% de bonus .
La MACIF me demande les résultats de mes plaintes auprès de la police ,mais que faire la police m'informe de rien .
Je suis un petit peut déçu car j'ai déjà eu 2 ou 3 accrochages non responsable et j'ai été payé sans problème .</t>
  </si>
  <si>
    <t>amine-a-123565</t>
  </si>
  <si>
    <t>Rapide et efficace bon courage à tous j'ai vraiment regretté de le faire les prés ils ont raisonnable et c'est pas cher du tout bon courage à tous merci</t>
  </si>
  <si>
    <t>tyson-138014</t>
  </si>
  <si>
    <t>Les tarifs ne sont pas décevant ainsi que pour faire le devis en ligne tout ça est bien et par contre le service téléphonique une catastrophe c'est tout juste si ils vous disent pas de dégager si on n'est pas content mieux vaut aller directement dans une agence je recommande pas du tout le site téléphonique un gros problème chez Macif</t>
  </si>
  <si>
    <t>22/10/2021</t>
  </si>
  <si>
    <t>tassadit-k-105630</t>
  </si>
  <si>
    <t>Je suis satisfait sur le prix  et l'offre d'assurance et je suis satisfait de la formule ainsi que la rapidité du devis et contrat établi sur internet. Je recommande DIRECT ASSURANCE.
MERCI</t>
  </si>
  <si>
    <t>escargot-95221</t>
  </si>
  <si>
    <t>Les règles du contrat sont respectées, mais on a des surprises au renouvellement des cotisations si votre animal a eu un gros souci de santé ou lorsqu'il vieillit
Les cotisations augmentent de 30 à 50 % PAR AN
On n'est plus dans un régime de risque collectif d'assurance. Comme partout, il faut gagner de l'argent.
J'ai 2 chiens âgés. Il est clair que cela va me côuter plus cher en cotisations que les frais vétérinaires.
Vous avez intérêt sur le long terme à être votre propre assureur!!!</t>
  </si>
  <si>
    <t>26/07/2020</t>
  </si>
  <si>
    <t>philippe-c-122009</t>
  </si>
  <si>
    <t>Tant qu'il n'y a pas de sinistre, je n'ai pas l'occasion de tester les services, donc je ne peux juger que sur l'aspect gestion de la cotisation et du tarif annuel, qui semble correct sans plus.</t>
  </si>
  <si>
    <t>christophe-d-103553</t>
  </si>
  <si>
    <t xml:space="preserve">Je suis satisfait du service proposé par zen up. Le conseiller est à l'écoute et très réactif. Le prix proposé pour l'assurance est imbattable Du plus tout se fait très simplement à distance. </t>
  </si>
  <si>
    <t>02/02/2021</t>
  </si>
  <si>
    <t>bab93-76476</t>
  </si>
  <si>
    <t xml:space="preserve">TRES DECU PAR LA MACIF AUCUN SINITRE JUSQU'AU JOUR OU CELA ARRIVE SERVICE CORPOREL </t>
  </si>
  <si>
    <t>04/06/2019</t>
  </si>
  <si>
    <t>bea-97832</t>
  </si>
  <si>
    <t xml:space="preserve">assurée depuis 4 ans à la mutuelle des motards, j'ai eu un accident non responsable le 12 mai dernier, je ne suis toujours pas rembourser des 1800€ de facture du garage. ils n'ont pas voulu avancé les frais. Ils ne sont jamais joignable. et les seules fois ou j'arrive à avoir quelqu'un au téléphone elle me prend de haut.
donc niveau prix : très élevés
disponibilité des agents : jamais joignable
qualité d'intervention, déjà 4 mois toujours pas remboursé
</t>
  </si>
  <si>
    <t>25/09/2020</t>
  </si>
  <si>
    <t>tamta-138400</t>
  </si>
  <si>
    <t xml:space="preserve">Le service de clientèle est nul! 
Le conseiller raccroche quand vous poser la question. Le temps d’attente 25 minutes. Ils font tout de ne rien rembourser! 
</t>
  </si>
  <si>
    <t>27/10/2021</t>
  </si>
  <si>
    <t>melsef-98641</t>
  </si>
  <si>
    <t>lamia merci pour  votre professionnalisme  .
chaque  appel j'ai de bonnes reponses et toutes  mes demandes sont effectuées. 
a l'écoute. 
je recommande</t>
  </si>
  <si>
    <t>12/10/2020</t>
  </si>
  <si>
    <t>vincent-t-139710</t>
  </si>
  <si>
    <t>Facilement joignable par téléphone
Devis facile à réaliser en ligne avec des options claires
A voir maintenant si l'assureur sera présent pour moi en cas de sinistre...</t>
  </si>
  <si>
    <t>16/11/2021</t>
  </si>
  <si>
    <t>les-arbas-100498</t>
  </si>
  <si>
    <t xml:space="preserve">Bonsoir depuis le 29/09/20 une demande de résiliation via la loi Hamon est en cours et à ce jour rien n'est fait, l'olivier me confirme la réception du courrier mais refuse de résilier car il exige la preuve de dépôt de la demande de résiliation. Depuis 8 semaines maintenant je suis en contact régulier avec l'olivier et direct assurances pour résoudre ce problème. Direct assurances m'a fourni un numéro d'accusé de réception mais l'olivier ne l'accepte pas. J'ai fait ce jour une réclamation au service qualité qui m'a répondu qu'il avait bien le courrier mais pas de preuve de dépôt.
Prochaine étape = saisine auprès du médiateur des assurances
</t>
  </si>
  <si>
    <t>24/11/2020</t>
  </si>
  <si>
    <t>martine-c-113222</t>
  </si>
  <si>
    <t>Assurance à l'écoute mais les prix augmentent chaque année malgré l'augmentation des bonus.
Aucune raison n'est donnée
N'est plus assez compétitive. Je vais comparer les prix des autres assurances pour en changer.</t>
  </si>
  <si>
    <t>dorison-s-115254</t>
  </si>
  <si>
    <t xml:space="preserve">Dans l'ensemble je suis plutôt satisfait. Chacune de mes questions trouvent une réponse chaque fois que j'appelle, grâce à la compétence et à l'écoute des conseillers en ligne. </t>
  </si>
  <si>
    <t>29/05/2021</t>
  </si>
  <si>
    <t>tchupita66-88296</t>
  </si>
  <si>
    <t>Déçue, mon mari est décédé depuis le 4 janvier 2021, assuré pour un crédit immobilier à 50 pour cent. 
Demande en plus de papiers complémentaires, et depuis dossier en étude, c'est vrai que suite à un deuil, nous avons que ça à faire attendre auprès des assureurs. 
Une honte. bientôt six mois.</t>
  </si>
  <si>
    <t>valdu13-78708</t>
  </si>
  <si>
    <t>Très très déçue. Attention on vous fait une vente par téléphone pour vous vendre contrat le plus élevé et au final très mal remboursé . Cette assurance est une blague.  Je ne recommande pas cette assurance</t>
  </si>
  <si>
    <t>26/08/2019</t>
  </si>
  <si>
    <t>mu-117072</t>
  </si>
  <si>
    <t xml:space="preserve">Nisrine ma conseillère téléphonique charmante et à l’écoute.   Mais. Il y a un gros mais.    Impossible d’obtenir ma demande de prise en charge envoyée le 2 juin devant moi et le 11 juin par mon opticien.  Celui ci appelle santiane qui leur confirme que la prise en charge a été faite.  Mais ne répondent pas à l’opticien qui ne peut traiter mon dossier.    Je n’ai toujours pas de lunettes!!!!!   Très en colère. Je ne conseillerai pas sur les avis internet.  Désolée. Trop déçue </t>
  </si>
  <si>
    <t>araude-71276</t>
  </si>
  <si>
    <t>Bon accueil, réactivité immédiate et tarifs attractifs</t>
  </si>
  <si>
    <t>13/02/2019</t>
  </si>
  <si>
    <t>didier-m-114623</t>
  </si>
  <si>
    <t>satisfait en général des prix et services proposés. en revanche l'espace personnel n'est pas toujours très clair et réactif voire même quelques bugs. document envoyé et indiqué comme non reçu.</t>
  </si>
  <si>
    <t>23/05/2021</t>
  </si>
  <si>
    <t>talasa-79568</t>
  </si>
  <si>
    <t xml:space="preserve">Bonjour, une voiture à fait un accrochage avec ma voiture on a fait deux constat signé moi j'ai déposé la mienne comme elle été et la femme à fait une autre constat tout à fait différente on émittant ma signature et inventé un témoin la MCIF à rembourse la damme et moi m'a pris pour une escroquerie alors que c'est elle la fautive </t>
  </si>
  <si>
    <t>29/09/2019</t>
  </si>
  <si>
    <t>sweetyco-79523</t>
  </si>
  <si>
    <t>Accidentée depuis le 19/09 je passe mon temps au téléphone avec eux ( plateforme au Maghreb) !
Pas fichu d expliquer simplement les choses , renvoie la responsabilité sur l assistance AXA , incapable de se remettre en question !</t>
  </si>
  <si>
    <t>27/09/2019</t>
  </si>
  <si>
    <t>florent-96399</t>
  </si>
  <si>
    <t xml:space="preserve">0/20. baladé de service en service sans aucune réponse, temps d'attente ahurissant quand ont ne vous r'accroche pas au nez , personnes ne sais jamais rien,ne comprends rien, et difficile a comprendre dû au problème d'élocution des opérateurs,  hallucinants.... une assurance qui est juste la pour encaisser l'argent des assuré sachant que je suis client depuis plus de 10ans..... Vraiment déçu..... </t>
  </si>
  <si>
    <t>17/08/2020</t>
  </si>
  <si>
    <t>vannson-l-129226</t>
  </si>
  <si>
    <t>Je suis satisfait de ce service. De tarif qui m’a été proposé est deux fois moins chère que mon assurance actuelle.
Les démarche sont simple à effectuer.</t>
  </si>
  <si>
    <t>jeenfize-116048</t>
  </si>
  <si>
    <t xml:space="preserve">cette assurance a essayé  par 2 fois de me vendre une assurance en se fesant passer pour une succurssale de mes propres assurrances. ils avaieny mes numeros de rib bancaire. ils ne sont pas serieux. </t>
  </si>
  <si>
    <t>renegad23091969-99767</t>
  </si>
  <si>
    <t>jamais eu d'accident en jeune conducteur. Dommage que je doive attendre 3 mois pour etre reassurer vu que les papiers de ma nouvelle voiture ont ete un peut long a faire</t>
  </si>
  <si>
    <t>06/11/2020</t>
  </si>
  <si>
    <t>khalid-n-105489</t>
  </si>
  <si>
    <t xml:space="preserve">Bonjour, 
c'est la 10e fois que je valide un devis, que j'ai payé, et 48h après on change le tarif. J'ai déjà appelé 10 fois et à chaque fois on me dit que c'est réglé et 48h après on m'envoie un mail pour payer un montant supérieur au devis initial. 
Par ailleurs, on refuse d'appliquer une réduction liée à mon bonus alors que celle-ci a été appliquée à la personne qui m'a conseillé de vous rejoindre. 
Visiblement les conseillers ne sont pas efficaces voir pas sérieux. 
</t>
  </si>
  <si>
    <t>philagmf-57918</t>
  </si>
  <si>
    <t>En général satisfait mais depuis mardi 3/10/2017 j'ai passé plusieurs heures à écouter leur musique du répondeur et encore actuellement le lundi 9/10 2017au téléphone, il n'y a toujours que le répondeur. Au bout de plusieurs dizaines de mn cela coupe. A l'instant, la voix mécanique me suggère de prendre rendez vous, mais plus de place. je veux seulement arrêter la mise en circulation d'un véhicule aujourd'hui. Il faudrait que je me déplace ! Si ce problème perdure, il  va être urgent de chercher une assurance qui traite directement par internet qu'avec cette assurance qui n'arrive pas à ASSURER actuellement un simple service téléphonique.</t>
  </si>
  <si>
    <t>09/10/2017</t>
  </si>
  <si>
    <t>pasdemaaf-55641</t>
  </si>
  <si>
    <t xml:space="preserve">Vraiment pas mieux que les autres, prend rien en charge sans franchise ce qui reste énorme pour ce qu’on leur donne à l’annee Et les conseillers vraiment désagréables </t>
  </si>
  <si>
    <t>aguene-yangaitare-c-126850</t>
  </si>
  <si>
    <t xml:space="preserve">Ravi de souscrire chez Olivier assurance, c’est vite fait et je recommande à mes connaissances
Cordialement. J’espère que je serai pas déçu dans les jours à venir et c’était rapide le service en ligne j’espère que j’aurai le numéro d’un conseiller disponible afin de répondre à mes besoins </t>
  </si>
  <si>
    <t>dje-109572</t>
  </si>
  <si>
    <t xml:space="preserve">Assurance chère à mon goût , mais suivi de dossier très bien. 
Les conseillers sont très aimable.                                                     </t>
  </si>
  <si>
    <t>08/04/2021</t>
  </si>
  <si>
    <t>pascal-m-113158</t>
  </si>
  <si>
    <t>Je ne suis plus du tout satisfait de vos services, surtout depuis début mars 2021 où l'on m'a volé et incendié mon véhicule et depuis ce jour, aucune indemnisation. Effectivement depuis le 5 mars 2021, vous m'avez fait damner pour des documents administratifs quasiment introuvables et/ou non conforme, qu'ils faillaient impérativement faire modifier par des demandes invraisemblables. De plus, vous ne communiquez pas d'information avec le cabinet d'expertise que vous avez choisi et de son coté, le cabinet d'expertise ne vous envoie pas les documents que je leur ai transmis. C'est tout de même fabuleux qu'il failles transmettre à chacun les mêmes documents. Je suis chez vous depuis plus de 30 ans, je paye toutes mes cotisations en temps et en heure et maintenant que j'ai pour la première fois un véhicule détruit, vous êtes absent, c'est honteux !</t>
  </si>
  <si>
    <t>pion-k-123706</t>
  </si>
  <si>
    <t>JE SUIS TRES SATISFAIT DU SERVICE CLIENTELE. LES CONSEILLERS SONT A L ECOUTE ET REPONDENT A TOUTES LES QUESTIONS. TARIF UN PEU ELEVE POUR LES JEUNES CONDUCTEURS</t>
  </si>
  <si>
    <t>clairette33-67869</t>
  </si>
  <si>
    <t>Bonjour,
Fuyez cette assureur !!! c'est une honte, 3 mois que l'on me ballade, un service client déplorable qui annonce des dates de traitement de dossiers à chaque fois différentes !!!
Cela fait 3 mois que j'attends un complément de salaire et uniquement par ce que le scan de l'avis d'arrêt de travail reçu est de mauvaise qualité on m'a redemandé une copie de cet avis.
Après appel le 12 septembre dernier, et discussion avec le service client qui lui voyait bien la bonne date sur l'avis je revoie donc l'avis... La personne me confirme l'avoir bien reçu et que celui ci est lisible... et depuis j'attends... en appelant quand même régulièrement pour savoir où en est mon dossier et à chaque fois des dates de traitement différentes me sont données... Une honte !!!
J'avais prévu de changer mon contrat mutuelle qui est un peu cher ainsi que celui de mon compagnon et j'avais regardé le site d'AG2R et cela me paraissait correct mais vu la réactivité de cet assureur, je me pose beaucoup de question et je ne pense pas faire affaire avec eux !!! tant pis pour eux !!!</t>
  </si>
  <si>
    <t>19/10/2018</t>
  </si>
  <si>
    <t>charles-76840</t>
  </si>
  <si>
    <t>je suis satisfait de notre conversation avec la personne qui m'a contacté, je trouve les conditions de la nouvelle complétaire santé interressantes .</t>
  </si>
  <si>
    <t>17/06/2019</t>
  </si>
  <si>
    <t>clement74-62154</t>
  </si>
  <si>
    <t>J'ai changer d'assurance auto, et l'olivier c'est occupé de tout ! les démarches étaient super simple, et chaque question que j'avais recevait une réponse rapide et claire. Les prix sont vraiment bas, les franchise également et pas de franchise variable qui donne souvent de mauvaise surprise... Le service client est impeccable. L'espace perso sur internet est très claire et permis de réaliser toute ces démarche facilement sans passer par la Poste.</t>
  </si>
  <si>
    <t>09/03/2018</t>
  </si>
  <si>
    <t>mlr-117442</t>
  </si>
  <si>
    <t>LAMENTABLE j'étais avant mutualiste MGEN puis contrat d'entreprise oblige nous sommes passés istya puis mgen solution.Les sites se sont mélangés les pinceaux je me retrouve à être prélevée de la mutuelle de mon mari comme çà, sans rien demander ! Les remboursements ne se font pas ou avec beaucoup de décalage.Personne ne répond aux mails.Je me demande m^me si je suis sur le bon site !Toutes mes collègues ont eu des problèmes et m^me une qui travaille dans une section MGEN !!!.  C'est le foutoir le plus complet !Je vais prendre une autre mutuelle c'est inadmissible !</t>
  </si>
  <si>
    <t>17/06/2021</t>
  </si>
  <si>
    <t>erwan-65554</t>
  </si>
  <si>
    <t>Je suis assuré GMF (habitation, voiture, juridique) depuis plus de 10 ans et j'ai été toujours très satisfait. L'assurance est vraiment leur métier et ils le font bien.</t>
  </si>
  <si>
    <t>17/07/2018</t>
  </si>
  <si>
    <t>moi-62777</t>
  </si>
  <si>
    <t>Excellente initiative de Santiane qui m'a proposé une actualisation de mon contrat avec à la clé une prime diminuée et des garanties augmentées ! What else ?</t>
  </si>
  <si>
    <t>de-chiara-l-111972</t>
  </si>
  <si>
    <t xml:space="preserve">Je suis content du service, simple, pratique et éfficace, accueil téléphonique très agréable, pour une première demande je reste vraiment satisfait   </t>
  </si>
  <si>
    <t>kermark-65068</t>
  </si>
  <si>
    <t xml:space="preserve">cComportement incroyable pour une compagnie d'assurance qui se permet de faire des publicités et dont l' attitude diverge dans ses actes. </t>
  </si>
  <si>
    <t>26/06/2018</t>
  </si>
  <si>
    <t>ial-79256</t>
  </si>
  <si>
    <t xml:space="preserve">Bonjour, je suis exaspéré par la lenteur de traitement de mon dossier d arrêt de travail hors mission. Je suis en arrêt depuis le 3.07.2019!! Envoyer les documents depuis juillet!! Par voie postale et électronique. Je n arrête pas d appeler! Toujours la même réponse c'est en cours .... me voilà à la limite du fichage banque de France! Presque fin septembre et toujours pas payer,hormis les mails de documents à compléter( que j'avais déjà mis au dossier au prèalable...) j ai aucun paiement! La situation est très grave pour moi, et aucune manière de communiquer hormis le téléphone où personne peux faire quoique ce soit!! C'est fatiguant et usant!!! Je suis desespere et ne sais plus quoi faire!! </t>
  </si>
  <si>
    <t>flololo-104111</t>
  </si>
  <si>
    <t>En ce qui me concerne Eurofil/Aviva aujourd'hui je peux mettre une note de 5/5. Plusieurs raisons : pare-brise bien pété en roulant tranquillement (n'étant pas de mon fait), pris en charge de suite par tel avec leur partenaire Carglass, 90 € restant à ma charge (j'ai vu sur ma facture le montant que mon assureur va payer !!) ; quelques jours plus tard donc aujourd'hui je reçois mon avis d'échéance et ils ont parfaitement joué le jeu (cause crise sanitaire, confinements répétés...), merci beaucoup à eux pour les efforts de prix 2021 et remise exceptionnelle en 2020. Pour finir, je vois les avis bien négatifs et j'espère qu'ils répondront positivement s'il m'arrivait vraiment quelque chose de plus important/grave (comme vous), je touche du bois !!</t>
  </si>
  <si>
    <t>raptor-122864</t>
  </si>
  <si>
    <t xml:space="preserve">Attention tout  va bien ten qu'il n arrive rien lors d'un accident avec un sanglier les ennuis on commencé nous somme juste bon à payer aller vers un autre assureur </t>
  </si>
  <si>
    <t>foxy-75363</t>
  </si>
  <si>
    <t>pour cette mutuelle au rapport qualité prix quasi imbattable il vaut mieux passé par un bon courtier qui est disponible au tel sinon rien à dire !!</t>
  </si>
  <si>
    <t>25/04/2019</t>
  </si>
  <si>
    <t>ouissem-105958</t>
  </si>
  <si>
    <t xml:space="preserve">Bonjour, je ne comprends les avis négatifs pour harmonie mutuelle, pour ma part je n’ai jamais été déçue !!!!!!!!!! Ils sont géniaux, compréhensifs, attentifs, calmes, à l’écoute... ils règlent les problèmes meme lorsqu’il s’agit des erreurs des cabinets médicaux, j’ai eu un soucis avec le dentiste de ma maman, harmonie ont fait leur maximum pour arranger la situation.. je leur suit entièrement reconnaissante et je recommande activement cette compagnie. Vous êtes au top !!!!! </t>
  </si>
  <si>
    <t>babette-71536</t>
  </si>
  <si>
    <t>contrat souscrit le 05/01/2019 que des problemes depuis on ne sait meme pas pas qui vous etes assures neoliane santiane malakof mederic viamedis</t>
  </si>
  <si>
    <t>jt-123934</t>
  </si>
  <si>
    <t xml:space="preserve">Très mauvaise prise en charge suite accident auto 
Depuis 4jours j’attend un véhicule de prêt, aucune solution apportée de la part de l’assurance 
Mauvaise organisation, mauvaise communication: on m’envoie un sms pour aller chercher de mes propre moyens le véhicule chez un loueur, 10min après on m’appelle pour me dire que je ne peux pas aller chercher le véhicule (pas dispo). En accord avec une interlocutrice, une amie peut aller chercher le véhicule le lendemain (puisque je travail). Une fois sur place on refuse le prêt de véhicule… et maintenant dans l’attente… toujours pas de véhicule !
Je ne recommande pas cette société d’assurance pour les assurances auto </t>
  </si>
  <si>
    <t>fralan2791-67499</t>
  </si>
  <si>
    <t>Rapidité.  Contact facile. Amabilite.  La signature du contrat a ete rapide. Tous les documents recus en temps reel. Je conseille sans soucis</t>
  </si>
  <si>
    <t>09/10/2018</t>
  </si>
  <si>
    <t>paul-130143</t>
  </si>
  <si>
    <t>Pour appâter le nouveau client, les tarifs sont là, puis au fil du temps le prix enfle, même sans aucun accident . Et la concurrence à ce jour est moins chère.
Alors à vous de voir</t>
  </si>
  <si>
    <t>loiccarter--101458</t>
  </si>
  <si>
    <t>A l’écoute vraiment super je n’ai rien à dire je recommande à toutes les forces de l’ordre ou celles qui peuvent en bénéficier . Cette mutuelle est de plus très arrangeante .</t>
  </si>
  <si>
    <t>richun-f-132548</t>
  </si>
  <si>
    <t>Les prix me convient. Gestion du dossier avec app telephone est simple et pratique. Voir l'information du contrat et declaration avec l'app est pratique. Reponse rapide.</t>
  </si>
  <si>
    <t>pierre-l-103467</t>
  </si>
  <si>
    <t xml:space="preserve">Pas du tout satisfait du recours et des remboursements concernant mon assurance habitation et pour le service juridique que j'ai souscrit auprès de la société générale. Ne recommande pas pour le suivi et ni pour le remboursement. </t>
  </si>
  <si>
    <t>31/01/2021</t>
  </si>
  <si>
    <t>sam-91962</t>
  </si>
  <si>
    <t xml:space="preserve"> J'ai subi un vol de voiture il y a quelques années et je n'ai toujours pas été indemnisé malgré une experise ayant confirmé la valeur de la voiture,...
La GmF me réclame un document que je n'ai pas mais qui surtout ne fugure aucunement dans les clauses.
Pire... j'écris régulièrement et aucune réponse de la GmF ou encore du médiateur.
J'ai donc decidé d'assigner. Si d'autres assurés sont dans le même cas n'hésitez pas à laisser un commentaire afin de ne pas laisser ce genre de situation perdurer!!!</t>
  </si>
  <si>
    <t>tug-60910</t>
  </si>
  <si>
    <t>Sinistre non responsable en août, un taxi m’est rentré dedans. Je suis TOUJOURS en attente d’un remboursement de ma moto non réparable. La personne au téléphone, joignable seulement le matin, est incapable de me répondre et me balade en remetant en cause ma responsabilité, le cabinet d’expertise et ne repond pas à mes emails de relance. Au bout de 5 mois ils daignent me repondre pour me proposer un remboursement de 20% de la valeur mon vehicule achetée neuf 5 mois avant le sinistre !!! C’est inadmissible, et scandaleux. Je suis client depuis 2012 sans aucun sinistre et voilà comment cette assurance traite ses adherents. A fuir !!!</t>
  </si>
  <si>
    <t>28/01/2018</t>
  </si>
  <si>
    <t>patrick-d-117982</t>
  </si>
  <si>
    <t>j'ai trouvé moins cher ailleurs
J'ai été mal défendu lors d'un sinistre tord reconnu à 50% alors que l'autre conducteur était en tord.
Le témoin n'a meme pas été consulté.</t>
  </si>
  <si>
    <t>paspat-87672</t>
  </si>
  <si>
    <t>accident de la route non responsable l été 2018, sans trop de gravité mais toujours pas indemnisé totalement sur le préjudice corporel. Il faut les relancer, aucune communication. Au téléphone, jamais la même personne qui s occupe du dossier, difficulté pour les joindre...Je vais partir voir ailleurs...Je suis à la GMF depuis 15 ans.</t>
  </si>
  <si>
    <t>gege-80290</t>
  </si>
  <si>
    <t>Ag2r commet des erreurs  et des erreurs c'est interminable pour qu'il corrige leurs erreurs 
c'est infernal</t>
  </si>
  <si>
    <t>gecko66-105640</t>
  </si>
  <si>
    <t xml:space="preserve">Assuré depuis de nombreuses années a la mutuelle (Je suis motard depuis 1975) j'ai deux motos assurées et depuis 2019 par solidarité j'ai assuré ma voiture, je n'ai eu aucun sinistre pendant toutes ces années. Je reçois mon avis d'échéance 2021/2022 avec une augmentation de 11,5% sur l'assurance de mon automobile ! Après appel il n'a été répondu pour seule explication que c'était comme ça et pas autrement, alors que Mr Jacquot dans sa lettre d'information nous explique que les voitures sont moins concernées par les accidents corporels !! 
Bien sur je viens de résilier mon assurance automobile et je conseille à tous les motards de ne JAMAIS ASSURER leur véhicule a 4 roues à "la Mutuelle"
Je suis très très déçu par le manque de considération, nous ne sommes plus des "sociétaires" mais des clients qui n'ont d'intérêt pour la mutuelle que leur compte en banque. 
</t>
  </si>
  <si>
    <t>r99-108408</t>
  </si>
  <si>
    <t>Je cotise depuis 1980 mais malheureusement au final le résultat va être faible par rapport aux versements. J'ai été actif jusqu'en 2009 et depuis à la retraite.
C'est la première fois que je contacte un conseiller clientèle et la rien à dire, gentillesse et qualité des renseignements fournis</t>
  </si>
  <si>
    <t>chris-89720</t>
  </si>
  <si>
    <t>Cela fait 3 ans que je fais appel à leur services pour assurer mes véhicules. Au début, l'équipe ne semblait pas tres réactive mais depuis il y a une très nette amélioration. La nouvelle équipe au rendez-vous sur la qualité de service.Merci a Elena et Mehdi Z.</t>
  </si>
  <si>
    <t>18/05/2020</t>
  </si>
  <si>
    <t>geraldine-m-107112</t>
  </si>
  <si>
    <t>simple et efficace, des conseillers pros et agréables! j'ai toujours eu les informations demandées dans les délais impartis, je recommande sans problème</t>
  </si>
  <si>
    <t>19/03/2021</t>
  </si>
  <si>
    <t>philippe-64172</t>
  </si>
  <si>
    <t xml:space="preserve">assurance crédit de très très mauvaise qualiter il demande toujours et encore des papier assureur comme banque a éviter  </t>
  </si>
  <si>
    <t>carine-m-105240</t>
  </si>
  <si>
    <t>Bonjour,
je suis assurée "tous risques" pour 2 véhicules et je trouve que la franchise que je dois payer dans le cas où un de mes véhicule a été endommagé alors qu'il était garé, est trop élevée.</t>
  </si>
  <si>
    <t>sandrine--p-135056</t>
  </si>
  <si>
    <t>SATISFAITE SURTOUT NIVEAU PRIX. RAPIDE ET FACILE POUR LA PROCEDURE . SITE FACILE A MANIER JE VAIS VOIR POUR L'HABITATION. J'ESPERE ETRE SATISFAITE LONGTEMPS</t>
  </si>
  <si>
    <t>rene-133908</t>
  </si>
  <si>
    <t>AMV, c'est un peu comme l'achat de produits asiatiques: un tarif intéressant mais zéro service après-vente.
Un message envoyé pour une demande concernant un contrat, sans réponse au bout d'une semaine.
Et en cas de sinistre, zéro assistance et remboursement "light", y compris en cas dommages corporels.
Bref, si c'est pour avoir la vignette verte ça va, mais il ne faut pas compter sur eux........</t>
  </si>
  <si>
    <t>eric-g-129531</t>
  </si>
  <si>
    <t>je suis satisfait vos prestations et de votre réactivité. La couverture de l'assuré est relativement correcte et je conseille ce type d'assurance à des proches.</t>
  </si>
  <si>
    <t>johan-t-132048</t>
  </si>
  <si>
    <t xml:space="preserve">Après avoir eu mon permis j’ai fait des recherche pour une assurance voiture j’ai comparer plusieurs assurance la votre et la meilleure offre je me suis donc inscrit </t>
  </si>
  <si>
    <t>09/09/2021</t>
  </si>
  <si>
    <t>mohamed-r-134451</t>
  </si>
  <si>
    <t xml:space="preserve">Ravi d’être parmi vous merci pour le service que vous donnez avec plein de réussite et escalade et sortie et rentre d’argent avec un bon chiffre d’affaire que ok peut partager autant client </t>
  </si>
  <si>
    <t>25/09/2021</t>
  </si>
  <si>
    <t>alain-g-114880</t>
  </si>
  <si>
    <t xml:space="preserve">OK, nous verrons par la suite selon les propositions des concurrents directes de l'assurance.
voila !  en espérant ne pas avoir a se utiliser les services de l'assurance.
</t>
  </si>
  <si>
    <t>fab-99073</t>
  </si>
  <si>
    <t>Alors AG2rR quand vous voulez les appeler vous avez droit au répondeur 15 minute ensuite un conseiller vous répond mais ce n'est pas le bon service! Il vous donne un autre numéro vous vous repayé le répondeur; vous répétez l’opération quatre fois ....
pour au bout d'une HEURE avoir un conseiller qui vous dit qu'il va transmettre votre demande au bon service est que votre document vous le recevrez par mail dans les 48 heures. Niveaux relation client zéro zéro zéro 
Pour un papier qu'il aurait du vous envoyé !!!</t>
  </si>
  <si>
    <t>michel95-66962</t>
  </si>
  <si>
    <t xml:space="preserve">l'expert conteste le montant des devis fait par le couvreur , impossible d'avoir le chiffrage des reparations ... plafonds marqués par l'eau , meuble gonflé par l'eau ... </t>
  </si>
  <si>
    <t>19/09/2018</t>
  </si>
  <si>
    <t>arthur-80160</t>
  </si>
  <si>
    <t>entretien tèlèphonique de qualite avec gwendal qui j 'espère seras toujours as notre ècoute</t>
  </si>
  <si>
    <t>17/10/2019</t>
  </si>
  <si>
    <t>aleksandra-v-129119</t>
  </si>
  <si>
    <t>Je suis passé par Lynx et la souscription par le site de Direct est simple et clair dans le choix des garanties, clair puis rapide jusqu'à la prise en charge de la résiliation loi Hamon - affaire à suivre dans le déroulé.</t>
  </si>
  <si>
    <t>criscor-70354</t>
  </si>
  <si>
    <t>ENCORE UNE "BOITE" QUI MERITE "UN BONNET D'ANE" vraiment nulle, voire peu scrupuleuse qui réagit en fonction des humeurs de certains membres du personnel APRIL et d'autres considérations intéressant la stature financière des clients, surtout potentiels...</t>
  </si>
  <si>
    <t>18/01/2019</t>
  </si>
  <si>
    <t>mrstoalos-96972</t>
  </si>
  <si>
    <t>Après avoir demandé la résiliation de mon contrat auto par ma nouvelle assurance, celle-ci est refusée par allianz pour motif que le délai d'une année n'était pas atteint! La bonne blague! Cela s'est fait 1mois avant échéance! 2 fois déjà que je le fais et avec allianz nooon ça ne passe pas!! Ils ont donc décidé de la fin de mon contrat 3mois plus tard et ont donc continué à me prélever plus de 43€ et quand j'appelle pour plus d'infos ce serait la nouvelle assurance qui n'aurait pas fait le boulot, ou moi client qui ne les aurait pas averti ( loi hamon svp, où est mon pb?), ensuite pour un autre conseiller, Calypso fermait donc ils sont débordés (ah ok donc c'est moi le client qui trinque!). Ils n'ont jamais répondu aux 3 mails que j'ai envoyés et une nouvelle fois au téléphone un conseiller m'a raccroché au nez en disant "c'est pas moi qui vous prélève mme"!! Ensuite le service client était fermé et ne prenait plus aucun appel de la semaine...Dans mon état en plus car enceinte, je ne raconte pas le niveau de nervosité ! Une assurance de bas étage! Je suis bien contente de partir de là. Mon frère et un cousin ont déjà résilié leur contrat auto chez eux. Je vous invite vivement à faire de même ou sinon ne vous assurer pas chez eux!</t>
  </si>
  <si>
    <t>02/09/2020</t>
  </si>
  <si>
    <t>regis-c-111723</t>
  </si>
  <si>
    <t xml:space="preserve">Je suis satisfait des services proposés ainsi que les conversations téléphoniques avec vos collaborateurs qui sont très à l écoute   et très professionnels </t>
  </si>
  <si>
    <t>26/04/2021</t>
  </si>
  <si>
    <t>elodie2017-85251</t>
  </si>
  <si>
    <t>Pour souscrire l’assurance nous avons été contacté des dizaines deux fois par téléphone un suivi irréprochable, une fois que nous avons souscrit plus aucune nouvelle plus aucune communication nous sommes informé que notre cotisation mensuelle est augmentée. Cela est une honte, j’essaye de vous joindre désespérément, en vous envoyant des mails en vous appelant des dizaines de fois, je suis absolument sans aucune nouvelle. Vous m’envoyer des lettres de mises en demeure alors que je vous règle vos mensualités, vous ne savez pas partager l’information entre services, je vous demande de me rappeler dans les plus brefs délais, sinon je serais obligé de vous porter en justice.</t>
  </si>
  <si>
    <t>26/12/2019</t>
  </si>
  <si>
    <t>benaissa-z-121572</t>
  </si>
  <si>
    <t xml:space="preserve">juste un peu déçu d'avoir a payer les frais de dossier alors que sur le site partenaire il était indiqué offert. Sinon pour le reste j'attends de voir </t>
  </si>
  <si>
    <t>agathe-67239</t>
  </si>
  <si>
    <t>Bonjour, Je suis sociétaire MAIF depuis une trentaine d'année. Mon véhicule se fait percuter par une moto qui est totalement en tort. L'expert propose la destruction de mon véhicule et me propose 50% de la somme que valait mon véhicule acheté l'année dernière, factures à l'appui. L'expert conseil a validé ce choix. Je ne me sens pas du tout soutenu par la personne qui s'occupe de mon dossier. Et je trouve surtout que la Maif ne répond pas à se mission de me permettre de me retrouver dans la même situation financière et matériel qu'avant le sinistre alors que je ne suis pas du tout en tort. Je suis très déçue et je vais changer d'assurance.</t>
  </si>
  <si>
    <t>pm18-115906</t>
  </si>
  <si>
    <t>Degat des eaux depuis 12/2020. Recherche de fuite  2h facturee 504€ par société   envoyée par expert( 252€ de l'heure ....qui travaille a ce tarif ?)alors que j'ai moi-même démonté la paroi de douche  et réparé la fuite....enfin un envoyé  special de l'entreprise nommée  Vital Assistance prend des photos des degats ....expertise évaluée  a 2500€... je demande 2 devis a des artisans locaux serieux  évalués a 7600€ (embellissement  chambre et couloir)et  3500€ (reparation cloison et salle d'eau ) .je recois cette semaine  la proposition de pacifica apres avis expert (cabinet Saretec a bourges )qui ne s'est  pas déplacé...(les photos  c top!!!) De 5000€ ....on divise par 2 les prix ...alors  je paie la moitié  des reparations et tarif complet des cotisations..? Pacifica applique donc 50% de vétusté  a chaque sinistre ?</t>
  </si>
  <si>
    <t>laure41-89560</t>
  </si>
  <si>
    <t xml:space="preserve">C'est la deuxième fois en 6 mois que j'ai des soucis avec cet assureur, et je ne suis assurée que depuis 1 an : ils ont mis 3 mois à me verser mes indemnités journalières, suite à une chirurgie subi en novembre. Je me suis retrouvée avec 5000€ de découverte, j'étais soit disant super bien couverte. Ils ont fini par payer la somme qu'ils me devait. 
Dernièrement j'ai changé de banque, encore une fois, ils ne font pas leur travail, ils ont prélevé pour la 4eme fois sur l'ancien compte, me coûtant encore des agios, puisse qu'il n'est plus alimenté. 3eme réclamation fait ce jour. </t>
  </si>
  <si>
    <t>janie-128158</t>
  </si>
  <si>
    <t xml:space="preserve">Suite au vol de mon véhicule qui a été retrouvé fin juin 21, le suivi de mon sinistre est inexistant. Impossible d'avoir des réponses et de faire transférer mon véhicule du site de gardiennage au garage pour effectuer les réparations. Après 8 semaines toujours au même point et pas de vision sur la date à laquelle je pourrais récupérer mon véhicule. Donc l'olivier c'est bien mais seulement si vous n'avez pas de sinistre. </t>
  </si>
  <si>
    <t>16/08/2021</t>
  </si>
  <si>
    <t>annie-p-105909</t>
  </si>
  <si>
    <t>Très déçue de la gestion de mon dossier pour la ford focus mais heureusement la concurrence a été à la hauteur je ne pense pas vous recommander à mes amis</t>
  </si>
  <si>
    <t>moi-74847</t>
  </si>
  <si>
    <t xml:space="preserve">Parce que je ne peux pas mettre moins. Laisser une mamie de 77 ans mettre un meuble derrière la porte d'entrée de son appartement parce que elle n'est pas assurée par la porte d'entrée de son immeuble mais juste pour la porte de son appartement cest honteux pour plus de 1500 euros par an </t>
  </si>
  <si>
    <t>07/04/2019</t>
  </si>
  <si>
    <t>francki-60770</t>
  </si>
  <si>
    <t>accident 12/06/2017,7 mois pour recevoir le pv de police,donc non responsable.Contestation a plusieurs reprise,cabinet expertise BCA pensez a changer.Erreur de leur part sur la moto.Personne ne répond aux recommandés et on ne vous rappelle jamais.</t>
  </si>
  <si>
    <t>24/01/2018</t>
  </si>
  <si>
    <t>le-gac-m-116226</t>
  </si>
  <si>
    <t>Très satisfait en étant jeune conducteur le moins cher que j'ai trouvé et pour les mêmes garanties que les autres en ayant fait quasiment tous les comparateurs.</t>
  </si>
  <si>
    <t>07/06/2021</t>
  </si>
  <si>
    <t>silvestre-b-132880</t>
  </si>
  <si>
    <t>Le tarif proposé est convenable et l'inscription se fait très rapidement sur internet. J'avais déjà souscrit une assurance chez Direct Assurance par le passé et tout s'était parfaitement déroulé.</t>
  </si>
  <si>
    <t>damad59--96328</t>
  </si>
  <si>
    <t>Une honte lorsqu'on tombe malade, ça fait plus de 20 ans que je suis intérimaire et paye mes cotisations, malheureusement je tombe 
gravement  malade le 14/04/2020 mais la prevoyance me trouve toutes les excuses pour ne pas payer, nous sommes le 15 août sur leur site" dossier toujours en cours de  traitement" mais lorsque j'appelle, on me dit que je n'ai le droit à rien car arrêt or mission, aucun justificatif pour m'indiquer leur refus, lorsque j'appelle, aucun des conseillers me disent la même chose...
Je ne comprends pas les boîtes d'intérim qui ne se tournent pas vers la concurrence pour choisir une autre société de prévoyance pour les intérimaires lorsqu'on voit autant de messages de mécontentement qui se ressemblent tous avec les mêmes problèmes de refus, de longueur de traitement de dossier etc... 
FRANCHEMENT FUYEZ CETTE PREVOYANCE AG2R MONDIALE !!!!!</t>
  </si>
  <si>
    <t>15/08/2020</t>
  </si>
  <si>
    <t>alain-l-126642</t>
  </si>
  <si>
    <t xml:space="preserve">Je suis satisfait du service trèsbienrenseigné. Le prix me convient  parfaitement. comment envoyé les documents, je voudrais bien que vous m envoyé les documents par courrier cordialement Mr letutour </t>
  </si>
  <si>
    <t>jean-d-124505</t>
  </si>
  <si>
    <t>oui je satisfait du tarif  jai l intention d assurer tous mes vehicules cher vous dans les prochain mois qui suive merci a toute l equipe de direct assurance</t>
  </si>
  <si>
    <t>caninette--99078</t>
  </si>
  <si>
    <t xml:space="preserve">Très simple pour s'assurer, facile et rapide grâce leur site (en 4h ma moto était assurée et cela un dimanche bien pratique) 
Tarifs très abordables et pas d'augmentation inconsidérée </t>
  </si>
  <si>
    <t>serge-n-113021</t>
  </si>
  <si>
    <t xml:space="preserve">accueil très bien  explication claire net et précis super la personne que j ' ai eu au téléphone très aimable elle a sue prendre le temps de m'expliquer     </t>
  </si>
  <si>
    <t>mohamed-m-109056</t>
  </si>
  <si>
    <t xml:space="preserve">je suis très satisfais du prix et du traitement rapide et compréhensif.
le servisse et fiable et rassurant  
je recommanderais cet assurance a mes proche.
 </t>
  </si>
  <si>
    <t>mohamed-oussama-c-116986</t>
  </si>
  <si>
    <t>Je suis satisfait du service d direct assurance des échanges avec les conseiller et de la simplicité de la procédure pour élaborer un contrat d'assurance un devis ainsi que la réactivité du service clients</t>
  </si>
  <si>
    <t>14/06/2021</t>
  </si>
  <si>
    <t>t-h-clio-77330</t>
  </si>
  <si>
    <t>Refuse de resilier le contrat de mon ancien vehicule malgrès la vente de celui ci depuis plus de 3 mois! Tandis qu'auprès de la prefecture le vehicule a bien etait déclaré et traité comme cédé.
Je me retrouve aujourd'hui en situation délicate financièrement avec 1 salaire pour deux à la suite de la perte d'emploi de ma compagne, sachez que de payer pour un service dont on ne dispose plus est déplaisant.</t>
  </si>
  <si>
    <t>04/07/2019</t>
  </si>
  <si>
    <t>ma42-98815</t>
  </si>
  <si>
    <t>Les Conseillers de Clientèle sont rapidement disponibles.
Tarif relativement élevé, en contrepartie de garanties complètes.
Sinistre rapidement pris en compte et remboursement très satisfaisant.
Application du crédit de franchise accordé à la souscription sur sinistre évènement climatique, soit une prise en charge totale...
La note satisfactions tient compte de l'ensemble tarif-sinistre...</t>
  </si>
  <si>
    <t>iigor-c-126509</t>
  </si>
  <si>
    <t>Assurance propose des tarifs très attractifs, très accessible, je vous remercie. Je recommande cette compagnie d’assurance, je vous remercie pour l’accueil.</t>
  </si>
  <si>
    <t>fabrice-62467</t>
  </si>
  <si>
    <t>bonjour à tous,
je suis sapeur pompier à demi salaire depuis le mois de novembre et depuis le 3 décembre 2017 aucune indemnisation au titre de la prévoyance. Malgré de nombreuses relances par téléphone et par mail. Je passe à la vitesse supérieure dépôt de plainte et constat de huissier.....mutuelle à fuir. 
J'avise l'ensemble de mes collègues de l'incompétence de cette mutuelle par diffusion d'un mail en interne.
merci de votre attention.</t>
  </si>
  <si>
    <t>19/03/2018</t>
  </si>
  <si>
    <t>nik-112855</t>
  </si>
  <si>
    <t xml:space="preserve">Je n'ai signé aucune pièce d'un contrat avec cet assurance et je reçois un échéancier. 
Des prélèvements sont effectués sur mon compte.
On appelle cette façon de faire comment ????
</t>
  </si>
  <si>
    <t>06/05/2021</t>
  </si>
  <si>
    <t>deyss-93570</t>
  </si>
  <si>
    <t xml:space="preserve">Le service client de direct assurance est horrible quand il ne s'agit pas de vous vendre des contrats, il faut appeler 20x et attendre pour finir par avoir un conseiller et encore.. 
Pour les impatients ( même un peu patient) je ne recommande pas du tout. 
Très énervant d'appeler un numéro et d'entendre un conseiller qui 2s plus tard finit par me mettre en attente et par me mettre un message disant que ma demande ne peut être prise en compte car aucun conseiller disponible, vraiment ? 
J'ai renouvelé X fois la demande sur plusieurs jours et à différent horaires, et toujours ce message c'est incroyable quand c'est pas pour signer un contrat d'un coup vous n'êtes plus la. </t>
  </si>
  <si>
    <t>ally-70953</t>
  </si>
  <si>
    <t>Tarifs correctes. Nous avons conseillé cette assurance à nos proches qui ont de ce fait souscrit des contrats.</t>
  </si>
  <si>
    <t>jaouad-a-134531</t>
  </si>
  <si>
    <t xml:space="preserve">Je suis satisfait du service et les prix me conviennent maintenant à voir en cas d’assistance la qualité des services, je dois dire qu’on reconnaît une bonne ou une mauvaise assurance dans les situations délicates </t>
  </si>
  <si>
    <t>proffit-darbonville-p-128086</t>
  </si>
  <si>
    <t xml:space="preserve">Services d'inscription tres rapide et prix plus que raisonnable.Lors de l'inscription conseiller tres reactif et a l'ecoute il m'a bien renseigné sur les produit et services a disposition.
</t>
  </si>
  <si>
    <t>rivrain-s-124572</t>
  </si>
  <si>
    <t xml:space="preserve">Un détaille de la première facture serait essentiel on sait que l'on paye les frais de dossier mais on ne sait pas vraiment quoi d'autre.             </t>
  </si>
  <si>
    <t>cedric-r-105543</t>
  </si>
  <si>
    <t>Service ok. impossible de mettre à jour mon espace perso ( par tel on me dit de ne pas  envoye certain document et ils s affichent quand meme manquant</t>
  </si>
  <si>
    <t>boulekhras-h-137682</t>
  </si>
  <si>
    <t xml:space="preserve">Je suis content des qualités de vous services , j'espère que le confiance que j'ai à l'égard de l'olivier assurances soit vrai et tout le temps que je serai avec vous je soit tranquille d'esprit,  merci. 
</t>
  </si>
  <si>
    <t>18/10/2021</t>
  </si>
  <si>
    <t>fcma-99924</t>
  </si>
  <si>
    <t xml:space="preserve">Suite au vol du scooter de mon fils qui a eu lieu il y a près de 3 mois ,April moto nous ballade depuis pour le remboursement du scooter , ils nous communiquent que leur interface ne fonctionne , puis les papiers à transmettre sont contredis par eux memes, ils attendent un mois pour vous dire qu’il manque un document alors qu’ils l ont déjà reçus depuis deux mois ... à fuir . Société lamentable qui fait tout pour gagner du temps pourvous régler </t>
  </si>
  <si>
    <t>cindycl--91192</t>
  </si>
  <si>
    <t>augmentation abusive de plus de 20% , conseillé qui ne peut justifier une telle hausse . J'ai été mise en attente sans être repris au téléphone . Je quitte donc cette assurance</t>
  </si>
  <si>
    <t>17/06/2020</t>
  </si>
  <si>
    <t>marion-k-106120</t>
  </si>
  <si>
    <t xml:space="preserve">Chaque année les tarifs augmentent malgré un bonus qui augmente et aucun accident. Cette année avec la COVID et donc la limitation des déplacements, aucune augmentation auraient dû avoir lieu donc clairement je ne suis pas satisfaite de cet assureur et je vous quitte bientôt, ainsi que mon conjoint. </t>
  </si>
  <si>
    <t>david-88221</t>
  </si>
  <si>
    <t xml:space="preserve">Dommage mutuelle obligatoire employeur sinon je serai jamais rester 1h en attente et personne e qui répond et quand on te répond on te raconte du Pipo aucun professionnalisme que des raté même moi qui n'es pas fait d'étude je pourrai faire ce métier limite faudrai la fermer </t>
  </si>
  <si>
    <t>11/03/2020</t>
  </si>
  <si>
    <t>marianne-a-111495</t>
  </si>
  <si>
    <t xml:space="preserve">Satisfaite du service 
Les tarifs sont corrects , le site est clair,  simple et efficace
les équipes sont toujours la pour un coup de pouce si besoin et très réactive :)
</t>
  </si>
  <si>
    <t>bayart-m-131761</t>
  </si>
  <si>
    <t xml:space="preserve">Avis en attente d'expérience,je voulais souscrire assurance tout risque dès le départ chose qui m'a été refusé cause immatriculation provisoire,j'espère que l'avenant de 15euros sera pris en charge par vos service lors du changement de contrat.
Cordialement </t>
  </si>
  <si>
    <t>yanou-63738</t>
  </si>
  <si>
    <t>Pour se faire avoir rien de tel que cette "assurance". On prend votre cotisation puis  plus rien.vous changez d'adresse, aucun courrier. Vous avez un accident, on vous abandonne carrément. Personne ne répond à vos appels, le service sinistre est "debordé", en fait il est vidé personne ne travaille! Au bout de 6 mois 1400 euros de frais de gardiennage au garage et pis c'est tout. Quand vous mettez un avis défavorable sur internet il y a une personne qui demande de la contacter en fait personne ne répond. Ne tombez pas dans le panneau, pour souscrire là il y aura toujours un "conseiller" sympatthique pour vous repondre.</t>
  </si>
  <si>
    <t>03/05/2018</t>
  </si>
  <si>
    <t>seule-99983</t>
  </si>
  <si>
    <t xml:space="preserve">Cette mutuelle animaux doit être bohiquotter. Tout va bien jusqu à ce que votre animal ait plus de 10 ans. Je vous raconte ma petite chienne n a jamais été malade et lorsqu' elle a eu 9 ans en 2018 ma cotisation atteignait les 50 euros car chaque année celle ci etait réévaluée à la hausse.  Je continuais à payer pensant que si j arrêtais il pouvait arriver une complication. C est stupide mais ainsi. Cette annee là elle a fait un AVC  compliqué qui a été pris en charge. Puis quelques mois après un problème renal pendant le 1er confinement.  Des difficultés mais une prise en charge. En aout je constate que mon prélèvement n a pas eu lieu mais je me dis qu il a ete retenu sur mon dernier remboursement. Septembre idem. Je téléphone j ecris je fais des mails. Pas de réponse. Octobre je recois un courrier date du 1er juillet qui m informe que mon animal n est plus assurée. Je fais un recours pensant un problème administratif et me disant que c etait impossible car je n avais pas ete prevenue. Je reçois une réponse m informant du caractère irrévocable de cette décision. Elle venait d avoir 11 ans. Aujourd hui ma petite chienne n est plus assuré et vu son âge ne peut l être par aucune assurance. Je mène l enquête et j apprends des vétérinaires de mon département que malheureusement je ne suis pas la seule dans ce cas.  Santevet fait partie du groupe Allianz donc pas dans la faillite et est coutumière de cela. Des  qu' un animal a plus de 10 ans et a eu une pathologie c est la porte et vous êtes seul et désemparé pour faire face à sa fin de vie. Oubliées les cotisations versées à fond perdu.
</t>
  </si>
  <si>
    <t>11/11/2020</t>
  </si>
  <si>
    <t>jmarc-81906</t>
  </si>
  <si>
    <t>souscrit un contrat aide complémentaire santé depuis octobre une secrétaire incompétente à dater mon contrat pour le premier novembre à ce jour mon contrat n'est pas toujours pas en place des prestations de Kiné non remboursé  alors que la télétransmission a bien été faite</t>
  </si>
  <si>
    <t>17/12/2019</t>
  </si>
  <si>
    <t>jean-marc-l-105162</t>
  </si>
  <si>
    <t>je ne suis satisfait des prix vu le covid et ceci malgré ma lettre de demande de remise sur le prix de mon  assurance , mon véhicule roulant très peu jml</t>
  </si>
  <si>
    <t>encontre-e-123691</t>
  </si>
  <si>
    <t>Simple et pratique. Satisfaite du mandat électromagnétique. En espérant que cela fonctionne et ne prends pas trop de temps. La tarification me paraît correct.</t>
  </si>
  <si>
    <t>nessima-a-124784</t>
  </si>
  <si>
    <t xml:space="preserve">Satisfaite du service en ligne de direct assurance tarification très rapide tarif correcte je conseille à toute personne intéressée par une assurance en ligne </t>
  </si>
  <si>
    <t>agnes-54331</t>
  </si>
  <si>
    <t xml:space="preserve">Vendu comme l'un des meilleurs contrat en matière de prévoyance en 2008 je vais être indemnisée 4500€ pour une invalidité de 10% alors que je paye presque 200 euros par an.
Fuyez vous trouverez bien moins cher et beaucoup mieux indemnisé en cas de problème dans la plupart des assurances.
Les conseillers clientèles sont odieux
Cette assurance à été qualifiée comme l'une des pires du marché par l'expert d'assurés que j'ai contacté. </t>
  </si>
  <si>
    <t>20/10/2021</t>
  </si>
  <si>
    <t>emilie-65142</t>
  </si>
  <si>
    <t>Accueil et échange téléphonique très agréable.</t>
  </si>
  <si>
    <t>tonio-70517</t>
  </si>
  <si>
    <t>Je tiens à souligner le professionnalisme dont ont fait preuve les conseillers de l'agence et leur efficacité suite à un sinistre. Le conseiller m'a accompagné et s'est rendu disponible lors de mes appels reitérés</t>
  </si>
  <si>
    <t>23/01/2019</t>
  </si>
  <si>
    <t>rochefort-l-123020</t>
  </si>
  <si>
    <t xml:space="preserve">Je suis très satisfaite du service, les prix sont très bien. C'est très simple, rapide et efficace. J'ai eu tout de suite un conseiller qui a pris le temps de bien tout m'expliquer et qui a été très professionnel. </t>
  </si>
  <si>
    <t>leen11-63351</t>
  </si>
  <si>
    <t>Très déçue...Depuis des années à la MAIF, sur 2 cas, 2 refus de prise en charge. 1/Ma cave a été braquée, la serrure cassée. J'ai déposé plainte à la gendarmerie. J'appelle la MAIF pour connaître le montant de la franchise, on me répond "aucune prise en charge", débrouillez-vous...très bien je remplace la serrure seule, assez surprise qu'une tentative de vol avec effraction ne donne lieu à aucune prise en charge de mon assureur 2/Un soir où je devais d'urgence prendre mon véhicule boxé dans un garage individuel, je vais pour ouvrir la porte, impossible. Plus de batterie, plus de chargeur (toujours ainsi dans ces cas là...) j'appelle d'urgence un serrurier qui constate la défectuosité de la serrure, me remplace le barillet, pour un montant élevé (dépannage en urgence, forcément...). J'appelle la MAIF, même réponse "aucune prise en charge" bon d'accord mais on m'indique également "il y aurait eu une prise en charge si la défectuosité provenait d'un tiers" ah d'accord et la fois précédente alors ??? En gros, clairement, ils ne prennent jamais en charge,... je cherche une autre assurance habitation, moins chère, car quitte à payer dans le vide...</t>
  </si>
  <si>
    <t>beatrice-c-111160</t>
  </si>
  <si>
    <t>les prix et services me conviennent,les conseillers telephonique sont trés reactifs et m ont apporté toutes les explications necessaires avec le choix sur plusieurs options</t>
  </si>
  <si>
    <t>synel-m-112268</t>
  </si>
  <si>
    <t>je verrai avec le temps car je suis encore nouvellement inscrit dans votre assurance. pas grand chose à dire mes parents y sont déjà et ne se plaignent pas.</t>
  </si>
  <si>
    <t>30/04/2021</t>
  </si>
  <si>
    <t>nath28-58750</t>
  </si>
  <si>
    <t>Très bonne assurance avec un site simple et des personnes très agréables au téléphone qui contact leur client afin de savoir si tous va bien.prix très raisonnable.</t>
  </si>
  <si>
    <t>10/11/2017</t>
  </si>
  <si>
    <t>moinie-68754</t>
  </si>
  <si>
    <t>très mauvais coordination de l'assistance</t>
  </si>
  <si>
    <t>20/11/2018</t>
  </si>
  <si>
    <t>ringue-f-139385</t>
  </si>
  <si>
    <t>Un peu compliqué lorsque quelqu'un s'est trompé sur notre nom. Il a fallu passer pas mal de temps au téléphone. On espère que si jamais nous avons un sinistre, tout se passera bien.</t>
  </si>
  <si>
    <t>10/11/2021</t>
  </si>
  <si>
    <t>machouka-74915</t>
  </si>
  <si>
    <t>Dossier qui traîne depuis 6 mois ! Perte de pièce jointe. Ne retrouve pas les dossiers, ne reçoivent pas les mails de la partie adversaire. Et ils sont de mauvaise foie ! disant que rien n'a été envoyé.</t>
  </si>
  <si>
    <t>bastien-96537</t>
  </si>
  <si>
    <t>Fuyez !
Votre correspondant s'exprimera dans un français approximatif et vos correspondances seront ecrites à l'aide d'un traducteur automatique qui se trompe d'homonyme rendant la phrase incompréhensible. Et en cas de demande non prévue au contrat ils vous conseillent eux même de changer d'assurance !!</t>
  </si>
  <si>
    <t>21/08/2020</t>
  </si>
  <si>
    <t>richard-barbara85-76653</t>
  </si>
  <si>
    <t xml:space="preserve">Je trouve inadmissible qu'en étant assuré tout risques avec pack sérénité nous n'ayons pas eu un prêt de véhicule alors que notre voiture a été volé et que nous ne sommes pas indemnisé avant 30 jours. De plus il ne prenne en charge aucun article présent dans notre véhicule lors du vol... </t>
  </si>
  <si>
    <t>11/06/2019</t>
  </si>
  <si>
    <t>patricia-d-115899</t>
  </si>
  <si>
    <t>La souscription a été rapide.
Les prix sont compétitifs.
Le paiement et les informations en ligne sont pratiques.
Je recommande cette compagnie d'assurances.</t>
  </si>
  <si>
    <t>vincent-j-122853</t>
  </si>
  <si>
    <t xml:space="preserve">Je suis content du prix et de la rapidité de souscription. Je suis déjà client april pour une assurance de prêt immobilier. Pas de. Problème jusqu'à présent </t>
  </si>
  <si>
    <t>girardot-s-138313</t>
  </si>
  <si>
    <t>Correcte et conseiller nous renseigne bien . Et pas tres chere .bon sauf suand retard d echeance .20 eur de frais c est trop onereux. Date de prelevement pas satisfaisante</t>
  </si>
  <si>
    <t>gregalexandre-20898</t>
  </si>
  <si>
    <t xml:space="preserve">Les rumeurs de délais longs pour l'envoi des documents pour le démarrage de la procédure de versement des fonds des assurances-vies se confirment:
1/ La SOGECAP est incapable de communiquer avec la Société Générale après un décès pour régler les problèmes créés par des prélèvements automatiques continués après le décès pour une assurance-vie.
2/ Sogecap n'est pas capable de fournir un suivi des actions avec le notaire.
3/ Quand on commence à demander des comptes et utiliser le terme "mesures dilatoires" on indique par téléphone que le point sur les assurances-vies est fait avec le notaire et les informations sur les blocages deviennent soudainement confidentielles alors que c'est moi qui ai fourni les informations sur les bénéficiaires, le notaire,... </t>
  </si>
  <si>
    <t>14/11/2017</t>
  </si>
  <si>
    <t>navarro-a-110847</t>
  </si>
  <si>
    <t>Très réactifs lors de sinistres.
Cependant il est très compliqué de résilier un contrat dans notre bon droit.
Ils tendance a faire trainer et c'est assez pénible.</t>
  </si>
  <si>
    <t>defamand74-55505</t>
  </si>
  <si>
    <t xml:space="preserve">Dommage qu'on ne puisse pas mettre 0 étoiles. Je vous déconseille très fortement cet assureur qui est incapable de régler mon litige depuis plus de deux mois. 
Début avril je me fais vandalisé ma voiture par un tiers reconnu (dépôt de plainte et compagnie) pour une simple vitre brisée ma voiture est emmener à notre garage habituel par une dépanneuse, étant dimanche elle sera d'abord mise en gardiennage dans un garage pour la nuit, puis emmener à mon garage le lendemain. Nous, déjà énervés par la situation et n'ayant pas l'habitude ne pensons pas à réclamer au dépanneur la feuille de remorquage (l'endroit où loge notre voiture n'est pas claire non plus le dépanneur ne nous disant pas la même chose que les SMS reçus par l'assistance). Bref, une semaine plus tard je récupère enfin ma voiture (qui était en parfait état lorsque le dépanneur l'a récupérée, mais je constate une grosse éraflure avec un trou dans mon pare-chocs. Mon garage m'informe que mon véhicule est arrivé chez eux comme ça, avec pour preuve la feuille de remorquage le jour où elle est arrivée chez eux montrant bien une croix à l'arrière gauche. Je contacte alors le service consommateur, qui me recontacte dans les 2 semaines et m'informe alors que, non, la voiture n'est pas arrivée comme ça au garage car le dommage n'apparaît pas sur la fiche. En effet, il me dit que la croix est située entre les phares et non sur le pare-chocs à gauche et que juridiquement le dommage n'existe pas sur le papier. Cependant, On me propose de déclarer le sinistre sans tiers reconnu et que je devrais payé la franchise. Hors de questions de payer pour un dommage que je n'ai pas causé sachant que ma voiture était en excellent état lorsque je l'ai confiée pour la réparation de ma vitre. 
Plus tard, je suis de nouveau contacté par le même conseillé qui attendait des réponses du dépanneur, qui, évidemment, nie avoir abîmé mon véhicule. Je lui dit que le devis de mon pare-chocs s'élève à 700€ car il faut le changer entièrement et le repeindre. Le conseillé me dit que ce n'est pas sur le pare-chocs, je lui réponds "excusez moi mais le dommage est bien sur le pare choc je vous ai même envoyé un devis !" (je conçoit que nous ne sommes pas des machines, qu'il gère plusieurs dossiers mais la moindre des choses avant de m'appeler serai de reverifier son dossier, surtout que j'ai envoyé de très nombreuses photos!). Il me dit qu'il ne peut pas donner suite toujours à cause du fait que le dommage n'est pas signalé, je lui réponds que je ne vais pas en rester là je ne suis pas d'accord pour moi le dommage est signalé puisqu'il y a bien une croix sur le schéma situé sur l'arrière gauche et que c'est le seul dommage existant sur ma voiture. Il me dit d'accord renvoyer moi des photos de l'arrière, je vais voir ce que je peux faire (nous sommes le 19 mai). J'envoie donc un nouveau mail photos à l'appui en expliquant que, non, ma voiture n'a aucun dommage à côté du phare arrière gauche mais bien en dessous du phare sur le pare choc. Depuis, silence radio, plus aucunes nouvelles, jusqu'à aujourd'hui où je reçois un courrier dans lequel il me redis exactement ce qu'il m'a dit au téléphone le mois dernier accompagné de la photocopie de la feuille de remorquage remise à mon garage où l'on voit bien cette fameuse croix (j'avais déjà moi même envoyé une photocopie de ce document). Il n'a pas eu le courage de me rappeler. De plus le courrier est adressé à Madame D. Stéphanie, je m'appelle Madame D. Amandine (mon mari s'appelant Stéphane je suppose qu'il y a eu confusion) cependant j'ai quand même envoyé de nombreux mails signés de mes nom et prénom, Une fois de plus, on voit le sérieux et l'implication de la société dans ses dossiers...
Nous payons chaque mois pour une assurance n'avons jamais eu de soucis de paiement et au premier soucis, incapable de le résoudre sans réclamer une fois de plus de l'argent. 
A l'heure actuelle je contacte mon assistante juridique et d'ici le mois prochain nous aurons quitté la maif et ne voulons plus en entendre parler. Je suis consciente que perdre 2 clients ne leur fera rien mais sachez que je ne me generai pas de leur faire de la mauvaise pub ! </t>
  </si>
  <si>
    <t>20/06/2017</t>
  </si>
  <si>
    <t>lievin-c-124169</t>
  </si>
  <si>
    <t xml:space="preserve">Un site simple à utiliser,  des tarifs attractifs , possibilité de réaliser un devis en ligne et de souscrire au contrat choisi dans la foulée. Parfait merci beaucoup </t>
  </si>
  <si>
    <t>heymakarenah19-76448</t>
  </si>
  <si>
    <t xml:space="preserve">Il y a 15 jours j'ai souscrit cette assurance. Trois jours j'envoyais les documents. J'ai payé trois mois d'avance. Pour je ne sais quelle raison on m'a envoyé à 21 heures un mail m'expliquant que ma demande avait été refusé, sans raison concrète et sans explication alors que j'ai un bonus de 0,90 et que j'ai seulement eu un accident non responsable. Impossible de contacter personne. On est balance comme un vieu torchon. Très déçue d'autant qu'elle m'a été recommandée. Je souhaitais juste signaler que ce véhicule était un véhicule que j'utilisais pour travailler et payer plus cher pour être assurée auprès de mon employeur pour tout accident et on m'a balancé ça sans raison et explication avant de me demander une attestation d'employeur alors que ça n'a rien à voir. Personne ne m'a appelé. </t>
  </si>
  <si>
    <t>bellaoui-h-122687</t>
  </si>
  <si>
    <t xml:space="preserve">Je suis satisfait du service proposé par l'olivier assurance , et aussi les prix sont raisonnable pour les jeunes conducteur , 
par contre je ne suis pas d'accord avec le fait de communiquer des informations personnelle a savoir le numéro de CB et la date de validité vaut mieux de passer par un lien sécurisé pour payer les frais de dossier </t>
  </si>
  <si>
    <t>david-j-112769</t>
  </si>
  <si>
    <t xml:space="preserve">Très et très sérieux et très peu cher donc à conseillé et très réactivite merci pour le sérieux et la mobilisation de leurs services à très bientôt merci </t>
  </si>
  <si>
    <t>la-tribu-60169</t>
  </si>
  <si>
    <t xml:space="preserve">Je viens de découvrir le mois dernier une anomalie concernant ma situation.
Le Crédit Mutuel a enregistré en septembre 2011 deux souscriptions d’assurance habitation pour le même lieu de risque, un studio donné en location. 
Je n’ai d’ailleurs pas réussi à obtenir  le double d’un des deux contrats. Avec deux prix différents (env. 10€ d’écart).
 Un des deux contrats n’est pas pertinent, il n’a pas lieu d’être et fait doublon inutilement. En tant que professionnel dont j’attends le conseil, La banque-assurance ne m’en a pas averti. deuxième surprise : leur attitude maintenant, pas du tout "profil bas" ou arrangeants, au contraire sur la défensive !
Pas aimé du tout...
J’ai demandé d’avoir l’obligeance de bien vouloir me reverser les sommes prélevées en double depuis 2011, du contrat superflu, en vain. On me chicane : ce serait éventuellement envisageable depuis 2015 (le moins cher des 2 alors que le plus cher est postérieur),  au motif que les 2 ont été  utilisés pour un dégât des eaux. 
 On me dit de  faire un mail. Puis on me rétorque que le mail n’est pas signé ! Puis je reçois un refus de résiliation (oups, courrier à en-tête de ma société et non moi-même gérant : tiens-donc, ils n’ont pas été si procéduriers pour encaisser une prime en double pendant des années).
Bref : La coupe est pleine.
</t>
  </si>
  <si>
    <t>04/01/2018</t>
  </si>
  <si>
    <t>fred42jc-61964</t>
  </si>
  <si>
    <t xml:space="preserve">J'ai eu un problème d'insert de vitre cassé par un morceau de bois. Réponse de la MAIF, vétusté donc pas de bris de glace pris en charge.
Nous payons et au final à la page 31 du contrat, il apparaît que les inserts ne sont pas vraiment garantie car on applique une vétusté de 10% par an.
Les contrats sont bien faits mais l'assuré paie depuis plus de 15 ans et quand nous avons besoin d'eux, pas de prise en charge. Nous en avons un peu marre  de payer pour rien.  </t>
  </si>
  <si>
    <t>03/03/2018</t>
  </si>
  <si>
    <t>leloup-71689</t>
  </si>
  <si>
    <t>je suis un adhérent depuis des années étant persuader avoir affaire a 
 une association  sérieuse
Mais A ce jour je constat que la GIE AFER est a mettre au même plan que de 
nombreuses compagnies
La GIE AFER traîne les pieds pour rendre l épargne au épargnants
contraire a leurs publicistes
comme  le confirme de nombreux forums   
j ai effectuer une demande de rachats partiel le 04 février 
2019 et a ce jour la GIE AFER n a pas juge utile de me répondre 
 malgré une réclamation effectuer par mon intermédiaire qui me confirme 
 que AFER a bien reçu ma demande DE PLUS AFER CONNAIT TRÈS BIEN MON ADRESSE E MAIL
LE 27 02 2019</t>
  </si>
  <si>
    <t>27/02/2019</t>
  </si>
  <si>
    <t>gobert-evelyne-108222</t>
  </si>
  <si>
    <t>Bonjour ....après ma 5 ieme années de fidélité en tout risque je quitte direct assurance après un choc  sur le parking de mon lieu de travail par une personne inconnue .
Par choc abîmé et feu cassé ...trois expertises ,deux mois d attente......zero remboursement .</t>
  </si>
  <si>
    <t>poidevain-m-111928</t>
  </si>
  <si>
    <t>j'ai eu droit a un très bon accueil téléphonique les prix restent très abordables simplicité des outils informatique à disposition avec avantage si plusieurs véhicules assurés</t>
  </si>
  <si>
    <t>malade-102038</t>
  </si>
  <si>
    <t xml:space="preserve">en arrêt maladie pour raison grave, je leur ai envoyé la prolongation de mon arrêt le 17 septembre 2020, une expertise à leur demande passée le 23 octobre2020, un mail me disant l'avoir reçu le 30 novembre2020 me disant que j'aurai une réponse sous 15 jours ( soit d'après mes calculs mi-decembre) depuis rien, on me ballade de poste en poste, l'attente dure 10 voire 15mn, coût à la mn hors de prix et on raccroche sans avoir eu personne et aucune indemnité versée depuis 3 mois!! un correspondant swisslife m'a même dit qu'il fallait mettre mon assistance juridique dessus!! </t>
  </si>
  <si>
    <t>31/12/2020</t>
  </si>
  <si>
    <t>adrien-a-133192</t>
  </si>
  <si>
    <t xml:space="preserve">Simple et efficace,  je suis satisfait du service et des prix date de prélèvement , j'espère ne pas avoir de problème en cas de sinistre , les conditions me conviennent </t>
  </si>
  <si>
    <t>brisset-j-125566</t>
  </si>
  <si>
    <t>Facile de souscrire via internet. Très bien. J'attends maintenant de voir le traitement en cas de sinistre qui j'espère arrivera le plus tard possible</t>
  </si>
  <si>
    <t>jean-w-134644</t>
  </si>
  <si>
    <t>RAPIDE ET EFFICACE.BON RAPPORT QUALITE PRIX ,CLIENT UNE FOIS  ON Y REVIENT TOUJOURS AVEC PLAISIR ,CONTINUEZ AINSI NE CHANGER RIEN. EN ROUTE POUR LA SUITE</t>
  </si>
  <si>
    <t>aziz-95123</t>
  </si>
  <si>
    <t xml:space="preserve">Application mobile /site Web simple et pratique 
Bon service client 
Prix moyen
Manque de gestes commercials
Prime de parrainage pas très intéressante </t>
  </si>
  <si>
    <t>un-particu-lier-75081</t>
  </si>
  <si>
    <t>Si vous voulez payer cher pour un service absent, souscrivez chez L'olivier. injoignables pendant les heures d'ouverture, chers et plein de failles dans les garanties. Bref, mieux vaut ne pas avoir de pépin avec eux.</t>
  </si>
  <si>
    <t>15/04/2019</t>
  </si>
  <si>
    <t>fred-98142</t>
  </si>
  <si>
    <t>très bon service, très réactif aux demandes envoyés, les remboursements sont rapide et nous sommes averti des notifications de paiement.
je recommande cette mutuelle.</t>
  </si>
  <si>
    <t>30/09/2020</t>
  </si>
  <si>
    <t>tamiro07--139062</t>
  </si>
  <si>
    <t>Assuré depuis 2 ans, pas de sinistre, pas de retrait de points, aucune infraction.
apparemment bon conducteur !
j ai eu l erreur de demander d assurer en plus de mon véhicule une remorque de plus de 750kg !!
je détiens le permis EB depuis 1992 !!!!!!
le simple fait de dire que j avais dans l idée de tracter j ai vu mon assurance résilier dans les 10mn sous prétexte augmentation des risques !!!
j ai rien vu venir mdr !!</t>
  </si>
  <si>
    <t>harmonica-8236</t>
  </si>
  <si>
    <t>Ne pas contacter pour modifier votre contrat car je l ai fait pour leur signaler une erreur de leur part cela ma fait une augmentation 22.95€+2/3€. Après maintes appels ils ont fait -22.95€ reste 2/3€</t>
  </si>
  <si>
    <t>17/01/2017</t>
  </si>
  <si>
    <t>chambot-m-115291</t>
  </si>
  <si>
    <t xml:space="preserve">Très satisfait très simple je conseille vraiment cette assurance les rdv téléphoniques super sympa et très rapide pour assurer un voiture merci encore </t>
  </si>
  <si>
    <t>belkacem-b-125347</t>
  </si>
  <si>
    <t>Bonjour
Les prix proposés sont très abordables bien plus que la plus part des assureurs sur le marché, le site est complet et très simple d'utilisation..
Sans oublier le grand d'options qui sont proposés.
Cordialement</t>
  </si>
  <si>
    <t>vano-52111</t>
  </si>
  <si>
    <t>À éviter si vous voulez votre indemnisation suite à un vol !
Clauses abusives d un autre temps pour ne pas vous payer.
J espère vraiment sauver quelque futur sociétaires de ces ennuis...
Pour ma part je part en procédure et je vais communiquer au maximum en leurs défaveurs .Allez chez de vrais assureurs GMF,MAIF ou Même certaine banque.</t>
  </si>
  <si>
    <t>06/02/2017</t>
  </si>
  <si>
    <t>australoup-103770</t>
  </si>
  <si>
    <t>lorsque l'on demande à AXA pourquoi l'assurance a augmentée de 5% en agence personne n'est capable de vous renseigner
De plus AXA augmente alors que les autres assureurs baissent les prix</t>
  </si>
  <si>
    <t>gd-59862</t>
  </si>
  <si>
    <t>Dans le cadre de ma CCN prévoyance géré par la CERGAP et dont swisslife est l'assureur, je suis depuis 10 mois en attente de paiement de ma complémentaire invalidité ! le gestionnaire relance swisslife toutes les semaines et tous les 3 mois swisslife leurs demande la mise à jour des documents fournies. les fetes de fin d'annees seront tristes avec le déces de mon mari, mon invalidité et sa petite pension, mon dossier de surendettement qui en est la conséquence,.. bref merci swisslife et joyeux noel.</t>
  </si>
  <si>
    <t>idream-94977</t>
  </si>
  <si>
    <t>J'ai utilisé un comparateur et cette assurance était la plus compétitive. J'ai donc souscrit.
Une fois le contrat reçu pour signature, je remarque qu'il est écrit "permis de conduire français" alors que mon permis de conduire est étranger. Je contacte le service client qui me dit qu'il n'y a pas de problème, qu'il faut juste rayer la mention et écrire "permis étranger" à la place puis signer le contrat et leur renvoyer.
Je m'exécute. Dans la foulée, L'Olivier Assurance m'envoie un courrier de résiliation pour FAUSSE DÉCLARATION !
Inutile de raconter la galère pour trouver une autre assurance quand vous avez un relevé d'information avec écrit dessus "Résilié par l'assureur pour fausse déclaration".
J'ai contacté L'Olivier Assurance à plusieurs reprises si ce n'est que pour enlever cette mention. Ils ne voulaient rien entendre.</t>
  </si>
  <si>
    <t>23/07/2020</t>
  </si>
  <si>
    <t>david-m-115382</t>
  </si>
  <si>
    <t xml:space="preserve">Je suis satisfait du service et du prix proposer très satisfait du personnel contacter par téléphone très agréable merci de votre service.             </t>
  </si>
  <si>
    <t>eric-59136</t>
  </si>
  <si>
    <t xml:space="preserve">J'ai envoyé une demande de remboursement pour des lunettes avec ordonnance plus facture par courrier. 
Ils m'ont répondu d'envoyer l'ordonnance et la facture. Ce qui est stupide, la demande de remboursement comportait forcément l'un des 2, j'ai renvoyé les 2,on me demande d'envoyer maintenant le justificatif de remboursement de la sécurité sociale, qu'ils ont, car avec Amélie ils reçoivent tout.
Ils font tout pour ne pas rembourser, j'ai eu des problèmes avec l'assurance d'un crédit, ils sont les moins chers mais aucune garantie, et une mauvaise foi incroyable pour ne jamais rembourser, je déconseille fortement. </t>
  </si>
  <si>
    <t>26/11/2017</t>
  </si>
  <si>
    <t>glaude17-59455</t>
  </si>
  <si>
    <t>J'ai eu un accident non responsable le 3 novembre. Un expert a évalué le prix de ma voiture à un montant dérisoire malgré toutes les factures d'entretien fournies. Plus d'un mois s'est écoulé et je n'ai aucune nouvelles de la macif malgré les emails et les courriers et mon véhicule est à l'abandon dans un garage. J'envisage de résilier tous mes contrats une fois le problème réglé.</t>
  </si>
  <si>
    <t>09/12/2017</t>
  </si>
  <si>
    <t>paula-l-108687</t>
  </si>
  <si>
    <t>Je suis très satisfaite des prix et du service, des facilités de paiement.de l'accueil téléphonique lorsque j'ai dû faire appel àDirect assurance. Je n'aipas l'intention de partir..</t>
  </si>
  <si>
    <t>lolochen--104091</t>
  </si>
  <si>
    <t xml:space="preserve">Indemnisation attendue depuis 3 mois  1/2 depuis le vol de ma voiture. Aucune réponse, pas d’interlocuteur . Je loue une voiture à mes frais pendant que je paye les mensualités de celle que l’on m’a volé </t>
  </si>
  <si>
    <t>12/02/2021</t>
  </si>
  <si>
    <t>hbo-106975</t>
  </si>
  <si>
    <t>Cette assurance est bien quand il t'arrive rien. Le jour où vous aurez un sinistre attendez vous à des semaines avant que tous le monde se met d'accord entre l'assurance et le garage partenaire et l'expert qui va vous facturez même quand vous avez 0 responsabilité. Une honte. Je me demande toujours pourquoi on paie des acro en toute légalité</t>
  </si>
  <si>
    <t>longanimite-53043</t>
  </si>
  <si>
    <t xml:space="preserve">Je suis en tout risque intégral. Pour ma part, 2 demandes (non responsable) et beaucoup de réactivité. Ma voiture en panne et 12 jours de prêt d'une voiture. Je suis satisfaite. </t>
  </si>
  <si>
    <t>07/03/2017</t>
  </si>
  <si>
    <t>lamy-a-116487</t>
  </si>
  <si>
    <t xml:space="preserve">Vous avez fait une erreur sur le conducteur secondaire et principal que l'on avait stipulé. En ce qui concerne la "satisfaction", impossible de vous répondre, on vient de signer le contrat. 
Enfin le fait d'être "obligé" de donner notre avis est grotesque. Mais tout celà n'à aucune importance... </t>
  </si>
  <si>
    <t>ro-135710</t>
  </si>
  <si>
    <t xml:space="preserve">J'aurais aimé pouvoir faire valoir mes 7 ans d'assurance sans sinistre même si c'était il y a plus de 3 ans. Par les temps qui courent, il me semble inapproprié de pénaliser (suppression de tout bonus) les personnes qui décident de ne pas avoir de voiture pendant une période quand les transports en commun suffisent. </t>
  </si>
  <si>
    <t>03/10/2021</t>
  </si>
  <si>
    <t>armand--c-135418</t>
  </si>
  <si>
    <t>satisfait du tarif de mon assurance , pas chère , trés compétitive , ma, première assurance automobile et pas du tout déçu de l'ergonomie du site . merci</t>
  </si>
  <si>
    <t>umar-i-126688</t>
  </si>
  <si>
    <t>Rien a dire, assurance parfaite et site web tres pratique, je recommande a tous le monde , vous etes les meilleures. Merci pour tout. C’est superbe. Vraiment!</t>
  </si>
  <si>
    <t>32174135312-104470</t>
  </si>
  <si>
    <t xml:space="preserve"> toujours en attente des indemnités complémentaires. Quand on essaie d'avoir une attestation, c'est marqué que les indemnités , ont  étaient versés à votre employeur, car étant en mission et quand je demande à l'employeur , eux aussi sont en attente.
vous trouvez normal de forcer les gens à cotiser des assurances qui une fois en arrêt maladie , sommes obligé de vous courir derrière pour récupérer ce qui revient de droit.
ma note ne dépassera pas 0. Si j'avais le choix, je n'allais  jamais prendre votre assurance .
Nous les intérimaires devrions nous concerter et trouver un terrain d'entente afin de valoir nos droits et avoir un choix personnel  sur la mutuelle et assurance.</t>
  </si>
  <si>
    <t>19/02/2021</t>
  </si>
  <si>
    <t>vinalex-78258</t>
  </si>
  <si>
    <t>Après un incendie sur mon premier véhicule le feu c'est propager par rayonnement sur mon deuxième véhicule garer juste devant.le deuxième véhicule n'avait que les feux arrière en plastique fondue + le par-choc.Après expertise il c'est avérer que mon véhicule était bien assurer contre l'incendie mais pas le fait que c'était du vandalisme ^^le vandalisme n'est pas pris en compte par direct assurance faite bien attention dans votre contrat^^bénéfice net au vue de l age de mon véhicule et du cout des réparations ils m'ont tout simplement racheter le véhicule 250 euros ^^ du vol ^^</t>
  </si>
  <si>
    <t>07/08/2019</t>
  </si>
  <si>
    <t>thomas-70760</t>
  </si>
  <si>
    <t xml:space="preserve">Politique commerciale très agressive et illégale : souscription à 19.90 euros par mois sans notre accord. Il faut appeler la hiérarchie pour pouvoir confirmer l'annulation. </t>
  </si>
  <si>
    <t>30/01/2019</t>
  </si>
  <si>
    <t>christophe-huet50-100116</t>
  </si>
  <si>
    <t xml:space="preserve">Pas très chère la première année mais après il augmente même si vous n'avez pas eu d'accident responsable, publicité mensongère. 1ère année pas chère et après ils allument et aucun geste commercial si tu trouves moins chère tu vas voir ailleurs si tu veux, garder le client n'est pas leur priorité. A FUIRE </t>
  </si>
  <si>
    <t>15/11/2020</t>
  </si>
  <si>
    <t>marcel-66523</t>
  </si>
  <si>
    <t xml:space="preserve">Ne pas souscrire à cette complémentaire santé ! Une honte ! Scandaleux. Sans compter la qualité d échange, bien plus que médiocre. Ne surtout pas souscrire chez cette mutuelle. Service d incompétents. </t>
  </si>
  <si>
    <t>31/08/2018</t>
  </si>
  <si>
    <t>gl-81339</t>
  </si>
  <si>
    <t xml:space="preserve">Cliente depuis plus de 20 ans chez Allianz, actuellement 2 sinistres en cours avec la protection Juridique. Le 1er qui date d'août 2019 dû au montage de mauvais pneus sur mon véhicule. Malgré rapport d'expertise en ma faveur, ce litige n'est toujours pas réglé ! Le 2éme, un nid de poule en décembre 2019 dû au mauvais entretien de la chaussée. Résultat : Pneu éclaté. Photo à l'appui, attestation..Bref....Un courrier a été adressé par la PJ à l'assurance de la ville et qui sans réponse et en période crise sanitaire décide de clore le dossier. Le service de la protection juridique Allianz n'a que le nom ! C'est tout !!! Les remarques des clients ne sont pas prises en compte, les juristes sont parfois arrogants, les dossiers mal traités, ne répondent pas aux mails qu'on leur adresse, lenteur du traitement des litiges, manque de transparence sur la véracité de leurs démarches...La liste est longue. Ces gens là prennent les clients pour des crétins, des niais, des imbéciles ( et je reste polie ) !!!  Je vais saisir le médiateur mais surtout changer d'assurance !  Inutile que je sois contactée pour un traitement de ces dossiers....Il n'y a que des paroles qui ne sont jamais suivies d'actes. </t>
  </si>
  <si>
    <t>24/03/2020</t>
  </si>
  <si>
    <t>laurent-r-126123</t>
  </si>
  <si>
    <t>Je suis satisfait du service direct assurance par internet, avoir lors d'un possible sinistre. 
Le tarif me semble honnête et ma donner l'envie de changer d'assurance</t>
  </si>
  <si>
    <t>02/08/2021</t>
  </si>
  <si>
    <t>malik-t-136900</t>
  </si>
  <si>
    <t xml:space="preserve">J’ai apprécié la souscription rapide en ligne, 100 % digital, tout comme j’ai aimé la réactivité et le détail. Je serai d'avantage satisfait avec un prix moins élevé, même si c’est l’un des plus intéressants </t>
  </si>
  <si>
    <t>10/10/2021</t>
  </si>
  <si>
    <t>chipie-111819</t>
  </si>
  <si>
    <t>Des interlocuteurs incompétents qui transmettent votre demande en disant on vous rappelle dans 2 à 3 jours, ça fait 2 mois, il a du perdre son téléphone....
Demande de remboursement d'un prélèvement qui n'aurait pas dû être,  on me répond dossier en cours, après mail envoyé par mon employeur.
Malheureusement mutuelle imposée par l'employeur. 
Ne pas souscrire à  cette mutuelle, une multitude de personnes incapables de vous répondre sur leur plateforme, on a l'impression d'être sur une plateforme de téléphonie, de quoi écrire un sketch....</t>
  </si>
  <si>
    <t>canalbus-69957</t>
  </si>
  <si>
    <t>Je suis assuré à la macif depuis 40 ans, et je n'avais jamais été  cambriolé, malheureusement cela vient d'arriver avec les suites qu'un cambriolage entraîne, comment dire,  une sorte de violation de l'intime où tu partages sans discuter ce que tu as de plus beau avec des personnes inconnues...  mais là  n'est pas le pire,  l'évènement le plus cruel c'est quand ton assureur assure (gratuitement pour une fois!) que tu n'as pas fermé  tes volets et que  tu n'es pas assuré car tu a été cambriolé,  il dira par complaisance. ..tu ne sais pas comment il fait pour en être certain (c'est pas lui qui a commis le vol, sinon il saurait que les volets étaient fermés ) , tu envoies des témoignages qui prouvent que tes volets étaient bien fermés, mais lui l'assureur,  méfiant ne dialogue plus et préfère se réfugier derrière sa présomption de culpabilité!
En même temps, si son éthique est douteuse,  il a raison:  si je ne dis rien, l'affaire est close et notre assureur passe  à  côté de ses obligations contractuelles  et moi je continue  à  payer 41,42,43 années de plus
Alors passe ton chemin, même si les tarifs sont plus intéressants (depuis 40 ans, pas comparé, mais peut être ?)  et surtout ne faites pas comme moi, ne prenez pas toutes vos assurances chez le même assureur
Et si vous croyez que c'est un a fake, je vous donnerais des pistes pour établir une connexion,ou une action de groupe!</t>
  </si>
  <si>
    <t>06/01/2019</t>
  </si>
  <si>
    <t>nathalie-l-112285</t>
  </si>
  <si>
    <t xml:space="preserve">Satisfaite du service, bon contact téléphonique, renseignements clairs et net , rapidité ,je suis satisfaite et je recommande, tarif assurance habitation et automobile correct..
</t>
  </si>
  <si>
    <t>alaindegenas-91966</t>
  </si>
  <si>
    <t xml:space="preserve">Site bien conçu facile à utiliser
Tarif compétitif 
A voir l’année suivante si les prix n’evoluent pas trop à la hausse
Les garanties sont clairement explicitées 
</t>
  </si>
  <si>
    <t>anti-directassurance-111191</t>
  </si>
  <si>
    <t>Aucun service client, les gestionnaires et directeurs à qui j'ai parlé parlent à peine français, se contre-disent tous et vous font porter la faute...</t>
  </si>
  <si>
    <t>noucky-123821</t>
  </si>
  <si>
    <t xml:space="preserve">Ayant souscrit récemment à cette nouvelle mutuelle je n avais pas reçu  ma carte de tiers payant. Mariama que j ai eu au téléphone m à envoyé celle ci par mail. Tout a été réglé en 5 minutes
</t>
  </si>
  <si>
    <t>soulo-99276</t>
  </si>
  <si>
    <t>Bonne disponibilité et bonne prise en charge après un accident.
Prix un peu élevé, sachant que la personne a qui j'ai acheter la street triple R payait 3 fois moins que moi pour les même garanties, avec seulement quelques années de plus.</t>
  </si>
  <si>
    <t>27/10/2020</t>
  </si>
  <si>
    <t>sabrina-m-106148</t>
  </si>
  <si>
    <t>Très insatisfaite les prix ne font qu'augmentés, les franchises reste quand même à régler et les services vraiment à revoir, ne tombé jamais en panne....</t>
  </si>
  <si>
    <t>adrien-108125</t>
  </si>
  <si>
    <t>Ne répond a aucun mails , ne répond a aucune demande de contact pris sur leur site , attente interminable jusqu’à plus de 17 minutes , pour au final avoir personne , et avec des horaires de fonctionnaires , aux divers N° de tel 09789780XX , Franchement a fuir en courant ..... je suis obligé de contacter UFC que choisir , pour prendre un avocat et certainement déposer une plainte !</t>
  </si>
  <si>
    <t>regine-f-106141</t>
  </si>
  <si>
    <t xml:space="preserve">les prix me conviennent, et jusqu'à maintenant entre garantis et prix c'est ce que j'ai trouvé de mieux. Dommage que les franchises soient aussi importantes </t>
  </si>
  <si>
    <t>dd69-60365</t>
  </si>
  <si>
    <t xml:space="preserve">J’ai contacté mon assurance AMV, après une tentative de vol de mon scooter. J'ai suivi les démarches de déclaration. J'ai été surprise du nombre de documents supplémentaires à fournir non inscrit dans le contrat cela pour le premier envoi. Je suis depuis contacter à plusieurs reprises pour des documents supplémentaires supplémentaires !! La personne responsable de mon dossier me contacte a n’importe quel moment de la journée sans me demander  si elle me dérange et sans s’excuses. C’est à croire qu’ils ne veulent pas assurer ta protection en tant qu’assureur ou le personnel est non forme?. Pour un neiman a 19 euro, je paye 29 euros d’assurance tous risques !  J’espere bien que ces appels sont enregistres pour une raison. En attendant mon scooter est bloqué et je ne peux pas me déplacer. </t>
  </si>
  <si>
    <t>yann-p-134426</t>
  </si>
  <si>
    <t>les prix sur le site sont différents des prix que m'a donné le conseiller et on ne sait pas trop pourquoi.
Je souhaitais aussi avoir la franchise 0km sans voiture de prêt et ce n'est pas possible</t>
  </si>
  <si>
    <t>adeline-q-127135</t>
  </si>
  <si>
    <t>Je suis très satisfaite, ça fait maintenant plusieurs années qu’on est chez eux. Je ne regrette en aucun cas notre choix. Je recommande vivement direct assurance</t>
  </si>
  <si>
    <t>damien41-62257</t>
  </si>
  <si>
    <t xml:space="preserve">Client Macif depuis 20 ans .
Fin février je tape un sanglier qui déboule à 2 mètres devant mon véhicule .
3000€ de réparation .
Rdv avec l'expert au garage le lundi ...il n'est pas venu .
Rappel au service client Macif qui me répond qu'il y'a eu une erreur l'expert passera le jeudi.
On m'annonce que j'ai 500 euros de franchises en tout risque whaouuu super .
Je vais sur le site de la Macif faire une simulation pour mon véhicule .
Même contrat même tarif mais franchise de 300€ .
Je rappel la Macif ou l'on me répond que j'ai un ancien contrat que sur les nouveaux la franchise est à 300...
J'ai le sentiment d'être pris pour un lapin ... </t>
  </si>
  <si>
    <t>13/03/2018</t>
  </si>
  <si>
    <t>decooninck-b-139231</t>
  </si>
  <si>
    <t>Les prix sont alléchants et le service sérieux. Je recommande pour les personnes qui n'osent pas franchir le cap. Le service est compétent et niveau tarif, c'est incroyable.</t>
  </si>
  <si>
    <t>rouroux-107992</t>
  </si>
  <si>
    <t xml:space="preserve">BONJOUR;
suite a mon échange téléphonique de ce midi avec une interlocutrice dont le prénon est AMINATA; je tiens a dire notre échange c'est bien passé car elle a pris le temps de m'ecouter et de me donner les réponses que j'attendez .
Merci encore AMINATA.
Cordialement MME FILIPE MARIE CHRISTINE
.merci.
 </t>
  </si>
  <si>
    <t>25/03/2021</t>
  </si>
  <si>
    <t>marie--124103</t>
  </si>
  <si>
    <t xml:space="preserve">Merci à Angélique pour son accueil et son professionnalisme . La réponse a été très efficace et j'ai reçu les documents demandés par mail avant la fin de mon appel. </t>
  </si>
  <si>
    <t>21/07/2021</t>
  </si>
  <si>
    <t>leclercq-a-121209</t>
  </si>
  <si>
    <t>Merci à vous de m'avoir assuré dans votre compagnie le prix est tout à fait à la hauteur de mon budget et les garanties me conviennent , je ne manquerais de vous recommander Cordialement</t>
  </si>
  <si>
    <t>patrice-l-115493</t>
  </si>
  <si>
    <t xml:space="preserve">satisfait du service et du prix dèja client depuis des années en auto ainsi que pour une assurance habitation secondaire on ne peut pas trouver moi cher sur le web et en plus ils ont pignon sur rue </t>
  </si>
  <si>
    <t>achraf-m-105989</t>
  </si>
  <si>
    <t xml:space="preserve">Je suis satisfait du service.
Il faut corriger quelques bugs sur l'application mobile  et web.
                                                       </t>
  </si>
  <si>
    <t>anastasia-c-128440</t>
  </si>
  <si>
    <t xml:space="preserve">Je suis satisfaite de la rapidité par rapport à ma demande devis.
Maintenant à voir sur la longueur la qualité des services proposés. 
Je ne demande pas grand chose mais le minimum </t>
  </si>
  <si>
    <t>fielding-p-134128</t>
  </si>
  <si>
    <t>Très bonne expérience en ligne et bon prix aussi, C'était une transaction facile, Je recommanderais L'olivier à mes amis. J'espère ne jamais avoir d'accident bien sûr !</t>
  </si>
  <si>
    <t>jacaranda-119079</t>
  </si>
  <si>
    <t>Impossible de les joindre pour modifier mon contrat d'assurance, depuis leur rachat par aviva cette compagnie d'assurance (Eurofil) à baisser de niveau</t>
  </si>
  <si>
    <t>michel-t-105028</t>
  </si>
  <si>
    <t>Je ne suis pas satisfait, content 
Trop cher par rapport la Macif, Matmut, Carrefour et GAN
Je suis chez vous  presque 15 ans avec la bonus 50 et plus 12 ans
C'est très dommage je quitte chez vous</t>
  </si>
  <si>
    <t>patrice-b-128202</t>
  </si>
  <si>
    <t>satisfait mais peu pratique en cas de mauvaise connexion internet et surtout  très complique lorsque il y a plusieurs véhicules a administrer cela devient laborieux</t>
  </si>
  <si>
    <t>chaumier--134458</t>
  </si>
  <si>
    <t>Attention le seul assureur à rajouter. La garantie corporelle celle ci n’est pas comprise dans le prix de base 
Cela fait monter tout de suite la facture 
Donc vous trouvez tout de Suite moins cher ailleurs 
Attention avant de signer</t>
  </si>
  <si>
    <t>linda-d-109568</t>
  </si>
  <si>
    <t xml:space="preserve">très bons services - personnel très agréable et compétant sachant répondre aux diverses questions - rapport qualité prix très satisfaisant- je suis ravie d'avoir changé de fournisseur
</t>
  </si>
  <si>
    <t>aurelien-b-114126</t>
  </si>
  <si>
    <t>Je suis très satisfait, le site est très bien fait. Les documents arrivent assez rapidement après la demande. Les prix sont très attractifs et les conseillers à l'écoute.</t>
  </si>
  <si>
    <t>dagobert59-93355</t>
  </si>
  <si>
    <t>L'olivier est ma premiere assurance car je viens d'obtenir mon permis ils m'ont proposer un prix qui correspond a mes revenus d'etudiant et m'ont bien expliqué comment fonctionnait une assurance car je ny connaissais rien, merci beaucoup je recommande fortement</t>
  </si>
  <si>
    <t>jujulili-88017</t>
  </si>
  <si>
    <t>Mutuelle trop cher mutuelle très mal remboursé mutuelle très mauvais relation client  mutuelle  qui sert à rien  le temps d attente trop long</t>
  </si>
  <si>
    <t>06/03/2020</t>
  </si>
  <si>
    <t>eric-f-108292</t>
  </si>
  <si>
    <t>Tres satisfait pour le moment. ?J'attends de voir suite à la resolution de mon sinistre. Pour le moment pas de nouvelles, c'est un peu long.............</t>
  </si>
  <si>
    <t>abderrazak-m-112414</t>
  </si>
  <si>
    <t xml:space="preserve">Je suis satisfait bien pour assurance bien joué avec service online c’est pratique pour client qui travaille eh pas besoin de appeler pour savoir faire Merciii </t>
  </si>
  <si>
    <t>catherine-k-106920</t>
  </si>
  <si>
    <t xml:space="preserve">100 fois trop cher pour  les garanties  a double le prix en quelques années alors que la voiture ne vaut plus rien et franchise de 150 euros alors  que jamais aucun accident 
</t>
  </si>
  <si>
    <t>crespo-i-134666</t>
  </si>
  <si>
    <t>j ai longuement hésité à prendre l'assurance chez olivier assurance.
mais les prix sont vraiment competitifs et leur réputation a l'air bonne. 
a suivre donc...</t>
  </si>
  <si>
    <t>mouta-99618</t>
  </si>
  <si>
    <t>Client à la Macif depuis de très nombreuses années plus de 20 ans , je reste très mécontent de la prise en charge d'un sinistre innondation. Ma maison a été inondé aucune indemnisation, aucun professionnalisme on me balade de service en service pourtant jusqu' a présent les mensualités d'assurances sont honorés.Je ne recomande vraiement pas cette compagnie d'assurance, on reconnait  une assurance  lors d'un siniste une honte de laisser un sociétaire sans reponse claire!!!</t>
  </si>
  <si>
    <t>04/11/2020</t>
  </si>
  <si>
    <t>perplexe-56222</t>
  </si>
  <si>
    <t>Bonjour à tous,
Je souhaite faire part de mon retour d’expérience très négatif en espérant que cela sert à d’autre.
On dit souvent que les gens mécontents posent des commentaires et ceux contents non (Au passage paroles d’un conseillé Direct assurance).  Mais sachez que je ne suis pas du genre à poster des commentaires négatifs comme positifs. Mais là je veux tenir informer les gens afin qu’ils puissent avoir toutes les informations nécessaires avant de vouloir souscrire leur assurance chez Direct Assurance. Car au moment où ils auront besoin de leur assureur il sera trop tard.
Alors pour ma part tout au début tout est beau tout est rose évidemment pas confronté à d’accident chez cette assurance. Content d’avoir choisi direct assurance avec ma jolie formule tous risques et mon jolie pack "tranquillité" pour me sentir à l’abri des mauvaises surprises (Cool j’aurai un véhicule de prêt si j’ai un accident cela me rassure …. hOphop pas si vite enfin faut lire la suite pour comprendre).
Voilà ma femme a malheureusement un accident avec son véhicule, chose que l’on ne souhaite jamais et qui n’est jamais fait exprès ! 
La tout va bien elle appelle l’assurance, l’assistance on remorque son véhicule dans un garage agréé on lui demande pas si elle souhaite allez dans un autre garage, choqué encore de l’accident elle ne pense pas que cela n’est pas une obligation. Bref ce n’est pas très grave quel que soit le garage les travaux seront fait. Mais arrivé au garage celui précise bien à l’assistance qu’ils n’auront pas de véhicule de prêt à proposer donc ne pas venir ici si le client aura besoin d’un véhicule. Evidement que j’en ai besoin on travail il faut bien pouvoir se déplacer le véhicule ne pouvant plus rouler et ayant mon jolie pack " tranquillité" qui n’a de tranquille que le nom. L’assistance répond oui il n’y aura pas de soucis. Hop le véhicule est déposé à 50Km de notre domicile et ma femme laissé en plan à ce garage.
Heureusement qu’elle avait gardé ses jambes dans l’accident elle a pu faire les 40 km à pieds. Avantage là-dedans cela lui a permis de se détendre après cette accident.
Mécontent de cette aventure et me disant que cela va être réglé j’appelle direct assurance réponse Mr le prêt du véhicule n’intervient qu’une fois le rapport d’expertise effectué !! Je m’énerve pour rien car c’est comme ça s’est indiqué dans les fameuses conditions générales mais par contre sur leur offre c’est pas écrit ça. Bref j’attends donc le rapport d’expertise et on se débrouille en attendant.
Quelques jours plus tard cool l’expert est passé le véhicule est réparable ect. Hop je m’empresse d’appeler le garage pour leur demander le véhicule de prêt dont j’ai droit avec mon jolie pack "Tranquillité"… La réponse Mr j’avais bien précisé que je n’avais pas de véhicule de prêt donc voyez avez votre assurance moi je ne peux rien faire je les avais avertis. Ok j’appelle donc l’assistance celle-ci me répond Mr dans votre contrat il n’est pas précisé prêt de véhicule !! Ben et mon pack ah ben on en a pas de trace appelez direct assurance ok autre numéro. 
Oui Mr vous avez bien le droit à un véhicule de prêt avec votre pack !! d’accord ma petite dame mais le garage me dit qu’ils en ont pas. Ben mr on ne peut rien faire hormis vous dédommager de 10€/jours de frais de location pour un véhicule le temps des réparations. Je râle ect cela passe à 30€ ok je vais perdre de l’argent mais c’est mieux que rien et là je demande comment savoir le nombre de réparation réponse selon l’expert la durée des travaux sera de 4 jours donc on vous dédommage à hauteur de 4 jours. Euhhh oui sauf que le garage ma informé qu’il y aura 3 semaine de délais pour la réparation du véhicule et non 4. 
Ah oui là-dedans ils ne comptent pas la disponibilité du garage. En effet le dédommagement selon le conseillé sinistre est à partir de la date technique des réparations. Pour faire simple ils se basent sur la durée des travaux et non la durée d’immobilisation du véhicule. Si le garage n’est pas en mesure de faire les travaux de suite il faut donc se débrouiller soit même cool le pack tranquillité. Pourtant dans leur offre il est bien précisé un prêt du véhicule durant toute les durées des travaux (Mes comme je suis idiot selon le conseillé car je ne comprends pas le terme réparation). Et oui ce n’est pas la durée des travaux mais la durée technique des travaux (Dixit les conditions générales). Ce qui veut dire qu’ils se basent sur la durée des travaux défini par l’expert et non la durée que le garage mettra pour vous rendre votre véhicule.
Bref après discussion je dois faire part de mon mécontentement aux services clientèle c’est tout ce qu’ils peuvent faire pour moi. 
Donc attention bien éplucher les conditions générales et faire attention au phrases ambiguës qui obligatoirement permettent de nous mettre en défaut et leur permettre de ne pas honorer leur prestation.
A savoir aussi que direct assurance de pratique pas de transfert d’assurance. En effet j’ai terminé par remorquer mon véhicule dans un garage ou l’on pouvait me faire le prêt d’un autre. Et au moment de vouloir faire le transfert d’assurance pour éviter en cas d’accident d’avoir la franchise de 2000€ de l’assurance du garage. La réponse Mr dans nos conditions "internes" on ne pratique pas le transfert d’assurance. Ah oui et comment on peut le savoir nous lorsque l’on signe le contrat car non précisé dans ces fameuses conditions générales !! Mr faite réclamation …
Bref sachez ou vous allez et a quoi vous vous attendez certes les prix sont bas mais le service est tout aussi bas il faut le savoir. Et par téléphone on ne peut pas grand-chose.
Merci d’avoir pris le temps de me lire.</t>
  </si>
  <si>
    <t>24/07/2017</t>
  </si>
  <si>
    <t>remy-m-125323</t>
  </si>
  <si>
    <t>Les prix me conviennent. Mise en place du contrat rapide. Équipe à l'écoute. Je recommande pour assurance moto sur mesure selon mes besoins...........</t>
  </si>
  <si>
    <t>ufuk-c-107753</t>
  </si>
  <si>
    <t xml:space="preserve">Je suis satisfait du service 
Tout me semble correcte et simple 
J'aurais préféré avoir une remise supplémentaire sur le prix de mon contrat 
Je souhaite parrainer prochainement des amis autres de votre service </t>
  </si>
  <si>
    <t>christophe-p-123985</t>
  </si>
  <si>
    <t xml:space="preserve">Difficile à dire je viens juste de m'inscrire 
Pour les prix ça va et pour le site c'est bien et on arrive à avoir quelqu'un au téléphone 
Maintenant à voir lorsque j'en aurai vraiment besoin  sans l'espérer </t>
  </si>
  <si>
    <t>marie-ange-b-107080</t>
  </si>
  <si>
    <t>Je suis très satisfaite de la souscription... Personnes à l'écoute. Prix très compétitif...
En espérant qu'il en soit de même si il y a un problème...</t>
  </si>
  <si>
    <t>mimi11-67487</t>
  </si>
  <si>
    <t>j'avais une mutuelle en 2017 et je n'étais pas satisfaite ni au niveau du montant des mensualités (trop cher), ni au niveau des remboursements.
En 2018 j'ai adhéré à Néoliane et je suis satisfaite à tous les niveaux (remboursement et prix des mensualités qui m'a permise de faire des économies ).</t>
  </si>
  <si>
    <t>luchini-98320</t>
  </si>
  <si>
    <t xml:space="preserve">J'ai eu un problème de crevaison.
J'ai appelé pour savoir si je pouvais être pris en charge, on ma dit pas de souci.
Au final, je suis passé de service en service. 
J'ai perdu 2 jours et je me suis débrouillé tout seul en payant tout.
Ils pouvaient être franc et dire, on ne prend rien en charge, cela m'aurait fait gagner 2 jours.
Ils ne sont pas pro, ils prennent sans doute des stagiaires pour faire le travail
</t>
  </si>
  <si>
    <t>04/10/2020</t>
  </si>
  <si>
    <t>j2m-77268</t>
  </si>
  <si>
    <t>A fuir</t>
  </si>
  <si>
    <t>02/07/2019</t>
  </si>
  <si>
    <t>dennis430-60803</t>
  </si>
  <si>
    <t>Très très déçu de votre suivi de mon sinisitre. Le délai en réponse (négative) était très longue, personne pouvait me donner plus d'information dans le dossier. En plus vous me noter un sinistre sur mon relevé d'information ce qui fait augmenter mes assurances tandis que vous m'avez reglé 0 euros pour ce sinisitre pour lequel je ne suis pas responsable. 
Encore client chez vous mais plus pour longtemps...</t>
  </si>
  <si>
    <t>audrey--112504</t>
  </si>
  <si>
    <t>L'enfer sur terre. Plus de deux mois d'attente de mes remboursement. Mutuelle imposée par l'employeur sinon il y a longtemps que j'aurais déserté. j'ai beau appeler toutes les semaines, les réponses sont les mêmes "vos demandes sont en cours de traitement vous serez remboursée d'ici une semaine"
Une semaine plus tard, toujours rien, et deux mois plus tard non plus.
A éviter, fuyez, ne souscrivez jamais jamais jamais chez Mercer. 
Une étoile car obligatoire mais cette mutuelle n'en mérite même pas une.</t>
  </si>
  <si>
    <t>gautier-b-125993</t>
  </si>
  <si>
    <t>Des conseillers agréables et très réactifs (peut être un peu trop, 5 appels en moins de 10 minutes...). Des prix attractifs par rapports aux autres assurances.</t>
  </si>
  <si>
    <t>first31-7-59535</t>
  </si>
  <si>
    <t xml:space="preserve">Apres 32 années assure a la MATMUT, je ne peux qu'exprimer ma satisfaction tant sur le suivi des dossiers lors de sinistres, la rapidite des reponses  que la qualite des contats avec des employes en agence ainsi qu'au siege. </t>
  </si>
  <si>
    <t>10/12/2017</t>
  </si>
  <si>
    <t>nelson-113911</t>
  </si>
  <si>
    <t>a fuir  depuis janvier j ai pris des appareil auditifs la securite sociale a rembourser  le 14/04/2021 depuis plus d un MOIS j attend le remboursement de mes appareil pris a 100% par la mutuelle CEGEMA</t>
  </si>
  <si>
    <t>yves-f-106781</t>
  </si>
  <si>
    <t>Je suis très Satisfait des contacts avec Direct Assurance
réponse claire du conseillé , bonne explication,c'est parfait
Bon conseil pour les différentes options</t>
  </si>
  <si>
    <t>16/03/2021</t>
  </si>
  <si>
    <t>aurel51-70871</t>
  </si>
  <si>
    <t>Se faire résilier tout ses contrats d'assurance ( la totalité étaient souscrits chez eux) après 15 ans de cotisations parce qu'il n'a pas été apprécié à la MATMUT que je me mette a gueuler alors que j' attend toujours la réparation de ma porte de sdb,suite a un dégât des eaux et après 15 mois d'attente...( Toujours pas réparée a l heure actuelle) Ils sont fort à la MATMUT et surtout ils n'ont pas besoin de clients ! Ne perdez pas votre temps à entrer en agence! Allez voir ailleurs...</t>
  </si>
  <si>
    <t>02/02/2019</t>
  </si>
  <si>
    <t>our-68311</t>
  </si>
  <si>
    <t>Attention si vous souscrivez un contrat à GMF : Un conseil après deux sinistres responsable ou non : Quittez la GMF car au 3éme ils vous résilieront même avec 50% de Bonus.</t>
  </si>
  <si>
    <t>03/11/2018</t>
  </si>
  <si>
    <t>jysjys-108163</t>
  </si>
  <si>
    <t xml:space="preserve">La facilité des échanges depuis le compte client.
La réactivité par rapport à ma demande.
Les tarifs compétitifs et le choix des formules et la rapidité de souscription.
</t>
  </si>
  <si>
    <t>brig-59144</t>
  </si>
  <si>
    <t>a fuir en cas de sinistre aucun suivi</t>
  </si>
  <si>
    <t>27/11/2017</t>
  </si>
  <si>
    <t>faderne-s-113751</t>
  </si>
  <si>
    <t>Je suis satisfaite du service .Toutes les démarches sont simples et clairement expliquées.
Le conseiller qui m'a éclairé pour les procédures à suivre était très sympathique et professionnel.</t>
  </si>
  <si>
    <t>14/05/2021</t>
  </si>
  <si>
    <t>dany-87833</t>
  </si>
  <si>
    <t>Mutuelle devenue hélas très mauvaise</t>
  </si>
  <si>
    <t>sardine-67947</t>
  </si>
  <si>
    <t xml:space="preserve">J’ai souscrit en 2013 un contrat d’assurance de prêts au prés de cardif par l’intermédiaire de multi impact. Soucieuse d’être bien protégé , j’ai souscrit le maximum de garantie à 100% de mes prés . En 2017 j’ai fait un violent burnout qui laisse des séquelles importantes à ce jour, on se croit infaillible et que ça n’arrive qu’aux autres. Aujourd’hui je me retrouve en invalidité catégorie 2, je reçoit un mail indiquant qu’ils poursuivent les versements des prestations puis une fois qu’ils ont reçu les documents se ravisent (3 mois ont passé !) et m’envoie voir un médecin expert qui s’attache à voir s’il n’y aurait pas une exclusion possible, il m’a posé des questions assez bizarre mais en aucun cas sur mon réel état et mes capacités intellectuelles qui se retrouvent nettement diminuées, l’entretien a durée 30 minutes, comment peut-on juger en si peux de temps ? Au final cardif n’applique pas son contrat et prend en charge au titre de l’invalidité partielle et non totale . Encore une preuve que les assureurs font en sorte de ne payer que le minimum et ne respecte pas leur contrat. Je ne me laisserais pas faire, j’ai engagé une procédure juridique pour obtenir gain de cause.
Donc si,vous avez le choix de l’assureur ne prenez pas cardif ou alors dotez vous d’une excellente protection juridique car ils feront en sortent de trouver des exclusions qui n’en sont pas ou vous explique comment vous passez de leur indemnisation ! Bref fuyez !!!!! J’ai adressé une réclamation à cardif bien sûr ils ont répondu à côté !  </t>
  </si>
  <si>
    <t>cathy-51788</t>
  </si>
  <si>
    <t xml:space="preserve">Suis très déçue des informations contradictoires que j'ai reçues et du manque d'écoute notamment du service gestion lorsque j'ai tenté de m'expliquer afin de trouver une solution et un geste commercial !! La réglementation a soudainement pris le dessus et les portes de la communication se sont fermées.
</t>
  </si>
  <si>
    <t>28/01/2017</t>
  </si>
  <si>
    <t>nordine-e-112017</t>
  </si>
  <si>
    <t xml:space="preserve">Bonjour j'ai été très satisfait les 2 première année et la troisième il mon augmenté de 61 euro sans raison et je suis au maximum de mon bonus ..Vraiment je suis très décus ...
</t>
  </si>
  <si>
    <t>stanislas-v-136614</t>
  </si>
  <si>
    <t>UN PEU CHER POUR UNE MOTO CONSIDERER COMME GT ET NON SPORTIVE ET J AURAIS AIMER UN GESTE EN TANT QUE CLIENT CAR SINON JE PARTIRAI L ANNEE PROCHAINE POUR SUR</t>
  </si>
  <si>
    <t>hichem-a-130289</t>
  </si>
  <si>
    <t xml:space="preserve">je suis satisfit du service 
simple et pratique 
différentes options disponibles
service personnalise
prend en considération les plusieurs profile de consommateurs  
</t>
  </si>
  <si>
    <t>lollia-y-123760</t>
  </si>
  <si>
    <t>Très satisfait , un service irréprochable , les prix sont très abordable , les conseillers très à l’écoute que cela continue , bonne continuation à tous</t>
  </si>
  <si>
    <t>map-89751</t>
  </si>
  <si>
    <t xml:space="preserve"> 
Belle plaquette !
Belles paroles !
Mais à quels moments appliquez-vous ce que vous promettez : après 50 ans d'adhésion, maman a eu 2 seuls et uniques accidents de voitures entre 2018-2017 dont  elle n'était pas responsable ….  MAIS …. De façon stupéfiante, vous l'avez radié de votre assurance automobile !!! étrange exemple de souci de proximité avec vos sociétaires, qui plus est l'une des plus anciennes !!!  
Oui , vous avez raison : "La société bouge, Matmut l'accompagne » ... effectivement la MATMUT a bien accompagné ma mère, une sociétaire depuis 57 ans, vers l'éjectione !!! Bravo la MATMUT !!! A bon entendeur, futur sociétaire, salut !
</t>
  </si>
  <si>
    <t>19/05/2020</t>
  </si>
  <si>
    <t>faubel-v-123953</t>
  </si>
  <si>
    <t xml:space="preserve">Satisfait de l'olivier, simple pratique efficace. les prix sont correctes. Le devis se fait en ligne avec clarté, site très bien expliquer et bon retour sur cette assureur. </t>
  </si>
  <si>
    <t>parseb88-104795</t>
  </si>
  <si>
    <t>Mon père est titulaire d'un contrat prévoyance qui est arrivé à son terme depuis le 1er février.
Il a cotisé pendant 20 ans en vue d'avoir une belle somme pour ses vieux jours.
Pour autant, il n'a toujours pas touché le moindre centime, et ce n'est pas faute de demander ce dont il a droit...
Malgré 3 mails restés sans réponse (alors que gan france se vante de répondre en 48h...), 2 appels pour dire qu'ils envoient un courrier avec le solde du contrat, il n'a jamais rien reçu!
Cela va faire 2 mois que ça dure, si ce n'est pas se moquer du monde, c'est qu'ils sont vraiment incompétents.
Que faut il faire pour récupérer ce dont on a droit et cotisé pendant des années, engager des actions en justice?
Pour vendre des assurances, ils savent accueillir les clients les bras ouverts, mais pour rendre ce dont on a droit, il n'y a plus personne! Aucun signe de vie!
Vraiment scandaleux comme pratique....</t>
  </si>
  <si>
    <t>Gan</t>
  </si>
  <si>
    <t>25/02/2021</t>
  </si>
  <si>
    <t>sonia-l-121527</t>
  </si>
  <si>
    <t>simple, efficace, facielement joingniable et devis à valider sur le site trés simplement. J'avais quitter direct assurance et suis ravie de revenir chez vous.</t>
  </si>
  <si>
    <t>masseaux-a-133995</t>
  </si>
  <si>
    <t xml:space="preserve">J'ai eu un excellent contact avec Maxime, 
Il a été très patient, très agréable, et très rassurant car c'est ma première assurance voiture en tant que conductrice principale.
Il a été très pointilleux et précis ce qui m'a permis d'avoir une assurance à un prix très intéressant malgré mon récent accident. 
Je le remercie infiniment </t>
  </si>
  <si>
    <t>bm-88106</t>
  </si>
  <si>
    <t>Bonjour,
Suite au décès de mon père qui était adhérent AFER et détenait un contrat d'assurance-vie, je tenais à vous faire part de l'effarement de notre famille concernant le service succession.
Nous avons informé l'AFER de son décès il y a bientôt 6 mois, en octobre 2019.
Par la suite, nous avons envoyé 9 e-mails de relance.
Nous avons appelé 14 fois le standard.
Nous nous sommes déplacés à 4 reprises au siège du 36 rue de Châteaudun, 75009 Paris.
Nous avons envoyé 2 courriers recommandé au siège.
Et nous ne disposons toujours d'aucune information quant au traitement de notre dossier, ce dernier étant identifié comme complet depuis un délais largement supérieur aux 30 jours prévus par la loi.
Dans LES JOURS QUI VIENNENT, nous serons amenés a régler les frais de succession, et avons la NÉCESSITÉ de disposer de ces fonds.
Au delà du fait qu'il n'est pas légal d'empêcher les bénéficiaires d'exercer leurs droits au delà de 30 jours - au regard de la Loi Eckert - ma famille se trouvera dans une position extrêmement délicate vis a vis de l'administration fiscale si rien n'est fait.
C'est pourquoi nous souhaitons faire connaitre le traitement déplorable que réserve l'AFER aux familles en deuil.
Il est inadmissible d'agir de la sorte avec les proches des défunts adhérents de l'AFER, qui vivent une période difficile.</t>
  </si>
  <si>
    <t>08/03/2020</t>
  </si>
  <si>
    <t>alain-54057</t>
  </si>
  <si>
    <t>CARDIF ass vie apparemment en liquidation ...repris par BNP / HELLO BANK ...tous irresponsables lettre rec mail  fax et mediateur n y font rien depuis 6 mois impossible de gerer 80 000 euro plus acces internet ...des veritables nuisances pour l epargnant...Cardif se defosse et  renvoi vers le service client hello bank une tangou injoignable et qui ne me rappelle jamais !!!</t>
  </si>
  <si>
    <t>15/05/2017</t>
  </si>
  <si>
    <t>jean-baptiste-p-125413</t>
  </si>
  <si>
    <t xml:space="preserve">Je suis satisfait mais j'attends des précisions pour la suite de mon contrat : date de réception boîtier you drive etc, modalités d'installation etc. Ce n'est pas très  clair pour la suite </t>
  </si>
  <si>
    <t>29/07/2021</t>
  </si>
  <si>
    <t>minjeau-a-139629</t>
  </si>
  <si>
    <t xml:space="preserve">J’ai été très bien reçu au téléphone et bons conseils. 
Tarifs et convertures très bonnes et compétitives. En espérant pouvoir bientôt assurer ma moto chez vous PARFAIT ! </t>
  </si>
  <si>
    <t>chris24-71431</t>
  </si>
  <si>
    <t>j ai voulu resilier car j ai droit a la cmu depuis le mois de novembre  il m on envoyer un courier qu il arreter la mutuel et depuis il preleve toujours apres plusieurs appel il me balade et hier il me renvoi une lettre par laquel la mutuel est resilier que le 28 fevrier  ce qui fait qu il mon prelever 3 mois pour rien et ils veulent rien entendre tres decu de cette mutuel je ne la reprendrais pas apres ma cmu</t>
  </si>
  <si>
    <t>19/02/2019</t>
  </si>
  <si>
    <t>govent-34004</t>
  </si>
  <si>
    <t xml:space="preserve">Les tarifs sont plus élevés que ces concurrents, mais les remboursements sont rapides. On peut toujours les appeler, ils sont polis et disponibles. Je peux quasiment tout régler sur leur site (demande de prise en charge, envoi des documents...).3
</t>
  </si>
  <si>
    <t>25/01/2021</t>
  </si>
  <si>
    <t>jordan59-79379</t>
  </si>
  <si>
    <t xml:space="preserve">Nouveau client depuis quelques semaines, je me suis fait berner. J'explique au conseiller téléphonique que je possède une voiture de fonction depuis 11 ans, il me réalise un contrat avec un bonus à 0,5. Il m'a fait payer en une seule fois, pour soit disant bénéficier d'une réduction supplémentaire. La semaine suivante après avoir envoyé mon relevé d'information de ma société, un autre conseiller m'annonce que dans leurs conditions commerciales les clients ayant eux une voiture de fonction, automatiquement le bonus est de 0,76.      Ils me prélèvent sans mon accord 300€ de plus sur mon compte. J'ai eu deux conseillers différents, aucun ne m'a indiqué cette clause commerciale. Ils poussent à la vente et mentent sur les conditions commerciales.                                 
                                                                                                                                                            </t>
  </si>
  <si>
    <t>22/09/2019</t>
  </si>
  <si>
    <t>greg-98101</t>
  </si>
  <si>
    <t>Voilà plus d'un mois que jattend un remboursement d'orthodontie après plusieurs appels on me dit qu'il on rien reçu (j'ai leur mail de confirmation de reception) aucune factures voila qu'il faut attendre de nouveau 25jours de plus pour être remboursé, (déjà attendre 25jours pour un remboursement c'est juste une honte).
En gros ag2r c'est vraiment des imcapables. 
Cordialement.</t>
  </si>
  <si>
    <t>lafarge-a-125178</t>
  </si>
  <si>
    <t>tres satisfait par l acceuil telephonique et la simplicite du site et par les prix proposes par rapport a la concurrence je recommenderai facilement a mes ami</t>
  </si>
  <si>
    <t>marie---em-mp-100349</t>
  </si>
  <si>
    <t xml:space="preserve">Direct assurances attire les nouveaux clients et augmente ses tarifs de plus de 12% sans déclaration de sinistre après un an alors que je leur avais adressé un nouveau client en parrainage 
</t>
  </si>
  <si>
    <t>19/11/2020</t>
  </si>
  <si>
    <t>patoune-128774</t>
  </si>
  <si>
    <t>Tres bon contact avec LAMIA au service Clients ! Je suis au tout début de l inscription à cette mutuelle. A présent rapidite aux remboursements. Je verrais pour lz couverture dentaire...</t>
  </si>
  <si>
    <t>miller-k-113287</t>
  </si>
  <si>
    <t xml:space="preserve">Rapport qualité prix rien a redir 
Les conseillers sont 
Il nous conseille énormément
Très a l'écoute 
Ne changer rien 
C'est très agréable j'étais un peu perdu il mon beaucoup aidé
</t>
  </si>
  <si>
    <t>nawel-93029</t>
  </si>
  <si>
    <t>Je trouve cela un peu chère comparé à d’autres devis proposé ailleurs pour une assurance tous risques, il y a 35 euros de différences quand même ce n’est pas négligeable.</t>
  </si>
  <si>
    <t>mounass-135972</t>
  </si>
  <si>
    <t xml:space="preserve">Je suis vraiment déçu j’ai eu une panne au beau milieu d’un rond point, j’appelle le service d’assistance à 7h pour qu’il fasse venir un dépanneur. Jusqu’à 8h pas de trace du dépanneur, je les rappelle à 9h ils me disent que le dépanneur arrive et a 1Oh toujours pas de dépanneur alors que je dois me rendre à mon travail. Je suis sous la pluie depuis plus de 2h Rapidité et qualité de service pas top. </t>
  </si>
  <si>
    <t>05/10/2021</t>
  </si>
  <si>
    <t>daddy81-55303</t>
  </si>
  <si>
    <t>attention ce sont des incapables, inconpetent,   mieux vaut payer un peu plus chere que de s'assurer chez eux, il faut les afficher sur tout le net, . panne de voiture en espagne, grosse galère en plein soleil car incapable de nous trouver un vehicule,"je raconterer cette mauvaise  aventure la prochaine fois sur les reseau sociaux  et maintenant suite a un incendie sur mon vehicule, on m'apprend que je suis dechu de mes droit.</t>
  </si>
  <si>
    <t>12/06/2017</t>
  </si>
  <si>
    <t>lorenzo-d-128525</t>
  </si>
  <si>
    <t xml:space="preserve">Le service pour nous guider est très efficace, et le prix est intéressant, les facilité de payant sont incroyable blablabla ce qui est vraie c'est juste le début
</t>
  </si>
  <si>
    <t>philippe-c-111987</t>
  </si>
  <si>
    <t>pas satisfait du prix..
depuis pas mal d'année chez vous .
femme, enfants tous assurés chez vous donc pas normal que le tarif pour le nouveau véhicule soit aussi élevé.</t>
  </si>
  <si>
    <t>arnaud-b-109360</t>
  </si>
  <si>
    <t>Bonjour, je suis satisfait de l'assurance auto, la seule chose qui est vraiment dommage est que il n'y ai pas de service client joignable par téléphone.
Cordialement</t>
  </si>
  <si>
    <t>ibtissam-98394</t>
  </si>
  <si>
    <t xml:space="preserve">Très bon service client, j'entend par là qu'en cas de sinistre avec votre véhicule l'assurance est à l'écoute, très réactive (moins de 48h pour traiter la demande) et la prise en charge de la voiture pour les réparations est super. 
Rapport qualité/prix excellent ! </t>
  </si>
  <si>
    <t>06/10/2020</t>
  </si>
  <si>
    <t>miette-81196</t>
  </si>
  <si>
    <t>Assurance à fuir obligatoirement, le Crédit Mutuel vous vend l'assurance et au moment du besoin de remboursement des délais à n'en plus finir, des attentes interminables au téléphone, des personnes limite agréable et enfin des quantités justificatifs à fournir. 
Vous découvrez que selon les races de chien les remboursements ne se font pas et vous ne le savez pas lors de la vente. 
Je me sens flouée et trompée par le Crédit Mutuel qui profite de ses clients.
Fuyez cette assurances hors de prix et qui ne rembourse que de façon aléatoire. 
De l'argent doublement perdu, le prix de l'assurance et le prix des frais véto</t>
  </si>
  <si>
    <t>21/11/2019</t>
  </si>
  <si>
    <t>florinegab-122373</t>
  </si>
  <si>
    <t xml:space="preserve">J'ai toujours été correctement assurée chez eux et je n'avais jamais eu à me plaindre. 
Depuis 1 an, je suis passée à ma mutuelle d'entreprise obligatoire ; j'ai donc fait une demande de résiliation. 1 an après, quelle fut ma surprise de voir qu'il relance des prélèvements sur la prévoyance protection hospitalière ! J'apprends ce jour que lors de ma demande de résiliation il y a un an, ceci ne pouvait pas être résilié en même temps. En aucun cas on ne m'a informé de cette chose, je me retrouve avec des prélèvements contre mon grès pour encore 6 mois !!!! Pas professionnel du tout, tout ça pour gratter de l'argent ! De la communication envers les clients c'est la base ! Comment être dégoutée . </t>
  </si>
  <si>
    <t>jean-philippe-g-105440</t>
  </si>
  <si>
    <t>Satisfait, en espérant maintenir mon avis. Très bon accueil téléphonique et les conditions semblent correctes.
très satisfait de la réduction liée au parrainage</t>
  </si>
  <si>
    <t>gone92-79021</t>
  </si>
  <si>
    <t>affreux je ne recommanderai pas, j'en ferai une publicité déplorable. Je l'a fait déjà j'explique les recherches de refus de garantie, et l'appel client où le conseiller qui parlait un français approximatif était à la limite du mépris</t>
  </si>
  <si>
    <t>teddy-v-100794</t>
  </si>
  <si>
    <t>Conseillé notre écoute et très réactif. Revient vers nous pour nous donner les informations rapidement, prend le temps de nous expliquer les choses.
Juste il est dommage que par rapport au poids et à la taille de mon mari le tarif à augmenté de 2000euros alors que dans les autres organismes cette informations ne nous étiez même pas demandé</t>
  </si>
  <si>
    <t>30/11/2020</t>
  </si>
  <si>
    <t>victimeaxa-123274</t>
  </si>
  <si>
    <t>Bonjour à tous,
Axa vient de frapper à nouveau. 
Victime d’un sinistre et très mal remboursé. Ça vous dis de faire un boycott d’Axa !!! Et de tout faire pour prévenir les futurs assurés ! Mail à : m.mendy73@yahoo.com
Ça suffit il fait faire quelque chose.</t>
  </si>
  <si>
    <t>stecy-113588</t>
  </si>
  <si>
    <t>Super prise en charge lors de sinistre - rapide et pas d'avance de frais - personnes sérieuse - assurée en tout risque chez eux depuis 2016. Je recommande</t>
  </si>
  <si>
    <t>13/05/2021</t>
  </si>
  <si>
    <t>gretsch-66634</t>
  </si>
  <si>
    <t xml:space="preserve">Sociétaire à la Macif .
J'ai eu un sinistre causé par la grêle sur mes 3 véhicules (Mazda cx-5, Opel Mokka, Renault clio ) en date du 15/07/2018. 2 sont passés en expertise via plate forme le 2/08/2018. Quand à la clio elle verra l'expert le 12/09/2018 ( 2 mois après )
A ce jour après présentation de mes véhicules dans leur garage respectif ( opel et mazda) pour identifier les dégâts et comparer avec le rapport d'expertise ! c'est le calme plat ! rien ne bouge ! 
je vous laisse imaginer quant à la suite à donner concernant mes contrats avec la Macif qui sont aux nombres de 9 . 
Ils n'ont même pas la délicatesse de répondre aux émail envoyés sur leur site.. 
En date du 05/09/2018 mes véhicules ne sont toujours pas prévus pour leur réparation et ils sont à mon domicile.
Le Mazda est un véhicule neuf ! 2000 km !
le Mokka est un véhicule de 4 ans 13000 km ! ( neuf )  </t>
  </si>
  <si>
    <t>05/09/2018</t>
  </si>
  <si>
    <t>guyot-a-125121</t>
  </si>
  <si>
    <t>Très efficace pour obtenir un devis avec prix compétitifs et de nombreuses options intéressantes. Je recommande l'Olivier assurance à tous les conducteurs !</t>
  </si>
  <si>
    <t>landa-d-112869</t>
  </si>
  <si>
    <t>bon relationnel .prix et prestation bien place.assurance a suivre dans le temps au niveau de la gestion des dossiers.pas de recul a ce jour pour apporter un avis a ce sujet</t>
  </si>
  <si>
    <t>matheo-91671</t>
  </si>
  <si>
    <t xml:space="preserve">Assez satisfait j’aurai aimer payer un peut moins 
Site pratique, en espérant qu’en cas de problèmes tout ce passe bien car personne en face de nous pour les règles </t>
  </si>
  <si>
    <t>20/06/2020</t>
  </si>
  <si>
    <t>babou-63840</t>
  </si>
  <si>
    <t xml:space="preserve">J'habite au Maroc et je demande par courrier le rachat partiel de mon assurance vie. 15 jours après relance téléphonique (10mn d'attente) le courrier est bien arrivé mais le virement n'est pas fait. Devant mon insistance j'ai besoin de mon argent rapidement la même réponse laconique "je transmet au gestionnaire". Impossible de joindre CE gestionnaire si ce n'est.... par écrit! Conclusion je suis obligée d'emprunter à une amie en attendant mon virement. J'ai eu exactement le même problème en Juin 2017 </t>
  </si>
  <si>
    <t>07/05/2018</t>
  </si>
  <si>
    <t>pierreedouardtessier-137431</t>
  </si>
  <si>
    <t>Avant de signer chez la maaf lisez donc ceci : 
Nous avons souscris à un contrat d'assurance habitation pour une maison achetée le 20 juillet 2021 - et avons souscris à l'option « protection juridique pour vice caché ; car c'était une option qui « nous protégeait » selon les dire du commercial.
Dès la première nuit passée dans la maison, nous avons subit une inondation suite à un orage , nous avons déclaré un sinistre suite à cela. 
Un expert s'est déplacé. Entre temps nous avons subis un second dégâts des eaux consécutif à un deuxième orage. 
Nous avons signalé un deuxième sinistre à l'assurance sans déclarer le moindre dégât et avons activé la protection juridique. 
Suite au passage de l'expert, et d'un professionnel du bâtiment spécialisé, est conclu qu'un drain doit être posé à l'arrière de la maison sans quoi nous aurons des inondations à répétition. 
Début septembre et suite à la réception du rapport de l'expert , la Maaf de Roanne nous contact et nous indique par message Vocal « je ne sais pas depuis combien de temps vous avez la maison, ni même si c'est une maison ou un appartement (...) mais nous résilions votre contrat » .
Je contact la maaf , le Conseiller m'indique que ce n'est pas normal comme décision et « que c'est le serpent qui se mord la queue […] la décision a dû être prise sans connaissance du dossier » car nous avons activité la Protection juridique et signalé la suspicion de vice caché a peine 15 jours après l'achat.
Suite à mon appel nous avons le lendemain un rendez-vous en agence avec le Directeur. Cela fait 1 an que l'agence maaf n'a pas de directeur d'agence. Un responsable Occupe ce poste, nous avons donc été reçu par une conseillère.
Elle  prend le temps de nous écouter et nous indique qu'elle va défendre notre dossier auprès du responsable d'agence.  Malgré tout la Conseillère nous indique des énormités du style «  de toute façon l'assurance habitation n'est pas obligatoire ».
En attente d'une réponse définitive de la maaf concernant notre dossier, la protection juridique m'informe des démarches à suivre et ne comprends pas la décision de la résiliation unilatérale du contrat  qu'elle juge «  précipitée et anormale ». 
Une semaine plus tard et toujours sans nouvelle je recontacte l'agence , un conseiller m'indique « la décision n'est pas normale vous avez fait ce qu'il fallait , on va trouver une solution » 
Le soir même (jeudi 8 septembre 2021) le responsable de l'agence me contacte et me laisse un message pendant plus de 3 minutes m'indiquant «  que ses collaborateurs n'ont pas su m'expliquer la situation ( ce sont les seuls à avoir tenter de m'aider !) et que c'est suite au rapport de l'expert qu'il avait décidé de résilier mon contrat « que je ne trouverai pas d'autre assurance (...) mais qu'il me reprendrait avec plaisir des lors que les travaux seront réalisées  et qu'il n'y aura plus de risques ».
 J'avais fourni à l'agence une annexe au contrat de vente indiquant que je n'étais pas en zone inondable + le devis de l'entreprise pour la réalisation du drain concernant les travaux que je vais réaliser. 
Suite à l'écoute de ce message j'ai recontacter l'agence , un Conseiller m'a indique que la façon dont j'avais été traité était scandaleuse et a ouvert une réclamation. Aucun retour à ce jour !
A ce jour j'ai retrouvé une assurance habitation MOINS CHERE et avec une meilleure protection. J'ai résilié mes contrats voitures, mais là encore la maaf a fait preuve d'une honnêté étonnante :
Lors de la souscription de mon contrat habitation  et la maaf a réussi sans que je m'en rende compte à me faire signer un contrat de prévoyance indépendant du contrat habitation pour la somme de 160€. Bien évidemment je ne peux pas résilier ce contrat avant décembre car il est indépendant du contrat habitation. Etant étonné au téléphone, on m'indique que pour une souscription de l'assurance habitation en ligne, on indique en générale « oralement » que ce contrat est souscris ! 
On m'explique donc qu'on me radie de mon contrat habitation mais que le contrat de prévoyance souscris de manière très « borderline » n'est pas annulable malgré ma réclamation.
On devait me rappeler cet après-midi pour m'en dire plus sur la date de versement de mon sinistre « la maaf s'engage dans les 30 jours à vous rembourser » ! On ne m'a pas rappeler ! 
Y'a pas de doutes c'est la maaf que je préfère !</t>
  </si>
  <si>
    <t>sylvie007-57005</t>
  </si>
  <si>
    <t>La rapidité du traitement de dossier, de l'envoi des documents nécessaires rapide et de l'amabilité des interlocuteurs ainsi que leur connaissance à chaque questions posées. je conseille L'olivier tant bien pour leurs tarifs mais aussi leurs efficacités</t>
  </si>
  <si>
    <t>04/09/2017</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</si>
</sst>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5.71"/>
    <col customWidth="1" min="3" max="3" width="279.71"/>
    <col customWidth="1" min="4" max="8" width="8.71"/>
    <col customWidth="1" min="9" max="9" width="37.14"/>
    <col customWidth="1" min="10" max="26" width="8.71"/>
  </cols>
  <sheetData>
    <row r="1">
      <c r="A1" s="1" t="s">
        <v>0</v>
      </c>
      <c r="B1" s="1" t="s">
        <v>1</v>
      </c>
      <c r="C1" s="1" t="s">
        <v>2</v>
      </c>
      <c r="D1" s="1" t="s">
        <v>3</v>
      </c>
      <c r="E1" s="1" t="s">
        <v>4</v>
      </c>
      <c r="F1" s="1" t="s">
        <v>5</v>
      </c>
      <c r="G1" s="1" t="s">
        <v>6</v>
      </c>
      <c r="H1" s="1" t="s">
        <v>7</v>
      </c>
      <c r="I1" s="2" t="s">
        <v>8</v>
      </c>
      <c r="J1" s="1" t="s">
        <v>9</v>
      </c>
      <c r="K1" s="1" t="s">
        <v>10</v>
      </c>
    </row>
    <row r="2">
      <c r="A2" s="3">
        <v>4.0</v>
      </c>
      <c r="B2" s="3" t="s">
        <v>11</v>
      </c>
      <c r="C2" s="3" t="s">
        <v>12</v>
      </c>
      <c r="D2" s="3" t="s">
        <v>13</v>
      </c>
      <c r="E2" s="3" t="s">
        <v>14</v>
      </c>
      <c r="F2" s="3" t="s">
        <v>15</v>
      </c>
      <c r="G2" s="3" t="s">
        <v>16</v>
      </c>
      <c r="H2" s="3" t="s">
        <v>17</v>
      </c>
      <c r="I2" s="3" t="str">
        <f>IFERROR(__xludf.DUMMYFUNCTION("GOOGLETRANSLATE(C2,""fr"",""en"")"),"The person on the phone was clear and friendly she explained everything to me I would recommend your insurance without hesitation thank you to the person I contacted")</f>
        <v>The person on the phone was clear and friendly she explained everything to me I would recommend your insurance without hesitation thank you to the person I contacted</v>
      </c>
    </row>
    <row r="3">
      <c r="A3" s="3">
        <v>4.0</v>
      </c>
      <c r="B3" s="3" t="s">
        <v>18</v>
      </c>
      <c r="C3" s="3" t="s">
        <v>19</v>
      </c>
      <c r="D3" s="3" t="s">
        <v>20</v>
      </c>
      <c r="E3" s="3" t="s">
        <v>21</v>
      </c>
      <c r="F3" s="3" t="s">
        <v>15</v>
      </c>
      <c r="G3" s="3" t="s">
        <v>22</v>
      </c>
      <c r="H3" s="3" t="s">
        <v>23</v>
      </c>
      <c r="I3" s="3" t="str">
        <f>IFERROR(__xludf.DUMMYFUNCTION("GOOGLETRANSLATE(C3,""fr"",""en"")"),"Satisfied.
Reactivity, simplicity. Attractive price from a competition point of view. To see the responsiveness of the advisers if necessary. For the moment very satisfied.
")</f>
        <v>Satisfied.
Reactivity, simplicity. Attractive price from a competition point of view. To see the responsiveness of the advisers if necessary. For the moment very satisfied.
</v>
      </c>
    </row>
    <row r="4">
      <c r="A4" s="3">
        <v>1.0</v>
      </c>
      <c r="B4" s="3" t="s">
        <v>24</v>
      </c>
      <c r="C4" s="3" t="s">
        <v>25</v>
      </c>
      <c r="D4" s="3" t="s">
        <v>26</v>
      </c>
      <c r="E4" s="3" t="s">
        <v>27</v>
      </c>
      <c r="F4" s="3" t="s">
        <v>15</v>
      </c>
      <c r="G4" s="3" t="s">
        <v>28</v>
      </c>
      <c r="H4" s="3" t="s">
        <v>29</v>
      </c>
      <c r="I4" s="3" t="str">
        <f>IFERROR(__xludf.DUMMYFUNCTION("GOOGLETRANSLATE(C4,""fr"",""en"")"),"Insurer to flee, does not ensure its responsibilities! His insurance agent (SLR FINANCE) from Nice to make false contracts, no support, nothing, forced to make a lawsuit !!
 I will rot them on the web !!")</f>
        <v>Insurer to flee, does not ensure its responsibilities! His insurance agent (SLR FINANCE) from Nice to make false contracts, no support, nothing, forced to make a lawsuit !!
 I will rot them on the web !!</v>
      </c>
    </row>
    <row r="5">
      <c r="A5" s="3">
        <v>1.0</v>
      </c>
      <c r="B5" s="3" t="s">
        <v>30</v>
      </c>
      <c r="C5" s="3" t="s">
        <v>31</v>
      </c>
      <c r="D5" s="3" t="s">
        <v>32</v>
      </c>
      <c r="E5" s="3" t="s">
        <v>33</v>
      </c>
      <c r="F5" s="3" t="s">
        <v>15</v>
      </c>
      <c r="G5" s="3" t="s">
        <v>34</v>
      </c>
      <c r="H5" s="3" t="s">
        <v>35</v>
      </c>
      <c r="I5" s="3" t="str">
        <f>IFERROR(__xludf.DUMMYFUNCTION("GOOGLETRANSLATE(C5,""fr"",""en"")"),"The GMF has been waiting for a water damage for 3 months. I have several contracts at home, but more for a long time")</f>
        <v>The GMF has been waiting for a water damage for 3 months. I have several contracts at home, but more for a long time</v>
      </c>
    </row>
    <row r="6">
      <c r="A6" s="3">
        <v>3.0</v>
      </c>
      <c r="B6" s="3" t="s">
        <v>36</v>
      </c>
      <c r="C6" s="3" t="s">
        <v>37</v>
      </c>
      <c r="D6" s="3" t="s">
        <v>13</v>
      </c>
      <c r="E6" s="3" t="s">
        <v>14</v>
      </c>
      <c r="F6" s="3" t="s">
        <v>15</v>
      </c>
      <c r="G6" s="3" t="s">
        <v>38</v>
      </c>
      <c r="H6" s="3" t="s">
        <v>39</v>
      </c>
      <c r="I6" s="3" t="str">
        <f>IFERROR(__xludf.DUMMYFUNCTION("GOOGLETRANSLATE(C6,""fr"",""en"")"),"I am good with this insurance. She is practical at least. I find it what is the Miurre Insurance online. I must confirm my confidence on M Assurance l Olivier")</f>
        <v>I am good with this insurance. She is practical at least. I find it what is the Miurre Insurance online. I must confirm my confidence on M Assurance l Olivier</v>
      </c>
    </row>
    <row r="7">
      <c r="A7" s="3">
        <v>5.0</v>
      </c>
      <c r="B7" s="3" t="s">
        <v>40</v>
      </c>
      <c r="C7" s="3" t="s">
        <v>41</v>
      </c>
      <c r="D7" s="3" t="s">
        <v>42</v>
      </c>
      <c r="E7" s="3" t="s">
        <v>14</v>
      </c>
      <c r="F7" s="3" t="s">
        <v>15</v>
      </c>
      <c r="G7" s="3" t="s">
        <v>43</v>
      </c>
      <c r="H7" s="3" t="s">
        <v>44</v>
      </c>
      <c r="I7" s="3" t="str">
        <f>IFERROR(__xludf.DUMMYFUNCTION("GOOGLETRANSLATE(C7,""fr"",""en"")"),"The Drive Box is not very reliable.ca requests a lot of communication with the Team Service. By cons they are effective. Good product but need refinement.")</f>
        <v>The Drive Box is not very reliable.ca requests a lot of communication with the Team Service. By cons they are effective. Good product but need refinement.</v>
      </c>
    </row>
    <row r="8">
      <c r="A8" s="3">
        <v>5.0</v>
      </c>
      <c r="B8" s="3" t="s">
        <v>45</v>
      </c>
      <c r="C8" s="3" t="s">
        <v>46</v>
      </c>
      <c r="D8" s="3" t="s">
        <v>47</v>
      </c>
      <c r="E8" s="3" t="s">
        <v>14</v>
      </c>
      <c r="F8" s="3" t="s">
        <v>15</v>
      </c>
      <c r="G8" s="3" t="s">
        <v>48</v>
      </c>
      <c r="H8" s="3" t="s">
        <v>44</v>
      </c>
      <c r="I8" s="3" t="str">
        <f>IFERROR(__xludf.DUMMYFUNCTION("GOOGLETRANSLATE(C8,""fr"",""en"")"),"Unfortunately, I had to call on Pacifica for breakdowns several times and I have always been very satisfied with their service.
Keeping on waiting times, with follow -up
Verification for possible troubleshooting
Driving my vehicle at the repairer of my"&amp;" choice")</f>
        <v>Unfortunately, I had to call on Pacifica for breakdowns several times and I have always been very satisfied with their service.
Keeping on waiting times, with follow -up
Verification for possible troubleshooting
Driving my vehicle at the repairer of my choice</v>
      </c>
    </row>
    <row r="9">
      <c r="A9" s="3">
        <v>4.0</v>
      </c>
      <c r="B9" s="3" t="s">
        <v>49</v>
      </c>
      <c r="C9" s="3" t="s">
        <v>50</v>
      </c>
      <c r="D9" s="3" t="s">
        <v>47</v>
      </c>
      <c r="E9" s="3" t="s">
        <v>14</v>
      </c>
      <c r="F9" s="3" t="s">
        <v>15</v>
      </c>
      <c r="G9" s="3" t="s">
        <v>51</v>
      </c>
      <c r="H9" s="3" t="s">
        <v>52</v>
      </c>
      <c r="I9" s="3" t="str">
        <f>IFERROR(__xludf.DUMMYFUNCTION("GOOGLETRANSLATE(C9,""fr"",""en"")"),"Following my ice broken the treatment of it was perfect the reimbursement happened to me 4 days after my shipment.
Very satisfied.
Very happy with your performances.
thank you")</f>
        <v>Following my ice broken the treatment of it was perfect the reimbursement happened to me 4 days after my shipment.
Very satisfied.
Very happy with your performances.
thank you</v>
      </c>
    </row>
    <row r="10">
      <c r="A10" s="3">
        <v>1.0</v>
      </c>
      <c r="B10" s="3" t="s">
        <v>53</v>
      </c>
      <c r="C10" s="3" t="s">
        <v>54</v>
      </c>
      <c r="D10" s="3" t="s">
        <v>55</v>
      </c>
      <c r="E10" s="3" t="s">
        <v>14</v>
      </c>
      <c r="F10" s="3" t="s">
        <v>15</v>
      </c>
      <c r="G10" s="3" t="s">
        <v>56</v>
      </c>
      <c r="H10" s="3" t="s">
        <v>56</v>
      </c>
      <c r="I10" s="3" t="str">
        <f>IFERROR(__xludf.DUMMYFUNCTION("GOOGLETRANSLATE(C10,""fr"",""en"")"),"Hello, currently I am at Active Insurance under the number 164900 and for almost a year my new insurance has been trying to terminate with the Hamon laws without success each time it is missing a truck and lately I am hung on the nose three times in a row"&amp;" and I I sent emails and of course no rethink. To flee to flee")</f>
        <v>Hello, currently I am at Active Insurance under the number 164900 and for almost a year my new insurance has been trying to terminate with the Hamon laws without success each time it is missing a truck and lately I am hung on the nose three times in a row and I I sent emails and of course no rethink. To flee to flee</v>
      </c>
    </row>
    <row r="11">
      <c r="A11" s="3">
        <v>1.0</v>
      </c>
      <c r="B11" s="3" t="s">
        <v>57</v>
      </c>
      <c r="C11" s="3" t="s">
        <v>58</v>
      </c>
      <c r="D11" s="3" t="s">
        <v>26</v>
      </c>
      <c r="E11" s="3" t="s">
        <v>27</v>
      </c>
      <c r="F11" s="3" t="s">
        <v>15</v>
      </c>
      <c r="G11" s="3" t="s">
        <v>59</v>
      </c>
      <c r="H11" s="3" t="s">
        <v>60</v>
      </c>
      <c r="I11" s="3" t="str">
        <f>IFERROR(__xludf.DUMMYFUNCTION("GOOGLETRANSLATE(C11,""fr"",""en"")")," My mother has died for several months and still no reversion (missing piece ... My sister received her share 2 days ago and the files were sent in the same mail - look for the error)")</f>
        <v> My mother has died for several months and still no reversion (missing piece ... My sister received her share 2 days ago and the files were sent in the same mail - look for the error)</v>
      </c>
    </row>
    <row r="12">
      <c r="A12" s="3">
        <v>1.0</v>
      </c>
      <c r="B12" s="3" t="s">
        <v>61</v>
      </c>
      <c r="C12" s="3" t="s">
        <v>62</v>
      </c>
      <c r="D12" s="3" t="s">
        <v>63</v>
      </c>
      <c r="E12" s="3" t="s">
        <v>64</v>
      </c>
      <c r="F12" s="3" t="s">
        <v>15</v>
      </c>
      <c r="G12" s="3" t="s">
        <v>65</v>
      </c>
      <c r="H12" s="3" t="s">
        <v>66</v>
      </c>
      <c r="I12" s="3" t="str">
        <f>IFERROR(__xludf.DUMMYFUNCTION("GOOGLETRANSLATE(C12,""fr"",""en"")"),"After several declaration of cracks and micro cracks on a new house since reception, Smabtp persists to say that it is aesthetic, while one of the cracks is crossing therefore structural even if it is not infiltrating paying insurance that minimizes damag"&amp;"e we are Really disappointed. Even the platingist does not want to intervene for ceiling wall connections because he warned the manufacturer to solve the structural problem first, the plaster supplier also says that the cracks are due to the work of mason"&amp;"ry.")</f>
        <v>After several declaration of cracks and micro cracks on a new house since reception, Smabtp persists to say that it is aesthetic, while one of the cracks is crossing therefore structural even if it is not infiltrating paying insurance that minimizes damage we are Really disappointed. Even the platingist does not want to intervene for ceiling wall connections because he warned the manufacturer to solve the structural problem first, the plaster supplier also says that the cracks are due to the work of masonry.</v>
      </c>
    </row>
    <row r="13">
      <c r="A13" s="3">
        <v>2.0</v>
      </c>
      <c r="B13" s="3" t="s">
        <v>67</v>
      </c>
      <c r="C13" s="3" t="s">
        <v>68</v>
      </c>
      <c r="D13" s="3" t="s">
        <v>69</v>
      </c>
      <c r="E13" s="3" t="s">
        <v>14</v>
      </c>
      <c r="F13" s="3" t="s">
        <v>15</v>
      </c>
      <c r="G13" s="3" t="s">
        <v>70</v>
      </c>
      <c r="H13" s="3" t="s">
        <v>71</v>
      </c>
      <c r="I13" s="3" t="str">
        <f>IFERROR(__xludf.DUMMYFUNCTION("GOOGLETRANSLATE(C13,""fr"",""en"")"),"WARNING ! WARNING ! In the 1st claim you are terminated at the due date of your contract C is what has just happened to me following a loss of EUR 1500 after being a customer for 10 years without a claim, with all the consequences that this entails becaus"&amp;"e then you are Declared in the file of terminated contracts and no one wants to assure you or with exorbitant premiums. Below my letter of complaint that followed.
                                                                                          "&amp;"                                                                                                        Dear,
By mail received this day, you inform me of the impossibility of renewing my automotive insurance contract for the coming period and you notify "&amp;"me the termination without defined object.
Faithful customer since 2011 having always been satisfied until then, having never been delay in the payment of my contributions and a single claim 2027497 (1,500 EUR) recently in September (due to a bad hand br"&amp;"ake my vehicle being When I stop), I do not hide my surprise from you to receive such a letter.
I remind you that my damage damage is reduced by 100%, following its reduction of 10% per year due to the absence of a claim since I was a customer at home.
"&amp;"My surprise is all the greater since during the declaration of the disaster, my interlocutor told me that I would not have to pay for care without a franchise and that there would be no impact On my contract.
I therefore ask you to review your position a"&amp;"nd tell me about your decision as quickly as possible.
Pending to read you, please accept, madam, sir, the expression of my distinguished feelings.
                                                                                                         "&amp;"                                                                                                                      I specify that I have just received the response to my mail and that they maintain their position.
")</f>
        <v>WARNING ! WARNING ! In the 1st claim you are terminated at the due date of your contract C is what has just happened to me following a loss of EUR 1500 after being a customer for 10 years without a claim, with all the consequences that this entails because then you are Declared in the file of terminated contracts and no one wants to assure you or with exorbitant premiums. Below my letter of complaint that followed.
                                                                                                                                                                                                  Dear,
By mail received this day, you inform me of the impossibility of renewing my automotive insurance contract for the coming period and you notify me the termination without defined object.
Faithful customer since 2011 having always been satisfied until then, having never been delay in the payment of my contributions and a single claim 2027497 (1,500 EUR) recently in September (due to a bad hand brake my vehicle being When I stop), I do not hide my surprise from you to receive such a letter.
I remind you that my damage damage is reduced by 100%, following its reduction of 10% per year due to the absence of a claim since I was a customer at home.
My surprise is all the greater since during the declaration of the disaster, my interlocutor told me that I would not have to pay for care without a franchise and that there would be no impact On my contract.
I therefore ask you to review your position and tell me about your decision as quickly as possible.
Pending to read you, please accept, madam, sir, the expression of my distinguished feelings.
                                                                                                                                                                                                                               I specify that I have just received the response to my mail and that they maintain their position.
</v>
      </c>
    </row>
    <row r="14">
      <c r="A14" s="3">
        <v>4.0</v>
      </c>
      <c r="B14" s="3" t="s">
        <v>72</v>
      </c>
      <c r="C14" s="3" t="s">
        <v>73</v>
      </c>
      <c r="D14" s="3" t="s">
        <v>42</v>
      </c>
      <c r="E14" s="3" t="s">
        <v>14</v>
      </c>
      <c r="F14" s="3" t="s">
        <v>15</v>
      </c>
      <c r="G14" s="3" t="s">
        <v>74</v>
      </c>
      <c r="H14" s="3" t="s">
        <v>75</v>
      </c>
      <c r="I14" s="3" t="str">
        <f>IFERROR(__xludf.DUMMYFUNCTION("GOOGLETRANSLATE(C14,""fr"",""en"")"),"Very professional exchange very satisfied at Direct Insurance Recommended reactive by email and telephone. The only ones to have made me an insurance proposal")</f>
        <v>Very professional exchange very satisfied at Direct Insurance Recommended reactive by email and telephone. The only ones to have made me an insurance proposal</v>
      </c>
    </row>
    <row r="15">
      <c r="A15" s="3">
        <v>2.0</v>
      </c>
      <c r="B15" s="3" t="s">
        <v>76</v>
      </c>
      <c r="C15" s="3" t="s">
        <v>77</v>
      </c>
      <c r="D15" s="3" t="s">
        <v>78</v>
      </c>
      <c r="E15" s="3" t="s">
        <v>14</v>
      </c>
      <c r="F15" s="3" t="s">
        <v>15</v>
      </c>
      <c r="G15" s="3" t="s">
        <v>35</v>
      </c>
      <c r="H15" s="3" t="s">
        <v>35</v>
      </c>
      <c r="I15" s="3" t="str">
        <f>IFERROR(__xludf.DUMMYFUNCTION("GOOGLETRANSLATE(C15,""fr"",""en"")"),"To flee it yé I left I could not wait 2 years at the beginning I wanted to stay 2 years the I could more I made the competition play and I won 24 euros per month farewell Allianz forever")</f>
        <v>To flee it yé I left I could not wait 2 years at the beginning I wanted to stay 2 years the I could more I made the competition play and I won 24 euros per month farewell Allianz forever</v>
      </c>
    </row>
    <row r="16">
      <c r="A16" s="3">
        <v>1.0</v>
      </c>
      <c r="B16" s="3" t="s">
        <v>79</v>
      </c>
      <c r="C16" s="3" t="s">
        <v>80</v>
      </c>
      <c r="D16" s="3" t="s">
        <v>81</v>
      </c>
      <c r="E16" s="3" t="s">
        <v>14</v>
      </c>
      <c r="F16" s="3" t="s">
        <v>15</v>
      </c>
      <c r="G16" s="3" t="s">
        <v>82</v>
      </c>
      <c r="H16" s="3" t="s">
        <v>23</v>
      </c>
      <c r="I16" s="3" t="str">
        <f>IFERROR(__xludf.DUMMYFUNCTION("GOOGLETRANSLATE(C16,""fr"",""en"")"),"No customer of the Macif I had the unpleasant surprise to see for 3 months my bank account debited by the Macif for contracts apparently taken by customers of this mutual. I have never communicated my RIB to the Macif and of course have never signed any l"&amp;"evy authorization on my account. 2 times I wrote to the siege so that these industrial withdrawals stop and that explanations are given to me as to the origin of these withdrawals and the measures taken that such a thing does not happen again. I have neve"&amp;"r had an answer (let's not talk about an excuse) and had to ask my bank to refuse in the future any new withdrawal emanating from the Macif. Such an attitude is simply scandalous and I understand the low note that the customers of this mutual give it. For"&amp;" me it is a zero pointed. GP")</f>
        <v>No customer of the Macif I had the unpleasant surprise to see for 3 months my bank account debited by the Macif for contracts apparently taken by customers of this mutual. I have never communicated my RIB to the Macif and of course have never signed any levy authorization on my account. 2 times I wrote to the siege so that these industrial withdrawals stop and that explanations are given to me as to the origin of these withdrawals and the measures taken that such a thing does not happen again. I have never had an answer (let's not talk about an excuse) and had to ask my bank to refuse in the future any new withdrawal emanating from the Macif. Such an attitude is simply scandalous and I understand the low note that the customers of this mutual give it. For me it is a zero pointed. GP</v>
      </c>
    </row>
    <row r="17">
      <c r="A17" s="3">
        <v>4.0</v>
      </c>
      <c r="B17" s="3" t="s">
        <v>83</v>
      </c>
      <c r="C17" s="3" t="s">
        <v>84</v>
      </c>
      <c r="D17" s="3" t="s">
        <v>42</v>
      </c>
      <c r="E17" s="3" t="s">
        <v>14</v>
      </c>
      <c r="F17" s="3" t="s">
        <v>15</v>
      </c>
      <c r="G17" s="3" t="s">
        <v>85</v>
      </c>
      <c r="H17" s="3" t="s">
        <v>86</v>
      </c>
      <c r="I17" s="3" t="str">
        <f>IFERROR(__xludf.DUMMYFUNCTION("GOOGLETRANSLATE(C17,""fr"",""en"")"),"Super site and really advantages compared to others I am happy to have subscribed to Direct Assurance. I hope all will go well but I trust")</f>
        <v>Super site and really advantages compared to others I am happy to have subscribed to Direct Assurance. I hope all will go well but I trust</v>
      </c>
    </row>
    <row r="18">
      <c r="A18" s="3">
        <v>1.0</v>
      </c>
      <c r="B18" s="3" t="s">
        <v>87</v>
      </c>
      <c r="C18" s="3" t="s">
        <v>88</v>
      </c>
      <c r="D18" s="3" t="s">
        <v>89</v>
      </c>
      <c r="E18" s="3" t="s">
        <v>14</v>
      </c>
      <c r="F18" s="3" t="s">
        <v>15</v>
      </c>
      <c r="G18" s="3" t="s">
        <v>90</v>
      </c>
      <c r="H18" s="3" t="s">
        <v>91</v>
      </c>
      <c r="I18" s="3" t="str">
        <f>IFERROR(__xludf.DUMMYFUNCTION("GOOGLETRANSLATE(C18,""fr"",""en"")"),"Insurance leaves to desire I have made an error in rrjôihnant this company resilier without real reason Aplay that I have contact customer service to tell them my discontent
On the unavailability of my subscriber space and for that I have been threwed li"&amp;"ke a thug when I have been a customer since 1997 in any case I would do what seems right to me and denocate this action")</f>
        <v>Insurance leaves to desire I have made an error in rrjôihnant this company resilier without real reason Aplay that I have contact customer service to tell them my discontent
On the unavailability of my subscriber space and for that I have been threwed like a thug when I have been a customer since 1997 in any case I would do what seems right to me and denocate this action</v>
      </c>
    </row>
    <row r="19">
      <c r="A19" s="3">
        <v>5.0</v>
      </c>
      <c r="B19" s="3" t="s">
        <v>92</v>
      </c>
      <c r="C19" s="3" t="s">
        <v>93</v>
      </c>
      <c r="D19" s="3" t="s">
        <v>13</v>
      </c>
      <c r="E19" s="3" t="s">
        <v>14</v>
      </c>
      <c r="F19" s="3" t="s">
        <v>15</v>
      </c>
      <c r="G19" s="3" t="s">
        <v>94</v>
      </c>
      <c r="H19" s="3" t="s">
        <v>75</v>
      </c>
      <c r="I19" s="3" t="str">
        <f>IFERROR(__xludf.DUMMYFUNCTION("GOOGLETRANSLATE(C19,""fr"",""en"")"),"Very good insurance good value for money. I highly recommend this
 olive insurance. For my Polo V there is no better.")</f>
        <v>Very good insurance good value for money. I highly recommend this
 olive insurance. For my Polo V there is no better.</v>
      </c>
    </row>
    <row r="20">
      <c r="A20" s="3">
        <v>5.0</v>
      </c>
      <c r="B20" s="3" t="s">
        <v>95</v>
      </c>
      <c r="C20" s="3" t="s">
        <v>96</v>
      </c>
      <c r="D20" s="3" t="s">
        <v>97</v>
      </c>
      <c r="E20" s="3" t="s">
        <v>98</v>
      </c>
      <c r="F20" s="3" t="s">
        <v>15</v>
      </c>
      <c r="G20" s="3" t="s">
        <v>99</v>
      </c>
      <c r="H20" s="3" t="s">
        <v>100</v>
      </c>
      <c r="I20" s="3" t="str">
        <f>IFERROR(__xludf.DUMMYFUNCTION("GOOGLETRANSLATE(C20,""fr"",""en"")"),"A very good mutual that reimbursed me very quickly the surgeon's surgeon.")</f>
        <v>A very good mutual that reimbursed me very quickly the surgeon's surgeon.</v>
      </c>
    </row>
    <row r="21" ht="15.75" customHeight="1">
      <c r="A21" s="3">
        <v>4.0</v>
      </c>
      <c r="B21" s="3" t="s">
        <v>101</v>
      </c>
      <c r="C21" s="3" t="s">
        <v>102</v>
      </c>
      <c r="D21" s="3" t="s">
        <v>103</v>
      </c>
      <c r="E21" s="3" t="s">
        <v>98</v>
      </c>
      <c r="F21" s="3" t="s">
        <v>15</v>
      </c>
      <c r="G21" s="3" t="s">
        <v>104</v>
      </c>
      <c r="H21" s="3" t="s">
        <v>105</v>
      </c>
      <c r="I21" s="3" t="str">
        <f>IFERROR(__xludf.DUMMYFUNCTION("GOOGLETRANSLATE(C21,""fr"",""en"")"),"The member of the MGP since 1978 and I have never encountered the slightest problem. His employees are always listening for the slightest information and always with kindness and professionalism.")</f>
        <v>The member of the MGP since 1978 and I have never encountered the slightest problem. His employees are always listening for the slightest information and always with kindness and professionalism.</v>
      </c>
    </row>
    <row r="22" ht="15.75" customHeight="1">
      <c r="A22" s="3">
        <v>2.0</v>
      </c>
      <c r="B22" s="3" t="s">
        <v>106</v>
      </c>
      <c r="C22" s="3" t="s">
        <v>107</v>
      </c>
      <c r="D22" s="3" t="s">
        <v>108</v>
      </c>
      <c r="E22" s="3" t="s">
        <v>109</v>
      </c>
      <c r="F22" s="3" t="s">
        <v>15</v>
      </c>
      <c r="G22" s="3" t="s">
        <v>110</v>
      </c>
      <c r="H22" s="3" t="s">
        <v>111</v>
      </c>
      <c r="I22" s="3" t="str">
        <f>IFERROR(__xludf.DUMMYFUNCTION("GOOGLETRANSLATE(C22,""fr"",""en"")"),"Incompetent commercial does not specify that there is a deductible of 20 euros and very casual advisor and not kind at all")</f>
        <v>Incompetent commercial does not specify that there is a deductible of 20 euros and very casual advisor and not kind at all</v>
      </c>
    </row>
    <row r="23" ht="15.75" customHeight="1">
      <c r="A23" s="3">
        <v>3.0</v>
      </c>
      <c r="B23" s="3" t="s">
        <v>112</v>
      </c>
      <c r="C23" s="3" t="s">
        <v>113</v>
      </c>
      <c r="D23" s="3" t="s">
        <v>20</v>
      </c>
      <c r="E23" s="3" t="s">
        <v>21</v>
      </c>
      <c r="F23" s="3" t="s">
        <v>15</v>
      </c>
      <c r="G23" s="3" t="s">
        <v>114</v>
      </c>
      <c r="H23" s="3" t="s">
        <v>115</v>
      </c>
      <c r="I23" s="3" t="str">
        <f>IFERROR(__xludf.DUMMYFUNCTION("GOOGLETRANSLATE(C23,""fr"",""en"")"),"I am very satisfied with their productions and prices I am therefore assure at home for ma.moto I would share with friends of your offers to very good price")</f>
        <v>I am very satisfied with their productions and prices I am therefore assure at home for ma.moto I would share with friends of your offers to very good price</v>
      </c>
    </row>
    <row r="24" ht="15.75" customHeight="1">
      <c r="A24" s="3">
        <v>2.0</v>
      </c>
      <c r="B24" s="3" t="s">
        <v>116</v>
      </c>
      <c r="C24" s="3" t="s">
        <v>117</v>
      </c>
      <c r="D24" s="3" t="s">
        <v>13</v>
      </c>
      <c r="E24" s="3" t="s">
        <v>14</v>
      </c>
      <c r="F24" s="3" t="s">
        <v>15</v>
      </c>
      <c r="G24" s="3" t="s">
        <v>118</v>
      </c>
      <c r="H24" s="3" t="s">
        <v>119</v>
      </c>
      <c r="I24" s="3" t="str">
        <f>IFERROR(__xludf.DUMMYFUNCTION("GOOGLETRANSLATE(C24,""fr"",""en"")"),"Customer at L'Olivier since 2012 with several cars, I learned this summer following a slight clash in Morocco (not responsible) that I was not insured. Yet I have an all risk contract option 0 km.
After several calls from Morocco, the olive tree told me "&amp;"that since 2016, it has no longer assumed Morocco, because they have had administrative problems and that it was up to me to look at the cross they had put on the green card.
Yet at no time did I received an email or a letter from their part stipulating "&amp;"the modification of the contract for the non -management of Morocco. Otherwise I will be part of competition. The olive tree has understood this and to hide its customers these changes.
If we can call us customers, because for the olive tree to have no a"&amp;"dministrative constraints, they prefer to put us in the petrin. I don't stop thinking about it, if I had overthrown a person or if my family had been injured in which kneader we would be. But, as long as the oliver has no administrative problems everythin"&amp;"g is fine for them. The oliver advised me to find insurance in Morocco during my vacation because I found myself blocked, without insurance. Problème, the insurances told me that they had an agreement with France and that it could not Ensure me. So I stay"&amp;"ed without being able to use my vehicle and I had to take risks to leave Morocco, while I subscribed insurance from the olive tree.
However, on the back of the green map, there is indeed the address of an agency in Morocco to contact in the event of a cl"&amp;"aim. I tried to make them understand that when you decide to no longer ensure a country it is not trivial and that at least you had to have an amendment and make a global communication to all customers. But, it remains limited on the cross on the green ma"&amp;"p. An example: when I buy food, I look at the ingredients on the first day, if the ingredients change, it is written in large new recipe. But for the olive tree you have to look at the ingredients every time. Otherwise it doesn't count.
I wait for the da"&amp;"y they put a cross on Spain in their green map.
I decided to take action with consumer associations so that they are obliged to inform their customers for such changes and make them take charge of repairs on my vehicle. If necessary, I will go to justice"&amp;".
If other people are in the same situation as me, I invite them to join me.
In the meantime, I will use double the energy I have put in to advertise them before this mishap, to show their true face")</f>
        <v>Customer at L'Olivier since 2012 with several cars, I learned this summer following a slight clash in Morocco (not responsible) that I was not insured. Yet I have an all risk contract option 0 km.
After several calls from Morocco, the olive tree told me that since 2016, it has no longer assumed Morocco, because they have had administrative problems and that it was up to me to look at the cross they had put on the green card.
Yet at no time did I received an email or a letter from their part stipulating the modification of the contract for the non -management of Morocco. Otherwise I will be part of competition. The olive tree has understood this and to hide its customers these changes.
If we can call us customers, because for the olive tree to have no administrative constraints, they prefer to put us in the petrin. I don't stop thinking about it, if I had overthrown a person or if my family had been injured in which kneader we would be. But, as long as the oliver has no administrative problems everything is fine for them. The oliver advised me to find insurance in Morocco during my vacation because I found myself blocked, without insurance. Problème, the insurances told me that they had an agreement with France and that it could not Ensure me. So I stayed without being able to use my vehicle and I had to take risks to leave Morocco, while I subscribed insurance from the olive tree.
However, on the back of the green map, there is indeed the address of an agency in Morocco to contact in the event of a claim. I tried to make them understand that when you decide to no longer ensure a country it is not trivial and that at least you had to have an amendment and make a global communication to all customers. But, it remains limited on the cross on the green map. An example: when I buy food, I look at the ingredients on the first day, if the ingredients change, it is written in large new recipe. But for the olive tree you have to look at the ingredients every time. Otherwise it doesn't count.
I wait for the day they put a cross on Spain in their green map.
I decided to take action with consumer associations so that they are obliged to inform their customers for such changes and make them take charge of repairs on my vehicle. If necessary, I will go to justice.
If other people are in the same situation as me, I invite them to join me.
In the meantime, I will use double the energy I have put in to advertise them before this mishap, to show their true face</v>
      </c>
    </row>
    <row r="25" ht="15.75" customHeight="1">
      <c r="A25" s="3">
        <v>3.0</v>
      </c>
      <c r="B25" s="3" t="s">
        <v>120</v>
      </c>
      <c r="C25" s="3" t="s">
        <v>121</v>
      </c>
      <c r="D25" s="3" t="s">
        <v>122</v>
      </c>
      <c r="E25" s="3" t="s">
        <v>27</v>
      </c>
      <c r="F25" s="3" t="s">
        <v>15</v>
      </c>
      <c r="G25" s="3" t="s">
        <v>123</v>
      </c>
      <c r="H25" s="3" t="s">
        <v>124</v>
      </c>
      <c r="I25" s="3" t="str">
        <f>IFERROR(__xludf.DUMMYFUNCTION("GOOGLETRANSLATE(C25,""fr"",""en"")"),"Holder of ASAC Fapès life insurance for over 8 years, I recommend this operator. Indeed I cannot get the overall buy -back of my life insurance. Unacceptable")</f>
        <v>Holder of ASAC Fapès life insurance for over 8 years, I recommend this operator. Indeed I cannot get the overall buy -back of my life insurance. Unacceptable</v>
      </c>
    </row>
    <row r="26" ht="15.75" customHeight="1">
      <c r="A26" s="3">
        <v>5.0</v>
      </c>
      <c r="B26" s="3" t="s">
        <v>125</v>
      </c>
      <c r="C26" s="3" t="s">
        <v>126</v>
      </c>
      <c r="D26" s="3" t="s">
        <v>42</v>
      </c>
      <c r="E26" s="3" t="s">
        <v>14</v>
      </c>
      <c r="F26" s="3" t="s">
        <v>15</v>
      </c>
      <c r="G26" s="3" t="s">
        <v>127</v>
      </c>
      <c r="H26" s="3" t="s">
        <v>39</v>
      </c>
      <c r="I26" s="3" t="str">
        <f>IFERROR(__xludf.DUMMYFUNCTION("GOOGLETRANSLATE(C26,""fr"",""en"")"),"I am satisfied with direct insurance really cheap and always present either for information or requests good continuation direct insurance")</f>
        <v>I am satisfied with direct insurance really cheap and always present either for information or requests good continuation direct insurance</v>
      </c>
    </row>
    <row r="27" ht="15.75" customHeight="1">
      <c r="A27" s="3">
        <v>2.0</v>
      </c>
      <c r="B27" s="3" t="s">
        <v>128</v>
      </c>
      <c r="C27" s="3" t="s">
        <v>129</v>
      </c>
      <c r="D27" s="3" t="s">
        <v>13</v>
      </c>
      <c r="E27" s="3" t="s">
        <v>14</v>
      </c>
      <c r="F27" s="3" t="s">
        <v>15</v>
      </c>
      <c r="G27" s="3" t="s">
        <v>130</v>
      </c>
      <c r="H27" s="3" t="s">
        <v>131</v>
      </c>
      <c r="I27" s="3" t="str">
        <f>IFERROR(__xludf.DUMMYFUNCTION("GOOGLETRANSLATE(C27,""fr"",""en"")"),"If you are looking for car insurance, I strongly advise against the olive tree. They carried me responsible for a disaster without trying to make expertise, they listened to nothing and even died from me on the phone ""Can you read your emails?"". I close"&amp;"d my door, it had to be open by another 20 degrees when it happened, and a driver made a gap on the road, he damaged the bottom wearing while wanting to avoid my vehicle at the last moment. This driver has of course recognized his wrongs and we have fille"&amp;"d the observation together. The olive tree did not want to hear anything and declared me 100% responsible. In misunderstanding I called opposing insurance and they told me that not at all, I was absolutely not responsible. I have to fight against my own a"&amp;"ssurance so that she does not sink me, do you find it normal? You know why ? Because I have neither bonus nor penalties and I am guaranteed at least, which brings them a lot of money since in addition to replacing my door, they take me a franchise and a p"&amp;"enalty. I change insurance as soon as possible, even if I have to pay the double, as long as I can trust them.")</f>
        <v>If you are looking for car insurance, I strongly advise against the olive tree. They carried me responsible for a disaster without trying to make expertise, they listened to nothing and even died from me on the phone "Can you read your emails?". I closed my door, it had to be open by another 20 degrees when it happened, and a driver made a gap on the road, he damaged the bottom wearing while wanting to avoid my vehicle at the last moment. This driver has of course recognized his wrongs and we have filled the observation together. The olive tree did not want to hear anything and declared me 100% responsible. In misunderstanding I called opposing insurance and they told me that not at all, I was absolutely not responsible. I have to fight against my own assurance so that she does not sink me, do you find it normal? You know why ? Because I have neither bonus nor penalties and I am guaranteed at least, which brings them a lot of money since in addition to replacing my door, they take me a franchise and a penalty. I change insurance as soon as possible, even if I have to pay the double, as long as I can trust them.</v>
      </c>
    </row>
    <row r="28" ht="15.75" customHeight="1">
      <c r="A28" s="3">
        <v>3.0</v>
      </c>
      <c r="B28" s="3" t="s">
        <v>132</v>
      </c>
      <c r="C28" s="3" t="s">
        <v>133</v>
      </c>
      <c r="D28" s="3" t="s">
        <v>42</v>
      </c>
      <c r="E28" s="3" t="s">
        <v>14</v>
      </c>
      <c r="F28" s="3" t="s">
        <v>15</v>
      </c>
      <c r="G28" s="3" t="s">
        <v>134</v>
      </c>
      <c r="H28" s="3" t="s">
        <v>86</v>
      </c>
      <c r="I28" s="3" t="str">
        <f>IFERROR(__xludf.DUMMYFUNCTION("GOOGLETRANSLATE(C28,""fr"",""en"")"),"The year of my subscription I got a good price being a good 50 % for 2 years.
My big surprise the following year was to see my premium increased by more than 8% when I had no claim and the confinement led other insurers to lower their prices since we use"&amp;"d our vehicles much less And that the number of claims has dropped.
I expect from seeing how much my next premium will rise in June 2021, since again I did not declare the shadow of a disaster.")</f>
        <v>The year of my subscription I got a good price being a good 50 % for 2 years.
My big surprise the following year was to see my premium increased by more than 8% when I had no claim and the confinement led other insurers to lower their prices since we used our vehicles much less And that the number of claims has dropped.
I expect from seeing how much my next premium will rise in June 2021, since again I did not declare the shadow of a disaster.</v>
      </c>
    </row>
    <row r="29" ht="15.75" customHeight="1">
      <c r="A29" s="3">
        <v>4.0</v>
      </c>
      <c r="B29" s="3" t="s">
        <v>135</v>
      </c>
      <c r="C29" s="3" t="s">
        <v>136</v>
      </c>
      <c r="D29" s="3" t="s">
        <v>13</v>
      </c>
      <c r="E29" s="3" t="s">
        <v>14</v>
      </c>
      <c r="F29" s="3" t="s">
        <v>15</v>
      </c>
      <c r="G29" s="3" t="s">
        <v>137</v>
      </c>
      <c r="H29" s="3" t="s">
        <v>23</v>
      </c>
      <c r="I29" s="3" t="str">
        <f>IFERROR(__xludf.DUMMYFUNCTION("GOOGLETRANSLATE(C29,""fr"",""en"")"),"I am satisfied with the ease of registration. This seems to be good omen for the future. Pending all of the documents. Thank you")</f>
        <v>I am satisfied with the ease of registration. This seems to be good omen for the future. Pending all of the documents. Thank you</v>
      </c>
    </row>
    <row r="30" ht="15.75" customHeight="1">
      <c r="A30" s="3">
        <v>4.0</v>
      </c>
      <c r="B30" s="3" t="s">
        <v>138</v>
      </c>
      <c r="C30" s="3" t="s">
        <v>139</v>
      </c>
      <c r="D30" s="3" t="s">
        <v>140</v>
      </c>
      <c r="E30" s="3" t="s">
        <v>98</v>
      </c>
      <c r="F30" s="3" t="s">
        <v>15</v>
      </c>
      <c r="G30" s="3" t="s">
        <v>141</v>
      </c>
      <c r="H30" s="3" t="s">
        <v>142</v>
      </c>
      <c r="I30" s="3" t="str">
        <f>IFERROR(__xludf.DUMMYFUNCTION("GOOGLETRANSLATE(C30,""fr"",""en"")"),"Santiane appears to be more able to find the right health insurance contract. Now we will have to see in the future if all the guarantees really meet the needs, and then modify the Conrtrat.")</f>
        <v>Santiane appears to be more able to find the right health insurance contract. Now we will have to see in the future if all the guarantees really meet the needs, and then modify the Conrtrat.</v>
      </c>
    </row>
    <row r="31" ht="15.75" customHeight="1">
      <c r="A31" s="3">
        <v>5.0</v>
      </c>
      <c r="B31" s="3" t="s">
        <v>143</v>
      </c>
      <c r="C31" s="3" t="s">
        <v>144</v>
      </c>
      <c r="D31" s="3" t="s">
        <v>13</v>
      </c>
      <c r="E31" s="3" t="s">
        <v>14</v>
      </c>
      <c r="F31" s="3" t="s">
        <v>15</v>
      </c>
      <c r="G31" s="3" t="s">
        <v>145</v>
      </c>
      <c r="H31" s="3" t="s">
        <v>17</v>
      </c>
      <c r="I31" s="3" t="str">
        <f>IFERROR(__xludf.DUMMYFUNCTION("GOOGLETRANSLATE(C31,""fr"",""en"")"),"I am satisfied with the advantageous prices offered, as well as the speed of procedures to take out insurance
Finally, thank you to the operators by phone who answered all my questions")</f>
        <v>I am satisfied with the advantageous prices offered, as well as the speed of procedures to take out insurance
Finally, thank you to the operators by phone who answered all my questions</v>
      </c>
    </row>
    <row r="32" ht="15.75" customHeight="1">
      <c r="A32" s="3">
        <v>1.0</v>
      </c>
      <c r="B32" s="3" t="s">
        <v>146</v>
      </c>
      <c r="C32" s="3" t="s">
        <v>147</v>
      </c>
      <c r="D32" s="3" t="s">
        <v>32</v>
      </c>
      <c r="E32" s="3" t="s">
        <v>33</v>
      </c>
      <c r="F32" s="3" t="s">
        <v>15</v>
      </c>
      <c r="G32" s="3" t="s">
        <v>148</v>
      </c>
      <c r="H32" s="3" t="s">
        <v>149</v>
      </c>
      <c r="I32" s="3" t="str">
        <f>IFERROR(__xludf.DUMMYFUNCTION("GOOGLETRANSLATE(C32,""fr"",""en"")"),"Contact for a satisfaction inch after being treated as neglecting and liar. Now you come to send me emails on the GMF and you are a relaton of confidence. Who are we laughing at? Anyway, I left this insurance and I found more attractive rates elsewhere. S"&amp;"o do not hesitate to take the plunge towards other insurance before arriving at the same observation as me on the GMF.")</f>
        <v>Contact for a satisfaction inch after being treated as neglecting and liar. Now you come to send me emails on the GMF and you are a relaton of confidence. Who are we laughing at? Anyway, I left this insurance and I found more attractive rates elsewhere. So do not hesitate to take the plunge towards other insurance before arriving at the same observation as me on the GMF.</v>
      </c>
    </row>
    <row r="33" ht="15.75" customHeight="1">
      <c r="A33" s="3">
        <v>2.0</v>
      </c>
      <c r="B33" s="3" t="s">
        <v>150</v>
      </c>
      <c r="C33" s="3" t="s">
        <v>151</v>
      </c>
      <c r="D33" s="3" t="s">
        <v>42</v>
      </c>
      <c r="E33" s="3" t="s">
        <v>14</v>
      </c>
      <c r="F33" s="3" t="s">
        <v>15</v>
      </c>
      <c r="G33" s="3" t="s">
        <v>152</v>
      </c>
      <c r="H33" s="3" t="s">
        <v>86</v>
      </c>
      <c r="I33" s="3" t="str">
        <f>IFERROR(__xludf.DUMMYFUNCTION("GOOGLETRANSLATE(C33,""fr"",""en"")"),"Hello,
I have just made a change of contract holder on a contract of less than 30 days,
This leads to its termination and a new subscription and I am refused the 20% reduction (family offer 50% bonus).
I am really very disappointed this way of doing th"&amp;"ings.")</f>
        <v>Hello,
I have just made a change of contract holder on a contract of less than 30 days,
This leads to its termination and a new subscription and I am refused the 20% reduction (family offer 50% bonus).
I am really very disappointed this way of doing things.</v>
      </c>
    </row>
    <row r="34" ht="15.75" customHeight="1">
      <c r="A34" s="3">
        <v>5.0</v>
      </c>
      <c r="B34" s="3" t="s">
        <v>153</v>
      </c>
      <c r="C34" s="3" t="s">
        <v>154</v>
      </c>
      <c r="D34" s="3" t="s">
        <v>42</v>
      </c>
      <c r="E34" s="3" t="s">
        <v>14</v>
      </c>
      <c r="F34" s="3" t="s">
        <v>15</v>
      </c>
      <c r="G34" s="3" t="s">
        <v>155</v>
      </c>
      <c r="H34" s="3" t="s">
        <v>39</v>
      </c>
      <c r="I34" s="3" t="str">
        <f>IFERROR(__xludf.DUMMYFUNCTION("GOOGLETRANSLATE(C34,""fr"",""en"")"),"I am satisfied with the service offered as well as the price I find very correct and appreciable for my bank account
I would recommend this carefree insurance")</f>
        <v>I am satisfied with the service offered as well as the price I find very correct and appreciable for my bank account
I would recommend this carefree insurance</v>
      </c>
    </row>
    <row r="35" ht="15.75" customHeight="1">
      <c r="A35" s="3">
        <v>2.0</v>
      </c>
      <c r="B35" s="3" t="s">
        <v>156</v>
      </c>
      <c r="C35" s="3" t="s">
        <v>157</v>
      </c>
      <c r="D35" s="3" t="s">
        <v>89</v>
      </c>
      <c r="E35" s="3" t="s">
        <v>14</v>
      </c>
      <c r="F35" s="3" t="s">
        <v>15</v>
      </c>
      <c r="G35" s="3" t="s">
        <v>158</v>
      </c>
      <c r="H35" s="3" t="s">
        <v>39</v>
      </c>
      <c r="I35" s="3" t="str">
        <f>IFERROR(__xludf.DUMMYFUNCTION("GOOGLETRANSLATE(C35,""fr"",""en"")"),"Following a water damage, 6 months of hassle after a destructive leak search, I live in an unhealthy, dangerous bathroom and no advance of costs. Before, the MAIF was listening to its members, this is no longer the case today and you will never be compens"&amp;"ated up to your damage.")</f>
        <v>Following a water damage, 6 months of hassle after a destructive leak search, I live in an unhealthy, dangerous bathroom and no advance of costs. Before, the MAIF was listening to its members, this is no longer the case today and you will never be compensated up to your damage.</v>
      </c>
    </row>
    <row r="36" ht="15.75" customHeight="1">
      <c r="A36" s="3">
        <v>2.0</v>
      </c>
      <c r="B36" s="3" t="s">
        <v>159</v>
      </c>
      <c r="C36" s="3" t="s">
        <v>160</v>
      </c>
      <c r="D36" s="3" t="s">
        <v>42</v>
      </c>
      <c r="E36" s="3" t="s">
        <v>14</v>
      </c>
      <c r="F36" s="3" t="s">
        <v>15</v>
      </c>
      <c r="G36" s="3" t="s">
        <v>161</v>
      </c>
      <c r="H36" s="3" t="s">
        <v>142</v>
      </c>
      <c r="I36" s="3" t="str">
        <f>IFERROR(__xludf.DUMMYFUNCTION("GOOGLETRANSLATE(C36,""fr"",""en"")"),"What problem with this insurance. When you tell the garage that you are at home, they all make the grimace.
They find it difficult to repay what they owe you")</f>
        <v>What problem with this insurance. When you tell the garage that you are at home, they all make the grimace.
They find it difficult to repay what they owe you</v>
      </c>
    </row>
    <row r="37" ht="15.75" customHeight="1">
      <c r="A37" s="3">
        <v>4.0</v>
      </c>
      <c r="B37" s="3" t="s">
        <v>162</v>
      </c>
      <c r="C37" s="3" t="s">
        <v>163</v>
      </c>
      <c r="D37" s="3" t="s">
        <v>20</v>
      </c>
      <c r="E37" s="3" t="s">
        <v>21</v>
      </c>
      <c r="F37" s="3" t="s">
        <v>15</v>
      </c>
      <c r="G37" s="3" t="s">
        <v>164</v>
      </c>
      <c r="H37" s="3" t="s">
        <v>165</v>
      </c>
      <c r="I37" s="3" t="str">
        <f>IFERROR(__xludf.DUMMYFUNCTION("GOOGLETRANSLATE(C37,""fr"",""en"")"),"Price and quality of satisfactory coverage with good value for money.
Difficult to correctly record its bonus levels because the question is not clear")</f>
        <v>Price and quality of satisfactory coverage with good value for money.
Difficult to correctly record its bonus levels because the question is not clear</v>
      </c>
    </row>
    <row r="38" ht="15.75" customHeight="1">
      <c r="A38" s="3">
        <v>1.0</v>
      </c>
      <c r="B38" s="3" t="s">
        <v>166</v>
      </c>
      <c r="C38" s="3" t="s">
        <v>167</v>
      </c>
      <c r="D38" s="3" t="s">
        <v>78</v>
      </c>
      <c r="E38" s="3" t="s">
        <v>33</v>
      </c>
      <c r="F38" s="3" t="s">
        <v>15</v>
      </c>
      <c r="G38" s="3" t="s">
        <v>168</v>
      </c>
      <c r="H38" s="3" t="s">
        <v>169</v>
      </c>
      <c r="I38" s="3" t="str">
        <f>IFERROR(__xludf.DUMMYFUNCTION("GOOGLETRANSLATE(C38,""fr"",""en"")"),"Doubtful methods, lack of advice, forced sale, an overpriced contract with non -existent guarantees, to flee.")</f>
        <v>Doubtful methods, lack of advice, forced sale, an overpriced contract with non -existent guarantees, to flee.</v>
      </c>
    </row>
    <row r="39" ht="15.75" customHeight="1">
      <c r="A39" s="3">
        <v>5.0</v>
      </c>
      <c r="B39" s="3" t="s">
        <v>170</v>
      </c>
      <c r="C39" s="3" t="s">
        <v>171</v>
      </c>
      <c r="D39" s="3" t="s">
        <v>32</v>
      </c>
      <c r="E39" s="3" t="s">
        <v>14</v>
      </c>
      <c r="F39" s="3" t="s">
        <v>15</v>
      </c>
      <c r="G39" s="3" t="s">
        <v>172</v>
      </c>
      <c r="H39" s="3" t="s">
        <v>115</v>
      </c>
      <c r="I39" s="3" t="str">
        <f>IFERROR(__xludf.DUMMYFUNCTION("GOOGLETRANSLATE(C39,""fr"",""en"")"),"I am completely satisfied with the GMF services:
Mutual listening and particularly human
Very accommodating in case of difficulties
Always reachable")</f>
        <v>I am completely satisfied with the GMF services:
Mutual listening and particularly human
Very accommodating in case of difficulties
Always reachable</v>
      </c>
    </row>
    <row r="40" ht="15.75" customHeight="1">
      <c r="A40" s="3">
        <v>5.0</v>
      </c>
      <c r="B40" s="3" t="s">
        <v>173</v>
      </c>
      <c r="C40" s="3" t="s">
        <v>174</v>
      </c>
      <c r="D40" s="3" t="s">
        <v>175</v>
      </c>
      <c r="E40" s="3" t="s">
        <v>98</v>
      </c>
      <c r="F40" s="3" t="s">
        <v>15</v>
      </c>
      <c r="G40" s="3" t="s">
        <v>176</v>
      </c>
      <c r="H40" s="3" t="s">
        <v>91</v>
      </c>
      <c r="I40" s="3" t="str">
        <f>IFERROR(__xludf.DUMMYFUNCTION("GOOGLETRANSLATE(C40,""fr"",""en"")"),"I took health insurance for expatriate at April in August 2020. From the first month of the contract, I had an accident requiring health repatriation by plane and a hospitalization of 6 weeks in France with functional rehabilitation. I received flawless s"&amp;"upport from April, strictly in accordance with the contract clauses. The dedicated person to follow my file was very responsive even during the weekends, in the 2 countries and the 3 hospitals in which I was transferred. Bravo for. Besides serious.
Refun"&amp;"ds of fast costs, easy -to -use Internet platform even for a retiree.")</f>
        <v>I took health insurance for expatriate at April in August 2020. From the first month of the contract, I had an accident requiring health repatriation by plane and a hospitalization of 6 weeks in France with functional rehabilitation. I received flawless support from April, strictly in accordance with the contract clauses. The dedicated person to follow my file was very responsive even during the weekends, in the 2 countries and the 3 hospitals in which I was transferred. Bravo for. Besides serious.
Refunds of fast costs, easy -to -use Internet platform even for a retiree.</v>
      </c>
    </row>
    <row r="41" ht="15.75" customHeight="1">
      <c r="A41" s="3">
        <v>5.0</v>
      </c>
      <c r="B41" s="3" t="s">
        <v>177</v>
      </c>
      <c r="C41" s="3" t="s">
        <v>178</v>
      </c>
      <c r="D41" s="3" t="s">
        <v>42</v>
      </c>
      <c r="E41" s="3" t="s">
        <v>14</v>
      </c>
      <c r="F41" s="3" t="s">
        <v>15</v>
      </c>
      <c r="G41" s="3" t="s">
        <v>179</v>
      </c>
      <c r="H41" s="3" t="s">
        <v>115</v>
      </c>
      <c r="I41" s="3" t="str">
        <f>IFERROR(__xludf.DUMMYFUNCTION("GOOGLETRANSLATE(C41,""fr"",""en"")"),"Very interesting price hoping that I am well insured on really everything I really recommend this insurance because I compared a lot of insurance I earn more than 35 €")</f>
        <v>Very interesting price hoping that I am well insured on really everything I really recommend this insurance because I compared a lot of insurance I earn more than 35 €</v>
      </c>
    </row>
    <row r="42" ht="15.75" customHeight="1">
      <c r="A42" s="3">
        <v>2.0</v>
      </c>
      <c r="B42" s="3" t="s">
        <v>180</v>
      </c>
      <c r="C42" s="3" t="s">
        <v>181</v>
      </c>
      <c r="D42" s="3" t="s">
        <v>182</v>
      </c>
      <c r="E42" s="3" t="s">
        <v>98</v>
      </c>
      <c r="F42" s="3" t="s">
        <v>15</v>
      </c>
      <c r="G42" s="3" t="s">
        <v>183</v>
      </c>
      <c r="H42" s="3" t="s">
        <v>184</v>
      </c>
      <c r="I42" s="3" t="str">
        <f>IFERROR(__xludf.DUMMYFUNCTION("GOOGLETRANSLATE(C42,""fr"",""en"")"),"Loss of files several times (3 times including 2 like).")</f>
        <v>Loss of files several times (3 times including 2 like).</v>
      </c>
    </row>
    <row r="43" ht="15.75" customHeight="1">
      <c r="A43" s="3">
        <v>5.0</v>
      </c>
      <c r="B43" s="3" t="s">
        <v>185</v>
      </c>
      <c r="C43" s="3" t="s">
        <v>186</v>
      </c>
      <c r="D43" s="3" t="s">
        <v>13</v>
      </c>
      <c r="E43" s="3" t="s">
        <v>14</v>
      </c>
      <c r="F43" s="3" t="s">
        <v>15</v>
      </c>
      <c r="G43" s="3" t="s">
        <v>187</v>
      </c>
      <c r="H43" s="3" t="s">
        <v>23</v>
      </c>
      <c r="I43" s="3" t="str">
        <f>IFERROR(__xludf.DUMMYFUNCTION("GOOGLETRANSLATE(C43,""fr"",""en"")"),"I am satisfied with the service, our interlocutor has been responsive and good advice.
The price remains correct, and hope to entrust you with the insurance of another vehicle quickly.
The documents have come to us quickly.")</f>
        <v>I am satisfied with the service, our interlocutor has been responsive and good advice.
The price remains correct, and hope to entrust you with the insurance of another vehicle quickly.
The documents have come to us quickly.</v>
      </c>
    </row>
    <row r="44" ht="15.75" customHeight="1">
      <c r="A44" s="3">
        <v>2.0</v>
      </c>
      <c r="B44" s="3" t="s">
        <v>188</v>
      </c>
      <c r="C44" s="3" t="s">
        <v>189</v>
      </c>
      <c r="D44" s="3" t="s">
        <v>69</v>
      </c>
      <c r="E44" s="3" t="s">
        <v>14</v>
      </c>
      <c r="F44" s="3" t="s">
        <v>15</v>
      </c>
      <c r="G44" s="3" t="s">
        <v>190</v>
      </c>
      <c r="H44" s="3" t="s">
        <v>191</v>
      </c>
      <c r="I44" s="3" t="str">
        <f>IFERROR(__xludf.DUMMYFUNCTION("GOOGLETRANSLATE(C44,""fr"",""en"")"),"They terminated my contract after receiving my information statements because I was not said to have been insured for 24 months in a row. They do not want to offer me a contract for a simple 306 with 3 years of license, a scandal!")</f>
        <v>They terminated my contract after receiving my information statements because I was not said to have been insured for 24 months in a row. They do not want to offer me a contract for a simple 306 with 3 years of license, a scandal!</v>
      </c>
    </row>
    <row r="45" ht="15.75" customHeight="1">
      <c r="A45" s="3">
        <v>4.0</v>
      </c>
      <c r="B45" s="3" t="s">
        <v>192</v>
      </c>
      <c r="C45" s="3" t="s">
        <v>193</v>
      </c>
      <c r="D45" s="3" t="s">
        <v>103</v>
      </c>
      <c r="E45" s="3" t="s">
        <v>194</v>
      </c>
      <c r="F45" s="3" t="s">
        <v>15</v>
      </c>
      <c r="G45" s="3" t="s">
        <v>195</v>
      </c>
      <c r="H45" s="3" t="s">
        <v>115</v>
      </c>
      <c r="I45" s="3" t="str">
        <f>IFERROR(__xludf.DUMMYFUNCTION("GOOGLETRANSLATE(C45,""fr"",""en"")"),"Hello, I am always very well accompanied by the agents dealing with the files. As regards the telephone reception I note a lack of knowledge can be due to a lack of training.")</f>
        <v>Hello, I am always very well accompanied by the agents dealing with the files. As regards the telephone reception I note a lack of knowledge can be due to a lack of training.</v>
      </c>
    </row>
    <row r="46" ht="15.75" customHeight="1">
      <c r="A46" s="3">
        <v>5.0</v>
      </c>
      <c r="B46" s="3" t="s">
        <v>196</v>
      </c>
      <c r="C46" s="3" t="s">
        <v>197</v>
      </c>
      <c r="D46" s="3" t="s">
        <v>13</v>
      </c>
      <c r="E46" s="3" t="s">
        <v>14</v>
      </c>
      <c r="F46" s="3" t="s">
        <v>15</v>
      </c>
      <c r="G46" s="3" t="s">
        <v>198</v>
      </c>
      <c r="H46" s="3" t="s">
        <v>75</v>
      </c>
      <c r="I46" s="3" t="str">
        <f>IFERROR(__xludf.DUMMYFUNCTION("GOOGLETRANSLATE(C46,""fr"",""en"")"),"Very good value for money. The options chosen are an additional asset. I hope to be satisfied with our collaboration. Thank you also for your advice.")</f>
        <v>Very good value for money. The options chosen are an additional asset. I hope to be satisfied with our collaboration. Thank you also for your advice.</v>
      </c>
    </row>
    <row r="47" ht="15.75" customHeight="1">
      <c r="A47" s="3">
        <v>4.0</v>
      </c>
      <c r="B47" s="3" t="s">
        <v>199</v>
      </c>
      <c r="C47" s="3" t="s">
        <v>200</v>
      </c>
      <c r="D47" s="3" t="s">
        <v>13</v>
      </c>
      <c r="E47" s="3" t="s">
        <v>14</v>
      </c>
      <c r="F47" s="3" t="s">
        <v>15</v>
      </c>
      <c r="G47" s="3" t="s">
        <v>114</v>
      </c>
      <c r="H47" s="3" t="s">
        <v>115</v>
      </c>
      <c r="I47" s="3" t="str">
        <f>IFERROR(__xludf.DUMMYFUNCTION("GOOGLETRANSLATE(C47,""fr"",""en"")"),"The prices are competitive and the reception with the telephone operator excellent. I recommend this insurer to anyone wishing to change insurer.")</f>
        <v>The prices are competitive and the reception with the telephone operator excellent. I recommend this insurer to anyone wishing to change insurer.</v>
      </c>
    </row>
    <row r="48" ht="15.75" customHeight="1">
      <c r="A48" s="3">
        <v>5.0</v>
      </c>
      <c r="B48" s="3" t="s">
        <v>201</v>
      </c>
      <c r="C48" s="3" t="s">
        <v>202</v>
      </c>
      <c r="D48" s="3" t="s">
        <v>55</v>
      </c>
      <c r="E48" s="3" t="s">
        <v>14</v>
      </c>
      <c r="F48" s="3" t="s">
        <v>15</v>
      </c>
      <c r="G48" s="3" t="s">
        <v>203</v>
      </c>
      <c r="H48" s="3" t="s">
        <v>60</v>
      </c>
      <c r="I48" s="3" t="str">
        <f>IFERROR(__xludf.DUMMYFUNCTION("GOOGLETRANSLATE(C48,""fr"",""en"")"),"I find it surprising that there are so many notes to 1 star with a lot of negative. I had a little concern recently the new accounts they have implemented but everything has been going back to normal and no problem for several years.
Wouldn't some custom"&amp;"ers be a little responsible for their ""bad"" feeling,")</f>
        <v>I find it surprising that there are so many notes to 1 star with a lot of negative. I had a little concern recently the new accounts they have implemented but everything has been going back to normal and no problem for several years.
Wouldn't some customers be a little responsible for their "bad" feeling,</v>
      </c>
    </row>
    <row r="49" ht="15.75" customHeight="1">
      <c r="A49" s="3">
        <v>1.0</v>
      </c>
      <c r="B49" s="3" t="s">
        <v>204</v>
      </c>
      <c r="C49" s="3" t="s">
        <v>205</v>
      </c>
      <c r="D49" s="3" t="s">
        <v>140</v>
      </c>
      <c r="E49" s="3" t="s">
        <v>98</v>
      </c>
      <c r="F49" s="3" t="s">
        <v>15</v>
      </c>
      <c r="G49" s="3" t="s">
        <v>206</v>
      </c>
      <c r="H49" s="3" t="s">
        <v>207</v>
      </c>
      <c r="I49" s="3" t="str">
        <f>IFERROR(__xludf.DUMMYFUNCTION("GOOGLETRANSLATE(C49,""fr"",""en"")"),"Non -honest mutual. Termination for Mutuelle Groupe. Do not take into account the termination of the options. In the logic, we resound mutual, it is with option included. Now these are two different things. They flew to know. The contribution call for the"&amp;" option dates from October 2. And that we receive on December 14. Like that, when you call to know why, it's too late Madame it took a two -month period before birthday .....")</f>
        <v>Non -honest mutual. Termination for Mutuelle Groupe. Do not take into account the termination of the options. In the logic, we resound mutual, it is with option included. Now these are two different things. They flew to know. The contribution call for the option dates from October 2. And that we receive on December 14. Like that, when you call to know why, it's too late Madame it took a two -month period before birthday .....</v>
      </c>
    </row>
    <row r="50" ht="15.75" customHeight="1">
      <c r="A50" s="3">
        <v>1.0</v>
      </c>
      <c r="B50" s="3" t="s">
        <v>208</v>
      </c>
      <c r="C50" s="3" t="s">
        <v>209</v>
      </c>
      <c r="D50" s="3" t="s">
        <v>32</v>
      </c>
      <c r="E50" s="3" t="s">
        <v>14</v>
      </c>
      <c r="F50" s="3" t="s">
        <v>15</v>
      </c>
      <c r="G50" s="3" t="s">
        <v>210</v>
      </c>
      <c r="H50" s="3" t="s">
        <v>211</v>
      </c>
      <c r="I50" s="3" t="str">
        <f>IFERROR(__xludf.DUMMYFUNCTION("GOOGLETRANSLATE(C50,""fr"",""en"")"),"GMF does not take into account neither his client's history or his behavior and honesty. GMF applies a group ""policy"" (the term comes back to them). The only time when customer treatment is individualized is the billing.")</f>
        <v>GMF does not take into account neither his client's history or his behavior and honesty. GMF applies a group "policy" (the term comes back to them). The only time when customer treatment is individualized is the billing.</v>
      </c>
    </row>
    <row r="51" ht="15.75" customHeight="1">
      <c r="A51" s="3">
        <v>1.0</v>
      </c>
      <c r="B51" s="3" t="s">
        <v>212</v>
      </c>
      <c r="C51" s="3" t="s">
        <v>213</v>
      </c>
      <c r="D51" s="3" t="s">
        <v>214</v>
      </c>
      <c r="E51" s="3" t="s">
        <v>98</v>
      </c>
      <c r="F51" s="3" t="s">
        <v>15</v>
      </c>
      <c r="G51" s="3" t="s">
        <v>215</v>
      </c>
      <c r="H51" s="3" t="s">
        <v>216</v>
      </c>
      <c r="I51" s="3" t="str">
        <f>IFERROR(__xludf.DUMMYFUNCTION("GOOGLETRANSLATE(C51,""fr"",""en"")"),"Frankly, I do not know how to qualify this mutual, more than long treatment delays 20 days for a refund !!!!!! No one responds by email, when we call we have several versions depending on the person who answers to flee !!!")</f>
        <v>Frankly, I do not know how to qualify this mutual, more than long treatment delays 20 days for a refund !!!!!! No one responds by email, when we call we have several versions depending on the person who answers to flee !!!</v>
      </c>
    </row>
    <row r="52" ht="15.75" customHeight="1">
      <c r="A52" s="3">
        <v>1.0</v>
      </c>
      <c r="B52" s="3" t="s">
        <v>217</v>
      </c>
      <c r="C52" s="3" t="s">
        <v>218</v>
      </c>
      <c r="D52" s="3" t="s">
        <v>214</v>
      </c>
      <c r="E52" s="3" t="s">
        <v>98</v>
      </c>
      <c r="F52" s="3" t="s">
        <v>15</v>
      </c>
      <c r="G52" s="3" t="s">
        <v>219</v>
      </c>
      <c r="H52" s="3" t="s">
        <v>220</v>
      </c>
      <c r="I52" s="3" t="str">
        <f>IFERROR(__xludf.DUMMYFUNCTION("GOOGLETRANSLATE(C52,""fr"",""en"")"),"Archi-nul customer service !!! Landed letters, Ubuhesque telephone appointments !!! Impossible to have my advisor on the phone. I've been trying to settle my situation for weeks. I will go see elsewhere ....")</f>
        <v>Archi-nul customer service !!! Landed letters, Ubuhesque telephone appointments !!! Impossible to have my advisor on the phone. I've been trying to settle my situation for weeks. I will go see elsewhere ....</v>
      </c>
    </row>
    <row r="53" ht="15.75" customHeight="1">
      <c r="A53" s="3">
        <v>1.0</v>
      </c>
      <c r="B53" s="3" t="s">
        <v>221</v>
      </c>
      <c r="C53" s="3" t="s">
        <v>222</v>
      </c>
      <c r="D53" s="3" t="s">
        <v>175</v>
      </c>
      <c r="E53" s="3" t="s">
        <v>98</v>
      </c>
      <c r="F53" s="3" t="s">
        <v>15</v>
      </c>
      <c r="G53" s="3" t="s">
        <v>223</v>
      </c>
      <c r="H53" s="3" t="s">
        <v>224</v>
      </c>
      <c r="I53" s="3" t="str">
        <f>IFERROR(__xludf.DUMMYFUNCTION("GOOGLETRANSLATE(C53,""fr"",""en"")"),"Hello it's been 10 days that I am waiting for my refund I no longer have access to my account, computer problem, I have more to have them on the phone and my said that it would be restored today and still nothing, in addition the very customer service Unp"&amp;"leasant and she hangs up on me, because I am told that I will terminate, I find it not very professional")</f>
        <v>Hello it's been 10 days that I am waiting for my refund I no longer have access to my account, computer problem, I have more to have them on the phone and my said that it would be restored today and still nothing, in addition the very customer service Unpleasant and she hangs up on me, because I am told that I will terminate, I find it not very professional</v>
      </c>
    </row>
    <row r="54" ht="15.75" customHeight="1">
      <c r="A54" s="3">
        <v>1.0</v>
      </c>
      <c r="B54" s="3" t="s">
        <v>225</v>
      </c>
      <c r="C54" s="3" t="s">
        <v>226</v>
      </c>
      <c r="D54" s="3" t="s">
        <v>227</v>
      </c>
      <c r="E54" s="3" t="s">
        <v>98</v>
      </c>
      <c r="F54" s="3" t="s">
        <v>15</v>
      </c>
      <c r="G54" s="3" t="s">
        <v>228</v>
      </c>
      <c r="H54" s="3" t="s">
        <v>229</v>
      </c>
      <c r="I54" s="3" t="str">
        <f>IFERROR(__xludf.DUMMYFUNCTION("GOOGLETRANSLATE(C54,""fr"",""en"")"),"Indomible the way we are treated at the time of termination. No information from them that we come to the deadline for the contract. Apparently not subject to the Chatel law. So abuse of power over citizens !!!! It is shameful !!!! Fuy them !!!")</f>
        <v>Indomible the way we are treated at the time of termination. No information from them that we come to the deadline for the contract. Apparently not subject to the Chatel law. So abuse of power over citizens !!!! It is shameful !!!! Fuy them !!!</v>
      </c>
    </row>
    <row r="55" ht="15.75" customHeight="1">
      <c r="A55" s="3">
        <v>2.0</v>
      </c>
      <c r="B55" s="3" t="s">
        <v>230</v>
      </c>
      <c r="C55" s="3" t="s">
        <v>231</v>
      </c>
      <c r="D55" s="3" t="s">
        <v>89</v>
      </c>
      <c r="E55" s="3" t="s">
        <v>33</v>
      </c>
      <c r="F55" s="3" t="s">
        <v>15</v>
      </c>
      <c r="G55" s="3" t="s">
        <v>232</v>
      </c>
      <c r="H55" s="3" t="s">
        <v>91</v>
      </c>
      <c r="I55" s="3" t="str">
        <f>IFERROR(__xludf.DUMMYFUNCTION("GOOGLETRANSLATE(C55,""fr"",""en"")"),"An termination of all my contracts after 20 years of confidence for mobile phones, a shame !!!
Optional contract covering damage to nomadic devices to be avoided at all costs.")</f>
        <v>An termination of all my contracts after 20 years of confidence for mobile phones, a shame !!!
Optional contract covering damage to nomadic devices to be avoided at all costs.</v>
      </c>
    </row>
    <row r="56" ht="15.75" customHeight="1">
      <c r="A56" s="3">
        <v>5.0</v>
      </c>
      <c r="B56" s="3" t="s">
        <v>233</v>
      </c>
      <c r="C56" s="3" t="s">
        <v>234</v>
      </c>
      <c r="D56" s="3" t="s">
        <v>140</v>
      </c>
      <c r="E56" s="3" t="s">
        <v>98</v>
      </c>
      <c r="F56" s="3" t="s">
        <v>15</v>
      </c>
      <c r="G56" s="3" t="s">
        <v>235</v>
      </c>
      <c r="H56" s="3" t="s">
        <v>236</v>
      </c>
      <c r="I56" s="3" t="str">
        <f>IFERROR(__xludf.DUMMYFUNCTION("GOOGLETRANSLATE(C56,""fr"",""en"")"),"Thank you to the person who is well busy in my file thank you Nelly for having known how to answer me.
I highly recommend
Thanks to her.
Quick phone socket.
Pleasant person ...")</f>
        <v>Thank you to the person who is well busy in my file thank you Nelly for having known how to answer me.
I highly recommend
Thanks to her.
Quick phone socket.
Pleasant person ...</v>
      </c>
    </row>
    <row r="57" ht="15.75" customHeight="1">
      <c r="A57" s="3">
        <v>5.0</v>
      </c>
      <c r="B57" s="3" t="s">
        <v>237</v>
      </c>
      <c r="C57" s="3" t="s">
        <v>238</v>
      </c>
      <c r="D57" s="3" t="s">
        <v>13</v>
      </c>
      <c r="E57" s="3" t="s">
        <v>14</v>
      </c>
      <c r="F57" s="3" t="s">
        <v>15</v>
      </c>
      <c r="G57" s="3" t="s">
        <v>239</v>
      </c>
      <c r="H57" s="3" t="s">
        <v>240</v>
      </c>
      <c r="I57" s="3" t="str">
        <f>IFERROR(__xludf.DUMMYFUNCTION("GOOGLETRANSLATE(C57,""fr"",""en"")"),"Subscription performed without a hitch, fast service, pleasant advisor, no complaints for the moment")</f>
        <v>Subscription performed without a hitch, fast service, pleasant advisor, no complaints for the moment</v>
      </c>
    </row>
    <row r="58" ht="15.75" customHeight="1">
      <c r="A58" s="3">
        <v>5.0</v>
      </c>
      <c r="B58" s="3" t="s">
        <v>241</v>
      </c>
      <c r="C58" s="3" t="s">
        <v>242</v>
      </c>
      <c r="D58" s="3" t="s">
        <v>20</v>
      </c>
      <c r="E58" s="3" t="s">
        <v>21</v>
      </c>
      <c r="F58" s="3" t="s">
        <v>15</v>
      </c>
      <c r="G58" s="3" t="s">
        <v>243</v>
      </c>
      <c r="H58" s="3" t="s">
        <v>44</v>
      </c>
      <c r="I58" s="3" t="str">
        <f>IFERROR(__xludf.DUMMYFUNCTION("GOOGLETRANSLATE(C58,""fr"",""en"")"),"I am satisfied with the service and I am waiting to receive my insurance to fully enjoy my motorcycle. Regards M
Mr. TheBault Louis 35720")</f>
        <v>I am satisfied with the service and I am waiting to receive my insurance to fully enjoy my motorcycle. Regards M
Mr. TheBault Louis 35720</v>
      </c>
    </row>
    <row r="59" ht="15.75" customHeight="1">
      <c r="A59" s="3">
        <v>3.0</v>
      </c>
      <c r="B59" s="3" t="s">
        <v>244</v>
      </c>
      <c r="C59" s="3" t="s">
        <v>245</v>
      </c>
      <c r="D59" s="3" t="s">
        <v>246</v>
      </c>
      <c r="E59" s="3" t="s">
        <v>14</v>
      </c>
      <c r="F59" s="3" t="s">
        <v>15</v>
      </c>
      <c r="G59" s="3" t="s">
        <v>247</v>
      </c>
      <c r="H59" s="3" t="s">
        <v>248</v>
      </c>
      <c r="I59" s="3" t="str">
        <f>IFERROR(__xludf.DUMMYFUNCTION("GOOGLETRANSLATE(C59,""fr"",""en"")"),"TOP Auto Insurance. Never had problems with them, I have been a client for over ten years. My parents have also been customers at home for many years, they know how to receive you when you need advice, to discuss prices ... etc they always respond when yo"&amp;"u need.")</f>
        <v>TOP Auto Insurance. Never had problems with them, I have been a client for over ten years. My parents have also been customers at home for many years, they know how to receive you when you need advice, to discuss prices ... etc they always respond when you need.</v>
      </c>
    </row>
    <row r="60" ht="15.75" customHeight="1">
      <c r="A60" s="3">
        <v>3.0</v>
      </c>
      <c r="B60" s="3" t="s">
        <v>249</v>
      </c>
      <c r="C60" s="3" t="s">
        <v>250</v>
      </c>
      <c r="D60" s="3" t="s">
        <v>251</v>
      </c>
      <c r="E60" s="3" t="s">
        <v>27</v>
      </c>
      <c r="F60" s="3" t="s">
        <v>15</v>
      </c>
      <c r="G60" s="3" t="s">
        <v>252</v>
      </c>
      <c r="H60" s="3" t="s">
        <v>253</v>
      </c>
      <c r="I60" s="3" t="str">
        <f>IFERROR(__xludf.DUMMYFUNCTION("GOOGLETRANSLATE(C60,""fr"",""en"")"),"Hello same problem you have to fight to be able to recover our own money !!! I find its lamentable to take people for Imbeciles !!! Since January they have made us send complete documents and each time they find us apologies to delay the file and once the"&amp;" file has been validated the 30 days of time are not respecting !! To ban")</f>
        <v>Hello same problem you have to fight to be able to recover our own money !!! I find its lamentable to take people for Imbeciles !!! Since January they have made us send complete documents and each time they find us apologies to delay the file and once the file has been validated the 30 days of time are not respecting !! To ban</v>
      </c>
    </row>
    <row r="61" ht="15.75" customHeight="1">
      <c r="A61" s="3">
        <v>4.0</v>
      </c>
      <c r="B61" s="3" t="s">
        <v>254</v>
      </c>
      <c r="C61" s="3" t="s">
        <v>255</v>
      </c>
      <c r="D61" s="3" t="s">
        <v>256</v>
      </c>
      <c r="E61" s="3" t="s">
        <v>109</v>
      </c>
      <c r="F61" s="3" t="s">
        <v>15</v>
      </c>
      <c r="G61" s="3" t="s">
        <v>257</v>
      </c>
      <c r="H61" s="3" t="s">
        <v>216</v>
      </c>
      <c r="I61" s="3" t="str">
        <f>IFERROR(__xludf.DUMMYFUNCTION("GOOGLETRANSLATE(C61,""fr"",""en"")"),"I am a current client at Solly Azar. I am satisfied you report price/quality that offers me
And for reimbursement it is within a period that does not exceed 48 hours
Bravo to the whole team working there")</f>
        <v>I am a current client at Solly Azar. I am satisfied you report price/quality that offers me
And for reimbursement it is within a period that does not exceed 48 hours
Bravo to the whole team working there</v>
      </c>
    </row>
    <row r="62" ht="15.75" customHeight="1">
      <c r="A62" s="3">
        <v>5.0</v>
      </c>
      <c r="B62" s="3" t="s">
        <v>258</v>
      </c>
      <c r="C62" s="3" t="s">
        <v>259</v>
      </c>
      <c r="D62" s="3" t="s">
        <v>13</v>
      </c>
      <c r="E62" s="3" t="s">
        <v>14</v>
      </c>
      <c r="F62" s="3" t="s">
        <v>15</v>
      </c>
      <c r="G62" s="3" t="s">
        <v>260</v>
      </c>
      <c r="H62" s="3" t="s">
        <v>165</v>
      </c>
      <c r="I62" s="3" t="str">
        <f>IFERROR(__xludf.DUMMYFUNCTION("GOOGLETRANSLATE(C62,""fr"",""en"")"),"Satisfied with your service and speed, the prices are correct, but by I find it very difficult to access my personal space ...........")</f>
        <v>Satisfied with your service and speed, the prices are correct, but by I find it very difficult to access my personal space ...........</v>
      </c>
    </row>
    <row r="63" ht="15.75" customHeight="1">
      <c r="A63" s="3">
        <v>1.0</v>
      </c>
      <c r="B63" s="3" t="s">
        <v>261</v>
      </c>
      <c r="C63" s="3" t="s">
        <v>262</v>
      </c>
      <c r="D63" s="3" t="s">
        <v>81</v>
      </c>
      <c r="E63" s="3" t="s">
        <v>33</v>
      </c>
      <c r="F63" s="3" t="s">
        <v>15</v>
      </c>
      <c r="G63" s="3" t="s">
        <v>263</v>
      </c>
      <c r="H63" s="3" t="s">
        <v>39</v>
      </c>
      <c r="I63" s="3" t="str">
        <f>IFERROR(__xludf.DUMMYFUNCTION("GOOGLETRANSLATE(C63,""fr"",""en"")"),"If I could put 0 inadmissible without hot water since July 24 Service balance in service incapable of finding an approved provider we must manage by ourselves to try to find solution bravo for responsiveness !!!!")</f>
        <v>If I could put 0 inadmissible without hot water since July 24 Service balance in service incapable of finding an approved provider we must manage by ourselves to try to find solution bravo for responsiveness !!!!</v>
      </c>
    </row>
    <row r="64" ht="15.75" customHeight="1">
      <c r="A64" s="3">
        <v>1.0</v>
      </c>
      <c r="B64" s="3" t="s">
        <v>264</v>
      </c>
      <c r="C64" s="3" t="s">
        <v>265</v>
      </c>
      <c r="D64" s="3" t="s">
        <v>78</v>
      </c>
      <c r="E64" s="3" t="s">
        <v>14</v>
      </c>
      <c r="F64" s="3" t="s">
        <v>15</v>
      </c>
      <c r="G64" s="3" t="s">
        <v>266</v>
      </c>
      <c r="H64" s="3" t="s">
        <v>60</v>
      </c>
      <c r="I64" s="3" t="str">
        <f>IFERROR(__xludf.DUMMYFUNCTION("GOOGLETRANSLATE(C64,""fr"",""en"")"),"To avoid ! During a non -responsible disaster, they take all their time to process the file. They do not take into account what you say. As for the allowances, make a cross on it. It's really derisory. As for legal assistance, one wonders what this servic"&amp;"e is for. We never hear about it. I was the victim of a road accident. A lady struck me. I had to revive them several times. Each time the deadlines were extended. The staff speak to you in a so -called attentive and understanding way, but as soon as you "&amp;"put your finger on what is wrong, you immediately feel that they are annoying. They quickly send requests. They systematically reject the fault of others. You have no support in the event of a disaster, really none. It's up to you to do all the steps, it'"&amp;"s up to you to relaunch them, it's up to you to make sure your file is on track. So basically, you are the victim, but it's still yours, whether you are sick or not, whether you have consequences or not, it's up to you. They do not deal with anything cont"&amp;"rary to what is said in advertising. I have knowledge that have also known claims, they are at other insurers, and they have not had as much as what I did since I hit and lost my vehicle because of an unconscious. It's pitiful!")</f>
        <v>To avoid ! During a non -responsible disaster, they take all their time to process the file. They do not take into account what you say. As for the allowances, make a cross on it. It's really derisory. As for legal assistance, one wonders what this service is for. We never hear about it. I was the victim of a road accident. A lady struck me. I had to revive them several times. Each time the deadlines were extended. The staff speak to you in a so -called attentive and understanding way, but as soon as you put your finger on what is wrong, you immediately feel that they are annoying. They quickly send requests. They systematically reject the fault of others. You have no support in the event of a disaster, really none. It's up to you to do all the steps, it's up to you to relaunch them, it's up to you to make sure your file is on track. So basically, you are the victim, but it's still yours, whether you are sick or not, whether you have consequences or not, it's up to you. They do not deal with anything contrary to what is said in advertising. I have knowledge that have also known claims, they are at other insurers, and they have not had as much as what I did since I hit and lost my vehicle because of an unconscious. It's pitiful!</v>
      </c>
    </row>
    <row r="65" ht="15.75" customHeight="1">
      <c r="A65" s="3">
        <v>4.0</v>
      </c>
      <c r="B65" s="3" t="s">
        <v>267</v>
      </c>
      <c r="C65" s="3" t="s">
        <v>268</v>
      </c>
      <c r="D65" s="3" t="s">
        <v>13</v>
      </c>
      <c r="E65" s="3" t="s">
        <v>14</v>
      </c>
      <c r="F65" s="3" t="s">
        <v>15</v>
      </c>
      <c r="G65" s="3" t="s">
        <v>269</v>
      </c>
      <c r="H65" s="3" t="s">
        <v>270</v>
      </c>
      <c r="I65" s="3" t="str">
        <f>IFERROR(__xludf.DUMMYFUNCTION("GOOGLETRANSLATE(C65,""fr"",""en"")"),"Ultra fast management of my disaster advisor very available and kind I strongly advise this recent insurance but which really works in interest and customer satisfaction")</f>
        <v>Ultra fast management of my disaster advisor very available and kind I strongly advise this recent insurance but which really works in interest and customer satisfaction</v>
      </c>
    </row>
    <row r="66" ht="15.75" customHeight="1">
      <c r="A66" s="3">
        <v>2.0</v>
      </c>
      <c r="B66" s="3" t="s">
        <v>271</v>
      </c>
      <c r="C66" s="3" t="s">
        <v>272</v>
      </c>
      <c r="D66" s="3" t="s">
        <v>42</v>
      </c>
      <c r="E66" s="3" t="s">
        <v>33</v>
      </c>
      <c r="F66" s="3" t="s">
        <v>15</v>
      </c>
      <c r="G66" s="3" t="s">
        <v>273</v>
      </c>
      <c r="H66" s="3" t="s">
        <v>274</v>
      </c>
      <c r="I66" s="3" t="str">
        <f>IFERROR(__xludf.DUMMYFUNCTION("GOOGLETRANSLATE(C66,""fr"",""en"")"),"I have three contracts with DA. One was expired on 31/10. I rule by bank card on 11/10 and I see that DA repeated my operation four times. I request reimbursement quickly. It's been 7 days ago and I still don't have a check")</f>
        <v>I have three contracts with DA. One was expired on 31/10. I rule by bank card on 11/10 and I see that DA repeated my operation four times. I request reimbursement quickly. It's been 7 days ago and I still don't have a check</v>
      </c>
    </row>
    <row r="67" ht="15.75" customHeight="1">
      <c r="A67" s="3">
        <v>5.0</v>
      </c>
      <c r="B67" s="3" t="s">
        <v>275</v>
      </c>
      <c r="C67" s="3" t="s">
        <v>276</v>
      </c>
      <c r="D67" s="3" t="s">
        <v>13</v>
      </c>
      <c r="E67" s="3" t="s">
        <v>14</v>
      </c>
      <c r="F67" s="3" t="s">
        <v>15</v>
      </c>
      <c r="G67" s="3" t="s">
        <v>277</v>
      </c>
      <c r="H67" s="3" t="s">
        <v>115</v>
      </c>
      <c r="I67" s="3" t="str">
        <f>IFERROR(__xludf.DUMMYFUNCTION("GOOGLETRANSLATE(C67,""fr"",""en"")"),"Interesting value for money
Interesting guarantees adapted to my needs
Accessible and fast customer service
Satisfactory site functionality")</f>
        <v>Interesting value for money
Interesting guarantees adapted to my needs
Accessible and fast customer service
Satisfactory site functionality</v>
      </c>
    </row>
    <row r="68" ht="15.75" customHeight="1">
      <c r="A68" s="3">
        <v>5.0</v>
      </c>
      <c r="B68" s="3" t="s">
        <v>278</v>
      </c>
      <c r="C68" s="3" t="s">
        <v>279</v>
      </c>
      <c r="D68" s="3" t="s">
        <v>42</v>
      </c>
      <c r="E68" s="3" t="s">
        <v>14</v>
      </c>
      <c r="F68" s="3" t="s">
        <v>15</v>
      </c>
      <c r="G68" s="3" t="s">
        <v>280</v>
      </c>
      <c r="H68" s="3" t="s">
        <v>39</v>
      </c>
      <c r="I68" s="3" t="str">
        <f>IFERROR(__xludf.DUMMYFUNCTION("GOOGLETRANSLATE(C68,""fr"",""en"")"),"very fast service
and satisfied with this contract
attractive price
and very good relationship with the salesperson and already very satisfied for it is exchange")</f>
        <v>very fast service
and satisfied with this contract
attractive price
and very good relationship with the salesperson and already very satisfied for it is exchange</v>
      </c>
    </row>
    <row r="69" ht="15.75" customHeight="1">
      <c r="A69" s="3">
        <v>3.0</v>
      </c>
      <c r="B69" s="3" t="s">
        <v>281</v>
      </c>
      <c r="C69" s="3" t="s">
        <v>282</v>
      </c>
      <c r="D69" s="3" t="s">
        <v>42</v>
      </c>
      <c r="E69" s="3" t="s">
        <v>14</v>
      </c>
      <c r="F69" s="3" t="s">
        <v>15</v>
      </c>
      <c r="G69" s="3" t="s">
        <v>283</v>
      </c>
      <c r="H69" s="3" t="s">
        <v>44</v>
      </c>
      <c r="I69" s="3" t="str">
        <f>IFERROR(__xludf.DUMMYFUNCTION("GOOGLETRANSLATE(C69,""fr"",""en"")"),"I am satisfied with the service
Prices are reasonable
The service is satisfactory
The price should be seen downwards for a professional and student
")</f>
        <v>I am satisfied with the service
Prices are reasonable
The service is satisfactory
The price should be seen downwards for a professional and student
</v>
      </c>
    </row>
    <row r="70" ht="15.75" customHeight="1">
      <c r="A70" s="3">
        <v>1.0</v>
      </c>
      <c r="B70" s="3" t="s">
        <v>284</v>
      </c>
      <c r="C70" s="3" t="s">
        <v>285</v>
      </c>
      <c r="D70" s="3" t="s">
        <v>81</v>
      </c>
      <c r="E70" s="3" t="s">
        <v>194</v>
      </c>
      <c r="F70" s="3" t="s">
        <v>15</v>
      </c>
      <c r="G70" s="3" t="s">
        <v>286</v>
      </c>
      <c r="H70" s="3" t="s">
        <v>287</v>
      </c>
      <c r="I70" s="3" t="str">
        <f>IFERROR(__xludf.DUMMYFUNCTION("GOOGLETRANSLATE(C70,""fr"",""en"")"),"Impossibility of terminating. Call twice, with two different explanations. Two incompetent teleconsilles. Mutual to avoid reimbursement level. Money")</f>
        <v>Impossibility of terminating. Call twice, with two different explanations. Two incompetent teleconsilles. Mutual to avoid reimbursement level. Money</v>
      </c>
    </row>
    <row r="71" ht="15.75" customHeight="1">
      <c r="A71" s="3">
        <v>1.0</v>
      </c>
      <c r="B71" s="3" t="s">
        <v>288</v>
      </c>
      <c r="C71" s="3" t="s">
        <v>289</v>
      </c>
      <c r="D71" s="3" t="s">
        <v>81</v>
      </c>
      <c r="E71" s="3" t="s">
        <v>14</v>
      </c>
      <c r="F71" s="3" t="s">
        <v>15</v>
      </c>
      <c r="G71" s="3" t="s">
        <v>290</v>
      </c>
      <c r="H71" s="3" t="s">
        <v>236</v>
      </c>
      <c r="I71" s="3" t="str">
        <f>IFERROR(__xludf.DUMMYFUNCTION("GOOGLETRANSLATE(C71,""fr"",""en"")"),"Insurance subscribed for auto and housing.
You should know that when you subscribe to auto insurance, you are explained to you that there is no driver warranty and that it must be taken out apart for costs in +.
Result I paid for 5 years for what I thou"&amp;"ght was a driver warranty when it was an accident provident. And when my daughter broke her leg nothing was planned since you have to lose an arm or a leg to claim To something .... or die ...
As for the payment failure, be careful, I add options not req"&amp;"uested to inflate the invoice and we even forget to add your bonus to the date of the contract.
I hate to be taken for an idiot.
I have everything and even for termination it is the obstacle course. We put you sticks in the wheels to dissuade you from l"&amp;"eaving.
For me never the Macif again.
To flee.")</f>
        <v>Insurance subscribed for auto and housing.
You should know that when you subscribe to auto insurance, you are explained to you that there is no driver warranty and that it must be taken out apart for costs in +.
Result I paid for 5 years for what I thought was a driver warranty when it was an accident provident. And when my daughter broke her leg nothing was planned since you have to lose an arm or a leg to claim To something .... or die ...
As for the payment failure, be careful, I add options not requested to inflate the invoice and we even forget to add your bonus to the date of the contract.
I hate to be taken for an idiot.
I have everything and even for termination it is the obstacle course. We put you sticks in the wheels to dissuade you from leaving.
For me never the Macif again.
To flee.</v>
      </c>
    </row>
    <row r="72" ht="15.75" customHeight="1">
      <c r="A72" s="3">
        <v>1.0</v>
      </c>
      <c r="B72" s="3" t="s">
        <v>291</v>
      </c>
      <c r="C72" s="3" t="s">
        <v>292</v>
      </c>
      <c r="D72" s="3" t="s">
        <v>42</v>
      </c>
      <c r="E72" s="3" t="s">
        <v>14</v>
      </c>
      <c r="F72" s="3" t="s">
        <v>15</v>
      </c>
      <c r="G72" s="3" t="s">
        <v>293</v>
      </c>
      <c r="H72" s="3" t="s">
        <v>294</v>
      </c>
      <c r="I72" s="3" t="str">
        <f>IFERROR(__xludf.DUMMYFUNCTION("GOOGLETRANSLATE(C72,""fr"",""en"")"),"V0leurs that distribute penalties without paying a penny, that is to wonder what they are used for. Expertise that takes 1 month, repairs without being asked for my opinion ... To be fleeing !!!")</f>
        <v>V0leurs that distribute penalties without paying a penny, that is to wonder what they are used for. Expertise that takes 1 month, repairs without being asked for my opinion ... To be fleeing !!!</v>
      </c>
    </row>
    <row r="73" ht="15.75" customHeight="1">
      <c r="A73" s="3">
        <v>4.0</v>
      </c>
      <c r="B73" s="3" t="s">
        <v>295</v>
      </c>
      <c r="C73" s="3" t="s">
        <v>296</v>
      </c>
      <c r="D73" s="3" t="s">
        <v>42</v>
      </c>
      <c r="E73" s="3" t="s">
        <v>14</v>
      </c>
      <c r="F73" s="3" t="s">
        <v>15</v>
      </c>
      <c r="G73" s="3" t="s">
        <v>297</v>
      </c>
      <c r="H73" s="3" t="s">
        <v>23</v>
      </c>
      <c r="I73" s="3" t="str">
        <f>IFERROR(__xludf.DUMMYFUNCTION("GOOGLETRANSLATE(C73,""fr"",""en"")"),"I am satisfied with my very well and inexpensive contract it is done quickly and I had several choices. I thank you and I hope everything will be fine for the future thank you")</f>
        <v>I am satisfied with my very well and inexpensive contract it is done quickly and I had several choices. I thank you and I hope everything will be fine for the future thank you</v>
      </c>
    </row>
    <row r="74" ht="15.75" customHeight="1">
      <c r="A74" s="3">
        <v>1.0</v>
      </c>
      <c r="B74" s="3" t="s">
        <v>298</v>
      </c>
      <c r="C74" s="3" t="s">
        <v>299</v>
      </c>
      <c r="D74" s="3" t="s">
        <v>246</v>
      </c>
      <c r="E74" s="3" t="s">
        <v>33</v>
      </c>
      <c r="F74" s="3" t="s">
        <v>15</v>
      </c>
      <c r="G74" s="3" t="s">
        <v>300</v>
      </c>
      <c r="H74" s="3" t="s">
        <v>52</v>
      </c>
      <c r="I74" s="3" t="str">
        <f>IFERROR(__xludf.DUMMYFUNCTION("GOOGLETRANSLATE(C74,""fr"",""en"")"),"Former customer at AXA I unfortunately I have the litigation service on the back, after having changed insurance which themselves terminated my contract. I call AXA but Mr. Contract is terminated so why does the litigation service harass me ??? Ah it's ba"&amp;"d communication with us sir, do the necessary, but we can't, it's up to you to solve this problem with AXA ?? But Axa is you yes but not the same service !!! How to turn in circles thank you axa")</f>
        <v>Former customer at AXA I unfortunately I have the litigation service on the back, after having changed insurance which themselves terminated my contract. I call AXA but Mr. Contract is terminated so why does the litigation service harass me ??? Ah it's bad communication with us sir, do the necessary, but we can't, it's up to you to solve this problem with AXA ?? But Axa is you yes but not the same service !!! How to turn in circles thank you axa</v>
      </c>
    </row>
    <row r="75" ht="15.75" customHeight="1">
      <c r="A75" s="3">
        <v>4.0</v>
      </c>
      <c r="B75" s="3" t="s">
        <v>301</v>
      </c>
      <c r="C75" s="3" t="s">
        <v>302</v>
      </c>
      <c r="D75" s="3" t="s">
        <v>13</v>
      </c>
      <c r="E75" s="3" t="s">
        <v>14</v>
      </c>
      <c r="F75" s="3" t="s">
        <v>15</v>
      </c>
      <c r="G75" s="3" t="s">
        <v>303</v>
      </c>
      <c r="H75" s="3" t="s">
        <v>304</v>
      </c>
      <c r="I75" s="3" t="str">
        <f>IFERROR(__xludf.DUMMYFUNCTION("GOOGLETRANSLATE(C75,""fr"",""en"")"),"Very satisfied with their services, reachable and sympathetic customer service, impressed by the speed of compensation in just over 1 week everything was settled.")</f>
        <v>Very satisfied with their services, reachable and sympathetic customer service, impressed by the speed of compensation in just over 1 week everything was settled.</v>
      </c>
    </row>
    <row r="76" ht="15.75" customHeight="1">
      <c r="A76" s="3">
        <v>4.0</v>
      </c>
      <c r="B76" s="3" t="s">
        <v>305</v>
      </c>
      <c r="C76" s="3" t="s">
        <v>306</v>
      </c>
      <c r="D76" s="3" t="s">
        <v>108</v>
      </c>
      <c r="E76" s="3" t="s">
        <v>109</v>
      </c>
      <c r="F76" s="3" t="s">
        <v>15</v>
      </c>
      <c r="G76" s="3" t="s">
        <v>307</v>
      </c>
      <c r="H76" s="3" t="s">
        <v>35</v>
      </c>
      <c r="I76" s="3" t="str">
        <f>IFERROR(__xludf.DUMMYFUNCTION("GOOGLETRANSLATE(C76,""fr"",""en"")"),"insurance subscribed last August for my dog ​​and I am really delighted with my insurance. She recently had problems and the reimbursements were very fast. Everything is done online, no worries")</f>
        <v>insurance subscribed last August for my dog ​​and I am really delighted with my insurance. She recently had problems and the reimbursements were very fast. Everything is done online, no worries</v>
      </c>
    </row>
    <row r="77" ht="15.75" customHeight="1">
      <c r="A77" s="3">
        <v>4.0</v>
      </c>
      <c r="B77" s="3" t="s">
        <v>308</v>
      </c>
      <c r="C77" s="3" t="s">
        <v>309</v>
      </c>
      <c r="D77" s="3" t="s">
        <v>310</v>
      </c>
      <c r="E77" s="3" t="s">
        <v>311</v>
      </c>
      <c r="F77" s="3" t="s">
        <v>15</v>
      </c>
      <c r="G77" s="3" t="s">
        <v>312</v>
      </c>
      <c r="H77" s="3" t="s">
        <v>75</v>
      </c>
      <c r="I77" s="3" t="str">
        <f>IFERROR(__xludf.DUMMYFUNCTION("GOOGLETRANSLATE(C77,""fr"",""en"")"),"Service and reactivity to the cleat.
The prices increase as the conversation, it's a bit of a shame and very usual, but I understand that you start from a call price.
")</f>
        <v>Service and reactivity to the cleat.
The prices increase as the conversation, it's a bit of a shame and very usual, but I understand that you start from a call price.
</v>
      </c>
    </row>
    <row r="78" ht="15.75" customHeight="1">
      <c r="A78" s="3">
        <v>4.0</v>
      </c>
      <c r="B78" s="3" t="s">
        <v>313</v>
      </c>
      <c r="C78" s="3" t="s">
        <v>314</v>
      </c>
      <c r="D78" s="3" t="s">
        <v>42</v>
      </c>
      <c r="E78" s="3" t="s">
        <v>14</v>
      </c>
      <c r="F78" s="3" t="s">
        <v>15</v>
      </c>
      <c r="G78" s="3" t="s">
        <v>187</v>
      </c>
      <c r="H78" s="3" t="s">
        <v>23</v>
      </c>
      <c r="I78" s="3" t="str">
        <f>IFERROR(__xludf.DUMMYFUNCTION("GOOGLETRANSLATE(C78,""fr"",""en"")"),"I am satisfied with the service. Insurance for young drivers remains very affordable.
Besides, there are very mobilized packs to choose according to your need.
I recommend.")</f>
        <v>I am satisfied with the service. Insurance for young drivers remains very affordable.
Besides, there are very mobilized packs to choose according to your need.
I recommend.</v>
      </c>
    </row>
    <row r="79" ht="15.75" customHeight="1">
      <c r="A79" s="3">
        <v>3.0</v>
      </c>
      <c r="B79" s="3" t="s">
        <v>315</v>
      </c>
      <c r="C79" s="3" t="s">
        <v>316</v>
      </c>
      <c r="D79" s="3" t="s">
        <v>13</v>
      </c>
      <c r="E79" s="3" t="s">
        <v>14</v>
      </c>
      <c r="F79" s="3" t="s">
        <v>15</v>
      </c>
      <c r="G79" s="3" t="s">
        <v>317</v>
      </c>
      <c r="H79" s="3" t="s">
        <v>165</v>
      </c>
      <c r="I79" s="3" t="str">
        <f>IFERROR(__xludf.DUMMYFUNCTION("GOOGLETRANSLATE(C79,""fr"",""en"")"),"Concerns the prices they are reasonable, however it is poorly explained in your website at the time of the estimate of quotes. To be reviewed to be clear.")</f>
        <v>Concerns the prices they are reasonable, however it is poorly explained in your website at the time of the estimate of quotes. To be reviewed to be clear.</v>
      </c>
    </row>
    <row r="80" ht="15.75" customHeight="1">
      <c r="A80" s="3">
        <v>2.0</v>
      </c>
      <c r="B80" s="3" t="s">
        <v>318</v>
      </c>
      <c r="C80" s="3" t="s">
        <v>319</v>
      </c>
      <c r="D80" s="3" t="s">
        <v>42</v>
      </c>
      <c r="E80" s="3" t="s">
        <v>14</v>
      </c>
      <c r="F80" s="3" t="s">
        <v>15</v>
      </c>
      <c r="G80" s="3" t="s">
        <v>320</v>
      </c>
      <c r="H80" s="3" t="s">
        <v>321</v>
      </c>
      <c r="I80" s="3" t="str">
        <f>IFERROR(__xludf.DUMMYFUNCTION("GOOGLETRANSLATE(C80,""fr"",""en"")"),"I asked to review my contract because I am currently paying almost 900 euros while by making simulations at Direct Insurance I can pay half price and with competitors too, I plan to change if I am not offered a better price")</f>
        <v>I asked to review my contract because I am currently paying almost 900 euros while by making simulations at Direct Insurance I can pay half price and with competitors too, I plan to change if I am not offered a better price</v>
      </c>
    </row>
    <row r="81" ht="15.75" customHeight="1">
      <c r="A81" s="3">
        <v>3.0</v>
      </c>
      <c r="B81" s="3" t="s">
        <v>322</v>
      </c>
      <c r="C81" s="3" t="s">
        <v>323</v>
      </c>
      <c r="D81" s="3" t="s">
        <v>42</v>
      </c>
      <c r="E81" s="3" t="s">
        <v>14</v>
      </c>
      <c r="F81" s="3" t="s">
        <v>15</v>
      </c>
      <c r="G81" s="3" t="s">
        <v>85</v>
      </c>
      <c r="H81" s="3" t="s">
        <v>86</v>
      </c>
      <c r="I81" s="3" t="str">
        <f>IFERROR(__xludf.DUMMYFUNCTION("GOOGLETRANSLATE(C81,""fr"",""en"")"),"Practical and easy to use, satisfactory price and speed of response. Insurance that is placed in the average compared to the current market. Valid")</f>
        <v>Practical and easy to use, satisfactory price and speed of response. Insurance that is placed in the average compared to the current market. Valid</v>
      </c>
    </row>
    <row r="82" ht="15.75" customHeight="1">
      <c r="A82" s="3">
        <v>1.0</v>
      </c>
      <c r="B82" s="3" t="s">
        <v>324</v>
      </c>
      <c r="C82" s="3" t="s">
        <v>325</v>
      </c>
      <c r="D82" s="3" t="s">
        <v>246</v>
      </c>
      <c r="E82" s="3" t="s">
        <v>21</v>
      </c>
      <c r="F82" s="3" t="s">
        <v>15</v>
      </c>
      <c r="G82" s="3" t="s">
        <v>326</v>
      </c>
      <c r="H82" s="3" t="s">
        <v>124</v>
      </c>
      <c r="I82" s="3" t="str">
        <f>IFERROR(__xludf.DUMMYFUNCTION("GOOGLETRANSLATE(C82,""fr"",""en"")"),"Unable to contact customer service. The laptop numbers of my advisers dating from October 2017 are '' not attributed ''!
For subscription, very effective. For customer follow -up, information statement, claims, and co, much less ...
To flee.")</f>
        <v>Unable to contact customer service. The laptop numbers of my advisers dating from October 2017 are '' not attributed ''!
For subscription, very effective. For customer follow -up, information statement, claims, and co, much less ...
To flee.</v>
      </c>
    </row>
    <row r="83" ht="15.75" customHeight="1">
      <c r="A83" s="3">
        <v>1.0</v>
      </c>
      <c r="B83" s="3" t="s">
        <v>327</v>
      </c>
      <c r="C83" s="3" t="s">
        <v>328</v>
      </c>
      <c r="D83" s="3" t="s">
        <v>97</v>
      </c>
      <c r="E83" s="3" t="s">
        <v>98</v>
      </c>
      <c r="F83" s="3" t="s">
        <v>15</v>
      </c>
      <c r="G83" s="3" t="s">
        <v>329</v>
      </c>
      <c r="H83" s="3" t="s">
        <v>119</v>
      </c>
      <c r="I83" s="3" t="str">
        <f>IFERROR(__xludf.DUMMYFUNCTION("GOOGLETRANSLATE(C83,""fr"",""en"")"),"More than 3 months that I have subscribed to a Neoliane mutual and I have still not received a third-party payment card. I made reminders repeatedly with the Santian broker but the only meager consolation was to receive a provisional card by email valid f"&amp;"or a single month. Suddenly, I find myself forced to advance all my medical costs. And that's without counting on the reimbursements that I have been waiting for for several weeks. On the other hand, the samples from my bank account have been put in place"&amp;" from the start. And now I am told that I have no way to terminate. I look forward to finding a job to subscribe to a business mutual and thus have a valid reason for termination. And if it was to do again, I will go directly to see an insurer with a stor"&amp;"efront. At least, I would have an interlocutor in front of me who would give me valid answers. To flee absolutely!")</f>
        <v>More than 3 months that I have subscribed to a Neoliane mutual and I have still not received a third-party payment card. I made reminders repeatedly with the Santian broker but the only meager consolation was to receive a provisional card by email valid for a single month. Suddenly, I find myself forced to advance all my medical costs. And that's without counting on the reimbursements that I have been waiting for for several weeks. On the other hand, the samples from my bank account have been put in place from the start. And now I am told that I have no way to terminate. I look forward to finding a job to subscribe to a business mutual and thus have a valid reason for termination. And if it was to do again, I will go directly to see an insurer with a storefront. At least, I would have an interlocutor in front of me who would give me valid answers. To flee absolutely!</v>
      </c>
    </row>
    <row r="84" ht="15.75" customHeight="1">
      <c r="A84" s="3">
        <v>1.0</v>
      </c>
      <c r="B84" s="3" t="s">
        <v>330</v>
      </c>
      <c r="C84" s="3" t="s">
        <v>331</v>
      </c>
      <c r="D84" s="3" t="s">
        <v>332</v>
      </c>
      <c r="E84" s="3" t="s">
        <v>194</v>
      </c>
      <c r="F84" s="3" t="s">
        <v>15</v>
      </c>
      <c r="G84" s="3" t="s">
        <v>333</v>
      </c>
      <c r="H84" s="3" t="s">
        <v>115</v>
      </c>
      <c r="I84" s="3" t="str">
        <f>IFERROR(__xludf.DUMMYFUNCTION("GOOGLETRANSLATE(C84,""fr"",""en"")"),"Since September, I have been looking to recover the € 2,000 providents following the death of which the holder has contributed for 45 years at Smaid.
After x back always lacks something, the file is complete but the funds are not transferred. Advisors ar"&amp;"e impossible to undoubtedly join in school congests
On the other hand, it quickly returns a new request for membership
This organization is to be flee.
Here is my opinion")</f>
        <v>Since September, I have been looking to recover the € 2,000 providents following the death of which the holder has contributed for 45 years at Smaid.
After x back always lacks something, the file is complete but the funds are not transferred. Advisors are impossible to undoubtedly join in school congests
On the other hand, it quickly returns a new request for membership
This organization is to be flee.
Here is my opinion</v>
      </c>
    </row>
    <row r="85" ht="15.75" customHeight="1">
      <c r="A85" s="3">
        <v>5.0</v>
      </c>
      <c r="B85" s="3" t="s">
        <v>334</v>
      </c>
      <c r="C85" s="3" t="s">
        <v>335</v>
      </c>
      <c r="D85" s="3" t="s">
        <v>13</v>
      </c>
      <c r="E85" s="3" t="s">
        <v>14</v>
      </c>
      <c r="F85" s="3" t="s">
        <v>15</v>
      </c>
      <c r="G85" s="3" t="s">
        <v>336</v>
      </c>
      <c r="H85" s="3" t="s">
        <v>337</v>
      </c>
      <c r="I85" s="3" t="str">
        <f>IFERROR(__xludf.DUMMYFUNCTION("GOOGLETRANSLATE(C85,""fr"",""en"")"),"Satisfaction from any point of view. Speed, price, kindness. Insurance to recommend. Green card sent immediately. Easy to study online contract and subscribe")</f>
        <v>Satisfaction from any point of view. Speed, price, kindness. Insurance to recommend. Green card sent immediately. Easy to study online contract and subscribe</v>
      </c>
    </row>
    <row r="86" ht="15.75" customHeight="1">
      <c r="A86" s="3">
        <v>1.0</v>
      </c>
      <c r="B86" s="3" t="s">
        <v>338</v>
      </c>
      <c r="C86" s="3" t="s">
        <v>339</v>
      </c>
      <c r="D86" s="3" t="s">
        <v>42</v>
      </c>
      <c r="E86" s="3" t="s">
        <v>14</v>
      </c>
      <c r="F86" s="3" t="s">
        <v>15</v>
      </c>
      <c r="G86" s="3" t="s">
        <v>340</v>
      </c>
      <c r="H86" s="3" t="s">
        <v>341</v>
      </c>
      <c r="I86" s="3" t="str">
        <f>IFERROR(__xludf.DUMMYFUNCTION("GOOGLETRANSLATE(C86,""fr"",""en"")"),"A horror, 2 years old to settle an accident, a bad partner garage like everything, never any news from D.A, run away !!! For the price, it is worth the others, not to mention the discounts. For promises on services, it is simply a legend, none of the prom"&amp;"ised services has been respected, taken care of beyond an hour, no help for the observation, no warranty of repairs, no compensation for failed.")</f>
        <v>A horror, 2 years old to settle an accident, a bad partner garage like everything, never any news from D.A, run away !!! For the price, it is worth the others, not to mention the discounts. For promises on services, it is simply a legend, none of the promised services has been respected, taken care of beyond an hour, no help for the observation, no warranty of repairs, no compensation for failed.</v>
      </c>
    </row>
    <row r="87" ht="15.75" customHeight="1">
      <c r="A87" s="3">
        <v>2.0</v>
      </c>
      <c r="B87" s="3" t="s">
        <v>342</v>
      </c>
      <c r="C87" s="3" t="s">
        <v>343</v>
      </c>
      <c r="D87" s="3" t="s">
        <v>55</v>
      </c>
      <c r="E87" s="3" t="s">
        <v>14</v>
      </c>
      <c r="F87" s="3" t="s">
        <v>15</v>
      </c>
      <c r="G87" s="3" t="s">
        <v>344</v>
      </c>
      <c r="H87" s="3" t="s">
        <v>345</v>
      </c>
      <c r="I87" s="3" t="str">
        <f>IFERROR(__xludf.DUMMYFUNCTION("GOOGLETRANSLATE(C87,""fr"",""en"")"),"Complicated subscription. Just the first name has changed but not possible so I am offered a provisional termination which penalizes me by a month of insurance plus € 80 of additional costs so the almost the price of my Twingo is just lamentable")</f>
        <v>Complicated subscription. Just the first name has changed but not possible so I am offered a provisional termination which penalizes me by a month of insurance plus € 80 of additional costs so the almost the price of my Twingo is just lamentable</v>
      </c>
    </row>
    <row r="88" ht="15.75" customHeight="1">
      <c r="A88" s="3">
        <v>3.0</v>
      </c>
      <c r="B88" s="3" t="s">
        <v>346</v>
      </c>
      <c r="C88" s="3" t="s">
        <v>347</v>
      </c>
      <c r="D88" s="3" t="s">
        <v>13</v>
      </c>
      <c r="E88" s="3" t="s">
        <v>14</v>
      </c>
      <c r="F88" s="3" t="s">
        <v>15</v>
      </c>
      <c r="G88" s="3" t="s">
        <v>348</v>
      </c>
      <c r="H88" s="3" t="s">
        <v>44</v>
      </c>
      <c r="I88" s="3" t="str">
        <f>IFERROR(__xludf.DUMMYFUNCTION("GOOGLETRANSLATE(C88,""fr"",""en"")"),"Satisfied with the service but price for the other company
Very pleasant person in telpehone and French nationalot2 with whom we understand when we talk")</f>
        <v>Satisfied with the service but price for the other company
Very pleasant person in telpehone and French nationalot2 with whom we understand when we talk</v>
      </c>
    </row>
    <row r="89" ht="15.75" customHeight="1">
      <c r="A89" s="3">
        <v>1.0</v>
      </c>
      <c r="B89" s="3" t="s">
        <v>349</v>
      </c>
      <c r="C89" s="3" t="s">
        <v>350</v>
      </c>
      <c r="D89" s="3" t="s">
        <v>78</v>
      </c>
      <c r="E89" s="3" t="s">
        <v>14</v>
      </c>
      <c r="F89" s="3" t="s">
        <v>15</v>
      </c>
      <c r="G89" s="3" t="s">
        <v>351</v>
      </c>
      <c r="H89" s="3" t="s">
        <v>341</v>
      </c>
      <c r="I89" s="3" t="str">
        <f>IFERROR(__xludf.DUMMYFUNCTION("GOOGLETRANSLATE(C89,""fr"",""en"")"),"Lamentable service !!! Unreachable on the phone, do not respond to emails, or with 2 months of latency. I asked for an information statement in July, we are in March I'm still waiting for it !!")</f>
        <v>Lamentable service !!! Unreachable on the phone, do not respond to emails, or with 2 months of latency. I asked for an information statement in July, we are in March I'm still waiting for it !!</v>
      </c>
    </row>
    <row r="90" ht="15.75" customHeight="1">
      <c r="A90" s="3">
        <v>5.0</v>
      </c>
      <c r="B90" s="3" t="s">
        <v>352</v>
      </c>
      <c r="C90" s="3" t="s">
        <v>353</v>
      </c>
      <c r="D90" s="3" t="s">
        <v>140</v>
      </c>
      <c r="E90" s="3" t="s">
        <v>98</v>
      </c>
      <c r="F90" s="3" t="s">
        <v>15</v>
      </c>
      <c r="G90" s="3" t="s">
        <v>51</v>
      </c>
      <c r="H90" s="3" t="s">
        <v>52</v>
      </c>
      <c r="I90" s="3" t="str">
        <f>IFERROR(__xludf.DUMMYFUNCTION("GOOGLETRANSLATE(C90,""fr"",""en"")"),"Sabrina was super, attentive to listening, answered all my expectations and my questions, kind, and available for the client,")</f>
        <v>Sabrina was super, attentive to listening, answered all my expectations and my questions, kind, and available for the client,</v>
      </c>
    </row>
    <row r="91" ht="15.75" customHeight="1">
      <c r="A91" s="3">
        <v>3.0</v>
      </c>
      <c r="B91" s="3" t="s">
        <v>354</v>
      </c>
      <c r="C91" s="3" t="s">
        <v>355</v>
      </c>
      <c r="D91" s="3" t="s">
        <v>13</v>
      </c>
      <c r="E91" s="3" t="s">
        <v>14</v>
      </c>
      <c r="F91" s="3" t="s">
        <v>15</v>
      </c>
      <c r="G91" s="3" t="s">
        <v>356</v>
      </c>
      <c r="H91" s="3" t="s">
        <v>44</v>
      </c>
      <c r="I91" s="3" t="str">
        <f>IFERROR(__xludf.DUMMYFUNCTION("GOOGLETRANSLATE(C91,""fr"",""en"")"),"Quick call, and all the information requested is explained in an easy way.
Even if the price is high enough I remain while waiting to see your services.
Cordially")</f>
        <v>Quick call, and all the information requested is explained in an easy way.
Even if the price is high enough I remain while waiting to see your services.
Cordially</v>
      </c>
    </row>
    <row r="92" ht="15.75" customHeight="1">
      <c r="A92" s="3">
        <v>5.0</v>
      </c>
      <c r="B92" s="3" t="s">
        <v>357</v>
      </c>
      <c r="C92" s="3" t="s">
        <v>358</v>
      </c>
      <c r="D92" s="3" t="s">
        <v>13</v>
      </c>
      <c r="E92" s="3" t="s">
        <v>14</v>
      </c>
      <c r="F92" s="3" t="s">
        <v>15</v>
      </c>
      <c r="G92" s="3" t="s">
        <v>359</v>
      </c>
      <c r="H92" s="3" t="s">
        <v>360</v>
      </c>
      <c r="I92" s="3" t="str">
        <f>IFERROR(__xludf.DUMMYFUNCTION("GOOGLETRANSLATE(C92,""fr"",""en"")"),"I went there for the price and was conquered by the speed and quality of the service")</f>
        <v>I went there for the price and was conquered by the speed and quality of the service</v>
      </c>
    </row>
    <row r="93" ht="15.75" customHeight="1">
      <c r="A93" s="3">
        <v>2.0</v>
      </c>
      <c r="B93" s="3" t="s">
        <v>361</v>
      </c>
      <c r="C93" s="3" t="s">
        <v>362</v>
      </c>
      <c r="D93" s="3" t="s">
        <v>47</v>
      </c>
      <c r="E93" s="3" t="s">
        <v>33</v>
      </c>
      <c r="F93" s="3" t="s">
        <v>15</v>
      </c>
      <c r="G93" s="3" t="s">
        <v>363</v>
      </c>
      <c r="H93" s="3" t="s">
        <v>44</v>
      </c>
      <c r="I93" s="3" t="str">
        <f>IFERROR(__xludf.DUMMYFUNCTION("GOOGLETRANSLATE(C93,""fr"",""en"")"),"Very disappointed with this insurance, yet I had confidence in Crédit Agricole being at home for over 10 years.
No responsiveness on their part, only beautiful sentences for few actions.
As long as you pay everything is fine but as soon as you have a pr"&amp;"oblem, just 1 sinister after 5 years of subscription you can no longer see anyone, we don't hear anyone anymore.
")</f>
        <v>Very disappointed with this insurance, yet I had confidence in Crédit Agricole being at home for over 10 years.
No responsiveness on their part, only beautiful sentences for few actions.
As long as you pay everything is fine but as soon as you have a problem, just 1 sinister after 5 years of subscription you can no longer see anyone, we don't hear anyone anymore.
</v>
      </c>
    </row>
    <row r="94" ht="15.75" customHeight="1">
      <c r="A94" s="3">
        <v>5.0</v>
      </c>
      <c r="B94" s="3" t="s">
        <v>364</v>
      </c>
      <c r="C94" s="3" t="s">
        <v>365</v>
      </c>
      <c r="D94" s="3" t="s">
        <v>42</v>
      </c>
      <c r="E94" s="3" t="s">
        <v>14</v>
      </c>
      <c r="F94" s="3" t="s">
        <v>15</v>
      </c>
      <c r="G94" s="3" t="s">
        <v>366</v>
      </c>
      <c r="H94" s="3" t="s">
        <v>39</v>
      </c>
      <c r="I94" s="3" t="str">
        <f>IFERROR(__xludf.DUMMYFUNCTION("GOOGLETRANSLATE(C94,""fr"",""en"")"),"Simple and practical speed, suitable price, hoping that everything will go well afterwards will see well
The car will only drive occasionally
")</f>
        <v>Simple and practical speed, suitable price, hoping that everything will go well afterwards will see well
The car will only drive occasionally
</v>
      </c>
    </row>
    <row r="95" ht="15.75" customHeight="1">
      <c r="A95" s="3">
        <v>5.0</v>
      </c>
      <c r="B95" s="3" t="s">
        <v>367</v>
      </c>
      <c r="C95" s="3" t="s">
        <v>368</v>
      </c>
      <c r="D95" s="3" t="s">
        <v>42</v>
      </c>
      <c r="E95" s="3" t="s">
        <v>14</v>
      </c>
      <c r="F95" s="3" t="s">
        <v>15</v>
      </c>
      <c r="G95" s="3" t="s">
        <v>369</v>
      </c>
      <c r="H95" s="3" t="s">
        <v>17</v>
      </c>
      <c r="I95" s="3" t="str">
        <f>IFERROR(__xludf.DUMMYFUNCTION("GOOGLETRANSLATE(C95,""fr"",""en"")"),"Very satisfied with this insurance company. I had 2 claims in 6 months, each time not responsible and everything was fast, we are quickly contacted by an advisor who answers all our questions, a service at the top with treatment of the Vehicle at home or "&amp;"in his workplace, loan of courtesy vehicle during the duration of the work, all for a very advantageous rate.")</f>
        <v>Very satisfied with this insurance company. I had 2 claims in 6 months, each time not responsible and everything was fast, we are quickly contacted by an advisor who answers all our questions, a service at the top with treatment of the Vehicle at home or in his workplace, loan of courtesy vehicle during the duration of the work, all for a very advantageous rate.</v>
      </c>
    </row>
    <row r="96" ht="15.75" customHeight="1">
      <c r="A96" s="3">
        <v>2.0</v>
      </c>
      <c r="B96" s="3" t="s">
        <v>370</v>
      </c>
      <c r="C96" s="3" t="s">
        <v>371</v>
      </c>
      <c r="D96" s="3" t="s">
        <v>175</v>
      </c>
      <c r="E96" s="3" t="s">
        <v>98</v>
      </c>
      <c r="F96" s="3" t="s">
        <v>15</v>
      </c>
      <c r="G96" s="3" t="s">
        <v>372</v>
      </c>
      <c r="H96" s="3" t="s">
        <v>115</v>
      </c>
      <c r="I96" s="3" t="str">
        <f>IFERROR(__xludf.DUMMYFUNCTION("GOOGLETRANSLATE(C96,""fr"",""en"")"),"We must congratulate the billing department: they are always at the RV and you summon to pay impetus in the event of delay.
Unfortunately this is not the case with the reimbursement service: contacted 5 different agents to obtain 5 different answers. I h"&amp;"ave been waiting for 4 months for an eventual reimbursement on their part, but the last contact tells me that I am not covered. This completely differs from the remarks made when subscribing to the police.
To avoid this insurer!")</f>
        <v>We must congratulate the billing department: they are always at the RV and you summon to pay impetus in the event of delay.
Unfortunately this is not the case with the reimbursement service: contacted 5 different agents to obtain 5 different answers. I have been waiting for 4 months for an eventual reimbursement on their part, but the last contact tells me that I am not covered. This completely differs from the remarks made when subscribing to the police.
To avoid this insurer!</v>
      </c>
    </row>
    <row r="97" ht="15.75" customHeight="1">
      <c r="A97" s="3">
        <v>5.0</v>
      </c>
      <c r="B97" s="3" t="s">
        <v>373</v>
      </c>
      <c r="C97" s="3" t="s">
        <v>374</v>
      </c>
      <c r="D97" s="3" t="s">
        <v>13</v>
      </c>
      <c r="E97" s="3" t="s">
        <v>14</v>
      </c>
      <c r="F97" s="3" t="s">
        <v>15</v>
      </c>
      <c r="G97" s="3" t="s">
        <v>375</v>
      </c>
      <c r="H97" s="3" t="s">
        <v>100</v>
      </c>
      <c r="I97" s="3" t="str">
        <f>IFERROR(__xludf.DUMMYFUNCTION("GOOGLETRANSLATE(C97,""fr"",""en"")"),"For the moment nothing to say,
Customer service is pleasant and responsive, the prices are very competitive. It remains to be confirmed in the event of a claim ...")</f>
        <v>For the moment nothing to say,
Customer service is pleasant and responsive, the prices are very competitive. It remains to be confirmed in the event of a claim ...</v>
      </c>
    </row>
    <row r="98" ht="15.75" customHeight="1">
      <c r="A98" s="3">
        <v>5.0</v>
      </c>
      <c r="B98" s="3" t="s">
        <v>376</v>
      </c>
      <c r="C98" s="3" t="s">
        <v>377</v>
      </c>
      <c r="D98" s="3" t="s">
        <v>32</v>
      </c>
      <c r="E98" s="3" t="s">
        <v>14</v>
      </c>
      <c r="F98" s="3" t="s">
        <v>15</v>
      </c>
      <c r="G98" s="3" t="s">
        <v>378</v>
      </c>
      <c r="H98" s="3" t="s">
        <v>23</v>
      </c>
      <c r="I98" s="3" t="str">
        <f>IFERROR(__xludf.DUMMYFUNCTION("GOOGLETRANSLATE(C98,""fr"",""en"")"),"Good services and advice. Home telephone good, good price always good advice and very clear on the phone no need to move ,.")</f>
        <v>Good services and advice. Home telephone good, good price always good advice and very clear on the phone no need to move ,.</v>
      </c>
    </row>
    <row r="99" ht="15.75" customHeight="1">
      <c r="A99" s="3">
        <v>1.0</v>
      </c>
      <c r="B99" s="3" t="s">
        <v>379</v>
      </c>
      <c r="C99" s="3" t="s">
        <v>380</v>
      </c>
      <c r="D99" s="3" t="s">
        <v>97</v>
      </c>
      <c r="E99" s="3" t="s">
        <v>98</v>
      </c>
      <c r="F99" s="3" t="s">
        <v>15</v>
      </c>
      <c r="G99" s="3" t="s">
        <v>381</v>
      </c>
      <c r="H99" s="3" t="s">
        <v>44</v>
      </c>
      <c r="I99" s="3" t="str">
        <f>IFERROR(__xludf.DUMMYFUNCTION("GOOGLETRANSLATE(C99,""fr"",""en"")"),"Pay attention to the termination by another broker: you must join a brokerage mandate signed by your hand. Otherwise it refuses your termination.
My insurer has just answered me that this is not an obligation.
It is incorrect.
Never take this insurance"&amp;"
")</f>
        <v>Pay attention to the termination by another broker: you must join a brokerage mandate signed by your hand. Otherwise it refuses your termination.
My insurer has just answered me that this is not an obligation.
It is incorrect.
Never take this insurance
</v>
      </c>
    </row>
    <row r="100" ht="15.75" customHeight="1">
      <c r="A100" s="3">
        <v>5.0</v>
      </c>
      <c r="B100" s="3" t="s">
        <v>382</v>
      </c>
      <c r="C100" s="3" t="s">
        <v>383</v>
      </c>
      <c r="D100" s="3" t="s">
        <v>384</v>
      </c>
      <c r="E100" s="3" t="s">
        <v>21</v>
      </c>
      <c r="F100" s="3" t="s">
        <v>15</v>
      </c>
      <c r="G100" s="3" t="s">
        <v>385</v>
      </c>
      <c r="H100" s="3" t="s">
        <v>23</v>
      </c>
      <c r="I100" s="3" t="str">
        <f>IFERROR(__xludf.DUMMYFUNCTION("GOOGLETRANSLATE(C100,""fr"",""en"")"),"Competitive price, reactive customer service and high -performance web interface. I have been a customer for 5 years and I highly recommend. I recently changed motorcycles and compared the offers of the other aussure on this occasion: I stayed at AMV")</f>
        <v>Competitive price, reactive customer service and high -performance web interface. I have been a customer for 5 years and I highly recommend. I recently changed motorcycles and compared the offers of the other aussure on this occasion: I stayed at AMV</v>
      </c>
    </row>
    <row r="101" ht="15.75" customHeight="1">
      <c r="A101" s="3">
        <v>4.0</v>
      </c>
      <c r="B101" s="3" t="s">
        <v>386</v>
      </c>
      <c r="C101" s="3" t="s">
        <v>387</v>
      </c>
      <c r="D101" s="3" t="s">
        <v>42</v>
      </c>
      <c r="E101" s="3" t="s">
        <v>14</v>
      </c>
      <c r="F101" s="3" t="s">
        <v>15</v>
      </c>
      <c r="G101" s="3" t="s">
        <v>388</v>
      </c>
      <c r="H101" s="3" t="s">
        <v>165</v>
      </c>
      <c r="I101" s="3" t="str">
        <f>IFERROR(__xludf.DUMMYFUNCTION("GOOGLETRANSLATE(C101,""fr"",""en"")"),"I am satisfied with the service and the prices but not the fact of giving my opinion because it does not accept what I say and we must wait 107 years to get out of there")</f>
        <v>I am satisfied with the service and the prices but not the fact of giving my opinion because it does not accept what I say and we must wait 107 years to get out of there</v>
      </c>
    </row>
    <row r="102" ht="15.75" customHeight="1">
      <c r="A102" s="3">
        <v>5.0</v>
      </c>
      <c r="B102" s="3" t="s">
        <v>389</v>
      </c>
      <c r="C102" s="3" t="s">
        <v>390</v>
      </c>
      <c r="D102" s="3" t="s">
        <v>20</v>
      </c>
      <c r="E102" s="3" t="s">
        <v>21</v>
      </c>
      <c r="F102" s="3" t="s">
        <v>15</v>
      </c>
      <c r="G102" s="3" t="s">
        <v>391</v>
      </c>
      <c r="H102" s="3" t="s">
        <v>165</v>
      </c>
      <c r="I102" s="3" t="str">
        <f>IFERROR(__xludf.DUMMYFUNCTION("GOOGLETRANSLATE(C102,""fr"",""en"")"),"Easy to use site, attractive price, fast subscription.
That positive points for the moment, it remains to be seen in use, if it remains positive.")</f>
        <v>Easy to use site, attractive price, fast subscription.
That positive points for the moment, it remains to be seen in use, if it remains positive.</v>
      </c>
    </row>
    <row r="103" ht="15.75" customHeight="1">
      <c r="A103" s="3">
        <v>1.0</v>
      </c>
      <c r="B103" s="3" t="s">
        <v>392</v>
      </c>
      <c r="C103" s="3" t="s">
        <v>393</v>
      </c>
      <c r="D103" s="3" t="s">
        <v>55</v>
      </c>
      <c r="E103" s="3" t="s">
        <v>14</v>
      </c>
      <c r="F103" s="3" t="s">
        <v>15</v>
      </c>
      <c r="G103" s="3" t="s">
        <v>394</v>
      </c>
      <c r="H103" s="3" t="s">
        <v>229</v>
      </c>
      <c r="I103" s="3" t="str">
        <f>IFERROR(__xludf.DUMMYFUNCTION("GOOGLETRANSLATE(C103,""fr"",""en"")"),"Does not take into account the messages that have been adorned to him for months, liar hostesses to allow a file to rot in order to deceive on the dates of maturity")</f>
        <v>Does not take into account the messages that have been adorned to him for months, liar hostesses to allow a file to rot in order to deceive on the dates of maturity</v>
      </c>
    </row>
    <row r="104" ht="15.75" customHeight="1">
      <c r="A104" s="3">
        <v>2.0</v>
      </c>
      <c r="B104" s="3" t="s">
        <v>395</v>
      </c>
      <c r="C104" s="3" t="s">
        <v>396</v>
      </c>
      <c r="D104" s="3" t="s">
        <v>47</v>
      </c>
      <c r="E104" s="3" t="s">
        <v>14</v>
      </c>
      <c r="F104" s="3" t="s">
        <v>15</v>
      </c>
      <c r="G104" s="3" t="s">
        <v>397</v>
      </c>
      <c r="H104" s="3" t="s">
        <v>304</v>
      </c>
      <c r="I104" s="3" t="str">
        <f>IFERROR(__xludf.DUMMYFUNCTION("GOOGLETRANSLATE(C104,""fr"",""en"")"),"I cannot say with certainty how the insurance company behaves with its customers, but through the banks on which it is based, transpires slow and indecision, it disorients the customer, everything becomes an excessive loss of time, With the relative probl"&amp;"ems that this poses to those who work.
In the event of assistance, there is no automatic solution, we must start it, promote it, push it, wait without certainty, resolve it, until the customer discovers that without assistance, everything is simpler and "&amp;"faster.")</f>
        <v>I cannot say with certainty how the insurance company behaves with its customers, but through the banks on which it is based, transpires slow and indecision, it disorients the customer, everything becomes an excessive loss of time, With the relative problems that this poses to those who work.
In the event of assistance, there is no automatic solution, we must start it, promote it, push it, wait without certainty, resolve it, until the customer discovers that without assistance, everything is simpler and faster.</v>
      </c>
    </row>
    <row r="105" ht="15.75" customHeight="1">
      <c r="A105" s="3">
        <v>5.0</v>
      </c>
      <c r="B105" s="3" t="s">
        <v>398</v>
      </c>
      <c r="C105" s="3" t="s">
        <v>399</v>
      </c>
      <c r="D105" s="3" t="s">
        <v>42</v>
      </c>
      <c r="E105" s="3" t="s">
        <v>14</v>
      </c>
      <c r="F105" s="3" t="s">
        <v>15</v>
      </c>
      <c r="G105" s="3" t="s">
        <v>400</v>
      </c>
      <c r="H105" s="3" t="s">
        <v>115</v>
      </c>
      <c r="I105" s="3" t="str">
        <f>IFERROR(__xludf.DUMMYFUNCTION("GOOGLETRANSLATE(C105,""fr"",""en"")"),"Satisfied with the simple and practical service
The price suits me, and to recommend it to those around me thank you. And ask you to make a commercial gesture for me in the future.")</f>
        <v>Satisfied with the simple and practical service
The price suits me, and to recommend it to those around me thank you. And ask you to make a commercial gesture for me in the future.</v>
      </c>
    </row>
    <row r="106" ht="15.75" customHeight="1">
      <c r="A106" s="3">
        <v>2.0</v>
      </c>
      <c r="B106" s="3" t="s">
        <v>401</v>
      </c>
      <c r="C106" s="3" t="s">
        <v>402</v>
      </c>
      <c r="D106" s="3" t="s">
        <v>251</v>
      </c>
      <c r="E106" s="3" t="s">
        <v>27</v>
      </c>
      <c r="F106" s="3" t="s">
        <v>15</v>
      </c>
      <c r="G106" s="3" t="s">
        <v>403</v>
      </c>
      <c r="H106" s="3" t="s">
        <v>169</v>
      </c>
      <c r="I106" s="3" t="str">
        <f>IFERROR(__xludf.DUMMYFUNCTION("GOOGLETRANSLATE(C106,""fr"",""en"")"),"Impossible to obtain from cardif the detail of the social security contributions taken on the value of buying life insurance:
Following the death of my mother on January 18, 2017, my brother and I inherited a life insurance contract which she held at BNP"&amp;" Paribas Cardif since 2000.
Cardif sent us the partial declaration of succession for this contract on which the amount of capital paid appears.
However, it is that my brother was a tutor and managed my mother's accounts. In December 2016, he had receive"&amp;"d the annual state in December 2016 for this life insurance in which it is specified that the repurchase value on December 31, 2016 greater than 12,500 euros with the paid capital. This is funding in euros in euros only and that the amount of social secur"&amp;"ity contributions was taken in 2016.
We called Cardif to have an explanation on this difference of more than 12,500 euros. We were told that nothing could be communicated to us by phone. We had to write to them. My brother and I have each sent a register"&amp;"ed letter with acknowledgment of receipt on June 6, 2017 so that they provide us with the detailed and understandable calculation of these social charges deducted before determining the amount returning to us.
Three months later, having received no respo"&amp;"nse, I sent Cardif a formal notice by registered letter with acknowledgment of receipt on September 8, 2017.
Cardif finally responded on September 19 by giving the total social security contributions, recalling the history of the evolution of social secu"&amp;"rity contributions since 1996 but without giving the details of the calculations as requested. The explanatory notices announced at the end of the letter are not present either in attachments.
Is it to obtain from them the calculation of social security "&amp;"contributions which have not been taken and which remain due during a succession? Knowing that social security contributions have been settled in any case in recent years.
")</f>
        <v>Impossible to obtain from cardif the detail of the social security contributions taken on the value of buying life insurance:
Following the death of my mother on January 18, 2017, my brother and I inherited a life insurance contract which she held at BNP Paribas Cardif since 2000.
Cardif sent us the partial declaration of succession for this contract on which the amount of capital paid appears.
However, it is that my brother was a tutor and managed my mother's accounts. In December 2016, he had received the annual state in December 2016 for this life insurance in which it is specified that the repurchase value on December 31, 2016 greater than 12,500 euros with the paid capital. This is funding in euros in euros only and that the amount of social security contributions was taken in 2016.
We called Cardif to have an explanation on this difference of more than 12,500 euros. We were told that nothing could be communicated to us by phone. We had to write to them. My brother and I have each sent a registered letter with acknowledgment of receipt on June 6, 2017 so that they provide us with the detailed and understandable calculation of these social charges deducted before determining the amount returning to us.
Three months later, having received no response, I sent Cardif a formal notice by registered letter with acknowledgment of receipt on September 8, 2017.
Cardif finally responded on September 19 by giving the total social security contributions, recalling the history of the evolution of social security contributions since 1996 but without giving the details of the calculations as requested. The explanatory notices announced at the end of the letter are not present either in attachments.
Is it to obtain from them the calculation of social security contributions which have not been taken and which remain due during a succession? Knowing that social security contributions have been settled in any case in recent years.
</v>
      </c>
    </row>
    <row r="107" ht="15.75" customHeight="1">
      <c r="A107" s="3">
        <v>2.0</v>
      </c>
      <c r="B107" s="3" t="s">
        <v>404</v>
      </c>
      <c r="C107" s="3" t="s">
        <v>405</v>
      </c>
      <c r="D107" s="3" t="s">
        <v>13</v>
      </c>
      <c r="E107" s="3" t="s">
        <v>14</v>
      </c>
      <c r="F107" s="3" t="s">
        <v>15</v>
      </c>
      <c r="G107" s="3" t="s">
        <v>406</v>
      </c>
      <c r="H107" s="3" t="s">
        <v>169</v>
      </c>
      <c r="I107" s="3" t="str">
        <f>IFERROR(__xludf.DUMMYFUNCTION("GOOGLETRANSLATE(C107,""fr"",""en"")"),"Insurance to flee absolutely
Problems from the start
To start processing documents is catastrophic
Their computer system bug everywhere (non -consolidable document counts nonexistent while payment has been paid to him
At the level of customer service "&amp;"is lamentable
Following a date ""error"" over the year of obtaining the driving license (2007 of marked instead of 2005 therefore more years of driving)
He charges me 15 of the file fees + an increase in my insurance premium (under what pretext I do not"&amp;" know he cannot explain it
The operator on the phone can do nothing
Unfortunately I just took this insurance but in 1 year it is clear I am more with them
I hope this comment will serve as a warning for other Internet users")</f>
        <v>Insurance to flee absolutely
Problems from the start
To start processing documents is catastrophic
Their computer system bug everywhere (non -consolidable document counts nonexistent while payment has been paid to him
At the level of customer service is lamentable
Following a date "error" over the year of obtaining the driving license (2007 of marked instead of 2005 therefore more years of driving)
He charges me 15 of the file fees + an increase in my insurance premium (under what pretext I do not know he cannot explain it
The operator on the phone can do nothing
Unfortunately I just took this insurance but in 1 year it is clear I am more with them
I hope this comment will serve as a warning for other Internet users</v>
      </c>
    </row>
    <row r="108" ht="15.75" customHeight="1">
      <c r="A108" s="3">
        <v>5.0</v>
      </c>
      <c r="B108" s="3" t="s">
        <v>407</v>
      </c>
      <c r="C108" s="3" t="s">
        <v>408</v>
      </c>
      <c r="D108" s="3" t="s">
        <v>20</v>
      </c>
      <c r="E108" s="3" t="s">
        <v>21</v>
      </c>
      <c r="F108" s="3" t="s">
        <v>15</v>
      </c>
      <c r="G108" s="3" t="s">
        <v>409</v>
      </c>
      <c r="H108" s="3" t="s">
        <v>165</v>
      </c>
      <c r="I108" s="3" t="str">
        <f>IFERROR(__xludf.DUMMYFUNCTION("GOOGLETRANSLATE(C108,""fr"",""en"")"),"I am really satisfied with the price and the speed of the service requested I recommend this insurance to all bikers
Thank you and good road to all")</f>
        <v>I am really satisfied with the price and the speed of the service requested I recommend this insurance to all bikers
Thank you and good road to all</v>
      </c>
    </row>
    <row r="109" ht="15.75" customHeight="1">
      <c r="A109" s="3">
        <v>1.0</v>
      </c>
      <c r="B109" s="3" t="s">
        <v>410</v>
      </c>
      <c r="C109" s="3" t="s">
        <v>411</v>
      </c>
      <c r="D109" s="3" t="s">
        <v>81</v>
      </c>
      <c r="E109" s="3" t="s">
        <v>33</v>
      </c>
      <c r="F109" s="3" t="s">
        <v>15</v>
      </c>
      <c r="G109" s="3" t="s">
        <v>412</v>
      </c>
      <c r="H109" s="3" t="s">
        <v>236</v>
      </c>
      <c r="I109" s="3" t="str">
        <f>IFERROR(__xludf.DUMMYFUNCTION("GOOGLETRANSLATE(C109,""fr"",""en"")"),"As long as you have no problem and the money fits into the boxes of the Super Macif, if not after an accident 2 years ago at my home, my owner had to cover all the costs of my accident but as his insurance asked him for a deductible of € 170 he refused to"&amp;" make his insurance work, and it was his word against all my certificates, I am a victim and the Macif did not argue me on the contrary they supported the word of my owner Insured at the GMF Find the error, 2 years after this accident my insurance send me"&amp;" to an expert doctor of course pay by the Macif this being saying Dr. To manage it is not a little Antobers who put you in a wheelchair with a big smile this saying Dr was unaware that I was an 80% disabled person in a wheelchair for 15 years, result humi"&amp;"liated by this man found a disability rate From 0% to believe that this if you say DR is smarter than all specialists and medical teachers who have recognized 80% invalid this is lamentable a doctor '' expert '' '?? in 5 minutes to do a 4 -page mail at th"&amp;"e Macif")</f>
        <v>As long as you have no problem and the money fits into the boxes of the Super Macif, if not after an accident 2 years ago at my home, my owner had to cover all the costs of my accident but as his insurance asked him for a deductible of € 170 he refused to make his insurance work, and it was his word against all my certificates, I am a victim and the Macif did not argue me on the contrary they supported the word of my owner Insured at the GMF Find the error, 2 years after this accident my insurance send me to an expert doctor of course pay by the Macif this being saying Dr. To manage it is not a little Antobers who put you in a wheelchair with a big smile this saying Dr was unaware that I was an 80% disabled person in a wheelchair for 15 years, result humiliated by this man found a disability rate From 0% to believe that this if you say DR is smarter than all specialists and medical teachers who have recognized 80% invalid this is lamentable a doctor '' expert '' '?? in 5 minutes to do a 4 -page mail at the Macif</v>
      </c>
    </row>
    <row r="110" ht="15.75" customHeight="1">
      <c r="A110" s="3">
        <v>2.0</v>
      </c>
      <c r="B110" s="3" t="s">
        <v>413</v>
      </c>
      <c r="C110" s="3" t="s">
        <v>414</v>
      </c>
      <c r="D110" s="3" t="s">
        <v>384</v>
      </c>
      <c r="E110" s="3" t="s">
        <v>21</v>
      </c>
      <c r="F110" s="3" t="s">
        <v>15</v>
      </c>
      <c r="G110" s="3" t="s">
        <v>415</v>
      </c>
      <c r="H110" s="3" t="s">
        <v>71</v>
      </c>
      <c r="I110" s="3" t="str">
        <f>IFERROR(__xludf.DUMMYFUNCTION("GOOGLETRANSLATE(C110,""fr"",""en"")"),"Totally Kafkaian.
When you subscribe, you are asked for the motorcycle parking address.
But they did not think that we do not necessarily live where the motorcycle is parked and that it is not necessarily possible to receive mail there.
Suddenly, aft"&amp;"er a good scandal, AMV is kind enough to send me exceptionally my green card where I live because it is not next year I will have to manage.
Their solution: follow up at the post office!
Basically you pay 150 € of insurance and you ask you to take the"&amp;" lead to make a postal transfer which costs 20 €. We swim in delirium!
By behaving thus, AMV encourages its customers to lie to the parking address of the motorcycle.
Legally it cannot hold water even if they say ""it's our conditions!""
When conditi"&amp;"ons are abusive, they must jump.
In short, barely assured, I regret having come to these people who clearly deserve certain bird names.")</f>
        <v>Totally Kafkaian.
When you subscribe, you are asked for the motorcycle parking address.
But they did not think that we do not necessarily live where the motorcycle is parked and that it is not necessarily possible to receive mail there.
Suddenly, after a good scandal, AMV is kind enough to send me exceptionally my green card where I live because it is not next year I will have to manage.
Their solution: follow up at the post office!
Basically you pay 150 € of insurance and you ask you to take the lead to make a postal transfer which costs 20 €. We swim in delirium!
By behaving thus, AMV encourages its customers to lie to the parking address of the motorcycle.
Legally it cannot hold water even if they say "it's our conditions!"
When conditions are abusive, they must jump.
In short, barely assured, I regret having come to these people who clearly deserve certain bird names.</v>
      </c>
    </row>
    <row r="111" ht="15.75" customHeight="1">
      <c r="A111" s="3">
        <v>5.0</v>
      </c>
      <c r="B111" s="3" t="s">
        <v>416</v>
      </c>
      <c r="C111" s="3" t="s">
        <v>417</v>
      </c>
      <c r="D111" s="3" t="s">
        <v>13</v>
      </c>
      <c r="E111" s="3" t="s">
        <v>14</v>
      </c>
      <c r="F111" s="3" t="s">
        <v>15</v>
      </c>
      <c r="G111" s="3" t="s">
        <v>418</v>
      </c>
      <c r="H111" s="3" t="s">
        <v>115</v>
      </c>
      <c r="I111" s="3" t="str">
        <f>IFERROR(__xludf.DUMMYFUNCTION("GOOGLETRANSLATE(C111,""fr"",""en"")"),"Well, good good
Advisor attached to the very courteous phone, very important human relationship .....
I await my contract, fortunately I am a writer ...")</f>
        <v>Well, good good
Advisor attached to the very courteous phone, very important human relationship .....
I await my contract, fortunately I am a writer ...</v>
      </c>
    </row>
    <row r="112" ht="15.75" customHeight="1">
      <c r="A112" s="3">
        <v>4.0</v>
      </c>
      <c r="B112" s="3" t="s">
        <v>419</v>
      </c>
      <c r="C112" s="3" t="s">
        <v>420</v>
      </c>
      <c r="D112" s="3" t="s">
        <v>421</v>
      </c>
      <c r="E112" s="3" t="s">
        <v>98</v>
      </c>
      <c r="F112" s="3" t="s">
        <v>15</v>
      </c>
      <c r="G112" s="3" t="s">
        <v>422</v>
      </c>
      <c r="H112" s="3" t="s">
        <v>71</v>
      </c>
      <c r="I112" s="3" t="str">
        <f>IFERROR(__xludf.DUMMYFUNCTION("GOOGLETRANSLATE(C112,""fr"",""en"")"),"Very pleasant contact on the phone with a very attractive and sweet lady. She answered all our questions. The hospital care was perfect. Our are reassured.")</f>
        <v>Very pleasant contact on the phone with a very attractive and sweet lady. She answered all our questions. The hospital care was perfect. Our are reassured.</v>
      </c>
    </row>
    <row r="113" ht="15.75" customHeight="1">
      <c r="A113" s="3">
        <v>3.0</v>
      </c>
      <c r="B113" s="3" t="s">
        <v>423</v>
      </c>
      <c r="C113" s="3" t="s">
        <v>424</v>
      </c>
      <c r="D113" s="3" t="s">
        <v>13</v>
      </c>
      <c r="E113" s="3" t="s">
        <v>14</v>
      </c>
      <c r="F113" s="3" t="s">
        <v>15</v>
      </c>
      <c r="G113" s="3" t="s">
        <v>425</v>
      </c>
      <c r="H113" s="3" t="s">
        <v>75</v>
      </c>
      <c r="I113" s="3" t="str">
        <f>IFERROR(__xludf.DUMMYFUNCTION("GOOGLETRANSLATE(C113,""fr"",""en"")"),"Concerns about the validation of my first online payment (bug).
Finally the subscription lasted longer than expected (by phone)
1st home medium welcome, much better with the second person who finalized with me the contract. Thank you")</f>
        <v>Concerns about the validation of my first online payment (bug).
Finally the subscription lasted longer than expected (by phone)
1st home medium welcome, much better with the second person who finalized with me the contract. Thank you</v>
      </c>
    </row>
    <row r="114" ht="15.75" customHeight="1">
      <c r="A114" s="3">
        <v>1.0</v>
      </c>
      <c r="B114" s="3" t="s">
        <v>426</v>
      </c>
      <c r="C114" s="3" t="s">
        <v>427</v>
      </c>
      <c r="D114" s="3" t="s">
        <v>32</v>
      </c>
      <c r="E114" s="3" t="s">
        <v>14</v>
      </c>
      <c r="F114" s="3" t="s">
        <v>15</v>
      </c>
      <c r="G114" s="3" t="s">
        <v>428</v>
      </c>
      <c r="H114" s="3" t="s">
        <v>429</v>
      </c>
      <c r="I114" s="3" t="str">
        <f>IFERROR(__xludf.DUMMYFUNCTION("GOOGLETRANSLATE(C114,""fr"",""en"")"),"Avignon agency, not serious, lack of ampathy and listening to customers. Very little available and no way to reach them except by the platform or you never have the same person. I do not recommend at all.")</f>
        <v>Avignon agency, not serious, lack of ampathy and listening to customers. Very little available and no way to reach them except by the platform or you never have the same person. I do not recommend at all.</v>
      </c>
    </row>
    <row r="115" ht="15.75" customHeight="1">
      <c r="A115" s="3">
        <v>3.0</v>
      </c>
      <c r="B115" s="3" t="s">
        <v>430</v>
      </c>
      <c r="C115" s="3" t="s">
        <v>431</v>
      </c>
      <c r="D115" s="3" t="s">
        <v>13</v>
      </c>
      <c r="E115" s="3" t="s">
        <v>14</v>
      </c>
      <c r="F115" s="3" t="s">
        <v>15</v>
      </c>
      <c r="G115" s="3" t="s">
        <v>432</v>
      </c>
      <c r="H115" s="3" t="s">
        <v>44</v>
      </c>
      <c r="I115" s="3" t="str">
        <f>IFERROR(__xludf.DUMMYFUNCTION("GOOGLETRANSLATE(C115,""fr"",""en"")"),"I am satisfied with the answer to my request. I am happy with the service provided by your customer relationship. Thanks again for your answers. Cordially")</f>
        <v>I am satisfied with the answer to my request. I am happy with the service provided by your customer relationship. Thanks again for your answers. Cordially</v>
      </c>
    </row>
    <row r="116" ht="15.75" customHeight="1">
      <c r="A116" s="3">
        <v>1.0</v>
      </c>
      <c r="B116" s="3" t="s">
        <v>433</v>
      </c>
      <c r="C116" s="3" t="s">
        <v>434</v>
      </c>
      <c r="D116" s="3" t="s">
        <v>97</v>
      </c>
      <c r="E116" s="3" t="s">
        <v>98</v>
      </c>
      <c r="F116" s="3" t="s">
        <v>15</v>
      </c>
      <c r="G116" s="3" t="s">
        <v>435</v>
      </c>
      <c r="H116" s="3" t="s">
        <v>44</v>
      </c>
      <c r="I116" s="3" t="str">
        <f>IFERROR(__xludf.DUMMYFUNCTION("GOOGLETRANSLATE(C116,""fr"",""en"")"),"Not only are the costs incurred at the level announced in the subscribed police, but if there is how to transmit it? My member space has been inaccessible for two days. Insurance to flee absolutely.")</f>
        <v>Not only are the costs incurred at the level announced in the subscribed police, but if there is how to transmit it? My member space has been inaccessible for two days. Insurance to flee absolutely.</v>
      </c>
    </row>
    <row r="117" ht="15.75" customHeight="1">
      <c r="A117" s="3">
        <v>1.0</v>
      </c>
      <c r="B117" s="3" t="s">
        <v>436</v>
      </c>
      <c r="C117" s="3" t="s">
        <v>437</v>
      </c>
      <c r="D117" s="3" t="s">
        <v>81</v>
      </c>
      <c r="E117" s="3" t="s">
        <v>33</v>
      </c>
      <c r="F117" s="3" t="s">
        <v>15</v>
      </c>
      <c r="G117" s="3" t="s">
        <v>438</v>
      </c>
      <c r="H117" s="3" t="s">
        <v>439</v>
      </c>
      <c r="I117" s="3" t="str">
        <f>IFERROR(__xludf.DUMMYFUNCTION("GOOGLETRANSLATE(C117,""fr"",""en"")"),"Good advice: remember to make other quotes regularly you will be very surprised ...
An appointment: a half day of lost if you are craftsman forget this insurance.
Their master word: ""We don't care about you""")</f>
        <v>Good advice: remember to make other quotes regularly you will be very surprised ...
An appointment: a half day of lost if you are craftsman forget this insurance.
Their master word: "We don't care about you"</v>
      </c>
    </row>
    <row r="118" ht="15.75" customHeight="1">
      <c r="A118" s="3">
        <v>1.0</v>
      </c>
      <c r="B118" s="3" t="s">
        <v>440</v>
      </c>
      <c r="C118" s="3" t="s">
        <v>441</v>
      </c>
      <c r="D118" s="3" t="s">
        <v>81</v>
      </c>
      <c r="E118" s="3" t="s">
        <v>14</v>
      </c>
      <c r="F118" s="3" t="s">
        <v>15</v>
      </c>
      <c r="G118" s="3" t="s">
        <v>442</v>
      </c>
      <c r="H118" s="3" t="s">
        <v>105</v>
      </c>
      <c r="I118" s="3" t="str">
        <f>IFERROR(__xludf.DUMMYFUNCTION("GOOGLETRANSLATE(C118,""fr"",""en"")"),"I have been a member for twenty years, my eldest daughter buys a car so must assure him.
Primo, the Macif rate is 3 times higher than that of MAIF.
Second, to have its situation statement, the telephone support called 3 times in 2 days, gives it false i"&amp;"nformation (it is not assured on the 206 but on the C4),
gives it different percentages of bonuses each time from 0 to 60.
Are there any competent people on this telephone set?
")</f>
        <v>I have been a member for twenty years, my eldest daughter buys a car so must assure him.
Primo, the Macif rate is 3 times higher than that of MAIF.
Second, to have its situation statement, the telephone support called 3 times in 2 days, gives it false information (it is not assured on the 206 but on the C4),
gives it different percentages of bonuses each time from 0 to 60.
Are there any competent people on this telephone set?
</v>
      </c>
    </row>
    <row r="119" ht="15.75" customHeight="1">
      <c r="A119" s="3">
        <v>3.0</v>
      </c>
      <c r="B119" s="3" t="s">
        <v>443</v>
      </c>
      <c r="C119" s="3" t="s">
        <v>444</v>
      </c>
      <c r="D119" s="3" t="s">
        <v>42</v>
      </c>
      <c r="E119" s="3" t="s">
        <v>14</v>
      </c>
      <c r="F119" s="3" t="s">
        <v>15</v>
      </c>
      <c r="G119" s="3" t="s">
        <v>445</v>
      </c>
      <c r="H119" s="3" t="s">
        <v>75</v>
      </c>
      <c r="I119" s="3" t="str">
        <f>IFERROR(__xludf.DUMMYFUNCTION("GOOGLETRANSLATE(C119,""fr"",""en"")"),"I assure 2 cars at home 1 over 20 years which is not worth more than 1000 euros. The I add a 2nd car to 9000th and you offer me almost the same price. I really find it difficult to understand how you calculate my contributions.")</f>
        <v>I assure 2 cars at home 1 over 20 years which is not worth more than 1000 euros. The I add a 2nd car to 9000th and you offer me almost the same price. I really find it difficult to understand how you calculate my contributions.</v>
      </c>
    </row>
    <row r="120" ht="15.75" customHeight="1">
      <c r="A120" s="3">
        <v>2.0</v>
      </c>
      <c r="B120" s="3" t="s">
        <v>446</v>
      </c>
      <c r="C120" s="3" t="s">
        <v>447</v>
      </c>
      <c r="D120" s="3" t="s">
        <v>448</v>
      </c>
      <c r="E120" s="3" t="s">
        <v>33</v>
      </c>
      <c r="F120" s="3" t="s">
        <v>15</v>
      </c>
      <c r="G120" s="3" t="s">
        <v>449</v>
      </c>
      <c r="H120" s="3" t="s">
        <v>131</v>
      </c>
      <c r="I120" s="3" t="str">
        <f>IFERROR(__xludf.DUMMYFUNCTION("GOOGLETRANSLATE(C120,""fr"",""en"")"),"Information defects to the customer, who is suddenly very poorly guaranteed. The advisor omitted to be water damage, simply climate damage and fire. And in addition she is mistaken for the house has assured.")</f>
        <v>Information defects to the customer, who is suddenly very poorly guaranteed. The advisor omitted to be water damage, simply climate damage and fire. And in addition she is mistaken for the house has assured.</v>
      </c>
    </row>
    <row r="121" ht="15.75" customHeight="1">
      <c r="A121" s="3">
        <v>3.0</v>
      </c>
      <c r="B121" s="3" t="s">
        <v>450</v>
      </c>
      <c r="C121" s="3" t="s">
        <v>451</v>
      </c>
      <c r="D121" s="3" t="s">
        <v>81</v>
      </c>
      <c r="E121" s="3" t="s">
        <v>14</v>
      </c>
      <c r="F121" s="3" t="s">
        <v>15</v>
      </c>
      <c r="G121" s="3" t="s">
        <v>452</v>
      </c>
      <c r="H121" s="3" t="s">
        <v>56</v>
      </c>
      <c r="I121" s="3" t="str">
        <f>IFERROR(__xludf.DUMMYFUNCTION("GOOGLETRANSLATE(C121,""fr"",""en"")"),"Macif is a serious assurance of not it is customers I recommends to person service clientele badly pulli when it does not suit it they stagnates by what I or an accident with whatever in parking and make me pay the franchise one say that be my need")</f>
        <v>Macif is a serious assurance of not it is customers I recommends to person service clientele badly pulli when it does not suit it they stagnates by what I or an accident with whatever in parking and make me pay the franchise one say that be my need</v>
      </c>
    </row>
    <row r="122" ht="15.75" customHeight="1">
      <c r="A122" s="3">
        <v>4.0</v>
      </c>
      <c r="B122" s="3" t="s">
        <v>453</v>
      </c>
      <c r="C122" s="3" t="s">
        <v>454</v>
      </c>
      <c r="D122" s="3" t="s">
        <v>13</v>
      </c>
      <c r="E122" s="3" t="s">
        <v>14</v>
      </c>
      <c r="F122" s="3" t="s">
        <v>15</v>
      </c>
      <c r="G122" s="3" t="s">
        <v>114</v>
      </c>
      <c r="H122" s="3" t="s">
        <v>115</v>
      </c>
      <c r="I122" s="3" t="str">
        <f>IFERROR(__xludf.DUMMYFUNCTION("GOOGLETRANSLATE(C122,""fr"",""en"")"),"Satisfied to see in time, friendly and competent customer service, I will recommend Olivier Assurance to my entourage so to close friends.")</f>
        <v>Satisfied to see in time, friendly and competent customer service, I will recommend Olivier Assurance to my entourage so to close friends.</v>
      </c>
    </row>
    <row r="123" ht="15.75" customHeight="1">
      <c r="A123" s="3">
        <v>1.0</v>
      </c>
      <c r="B123" s="3" t="s">
        <v>455</v>
      </c>
      <c r="C123" s="3" t="s">
        <v>456</v>
      </c>
      <c r="D123" s="3" t="s">
        <v>81</v>
      </c>
      <c r="E123" s="3" t="s">
        <v>33</v>
      </c>
      <c r="F123" s="3" t="s">
        <v>15</v>
      </c>
      <c r="G123" s="3" t="s">
        <v>457</v>
      </c>
      <c r="H123" s="3" t="s">
        <v>337</v>
      </c>
      <c r="I123" s="3" t="str">
        <f>IFERROR(__xludf.DUMMYFUNCTION("GOOGLETRANSLATE(C123,""fr"",""en"")"),"On a dispute of water damage the Macif refuses to designate a manager after the passage of experts. I have to bear the costs of the damage caused by a third party, despite a report by the opposing CIE which designs. Bravo the Macif. But when I am abandoni"&amp;"ng you for all contracts")</f>
        <v>On a dispute of water damage the Macif refuses to designate a manager after the passage of experts. I have to bear the costs of the damage caused by a third party, despite a report by the opposing CIE which designs. Bravo the Macif. But when I am abandoning you for all contracts</v>
      </c>
    </row>
    <row r="124" ht="15.75" customHeight="1">
      <c r="A124" s="3">
        <v>1.0</v>
      </c>
      <c r="B124" s="3" t="s">
        <v>458</v>
      </c>
      <c r="C124" s="3" t="s">
        <v>459</v>
      </c>
      <c r="D124" s="3" t="s">
        <v>13</v>
      </c>
      <c r="E124" s="3" t="s">
        <v>14</v>
      </c>
      <c r="F124" s="3" t="s">
        <v>15</v>
      </c>
      <c r="G124" s="3" t="s">
        <v>460</v>
      </c>
      <c r="H124" s="3" t="s">
        <v>240</v>
      </c>
      <c r="I124" s="3" t="str">
        <f>IFERROR(__xludf.DUMMYFUNCTION("GOOGLETRANSLATE(C124,""fr"",""en"")"),"During an accident, the assistance was deplorable, almost an hour to reach her and finally be unable to take me home !! I had to use my motorcycle insurance which was trailer")</f>
        <v>During an accident, the assistance was deplorable, almost an hour to reach her and finally be unable to take me home !! I had to use my motorcycle insurance which was trailer</v>
      </c>
    </row>
    <row r="125" ht="15.75" customHeight="1">
      <c r="A125" s="3">
        <v>1.0</v>
      </c>
      <c r="B125" s="3" t="s">
        <v>461</v>
      </c>
      <c r="C125" s="3" t="s">
        <v>462</v>
      </c>
      <c r="D125" s="3" t="s">
        <v>78</v>
      </c>
      <c r="E125" s="3" t="s">
        <v>14</v>
      </c>
      <c r="F125" s="3" t="s">
        <v>15</v>
      </c>
      <c r="G125" s="3" t="s">
        <v>463</v>
      </c>
      <c r="H125" s="3" t="s">
        <v>66</v>
      </c>
      <c r="I125" s="3" t="str">
        <f>IFERROR(__xludf.DUMMYFUNCTION("GOOGLETRANSLATE(C125,""fr"",""en"")"),"incompetent insurance company after 3 months of contract I receive an appeal telling me that the amount of the contract is the subject of an error and that the price must be increased, an aberration. I submit a complaint to customer service on December 29"&amp;", 2020 and to date I am still waiting for their response.")</f>
        <v>incompetent insurance company after 3 months of contract I receive an appeal telling me that the amount of the contract is the subject of an error and that the price must be increased, an aberration. I submit a complaint to customer service on December 29, 2020 and to date I am still waiting for their response.</v>
      </c>
    </row>
    <row r="126" ht="15.75" customHeight="1">
      <c r="A126" s="3">
        <v>1.0</v>
      </c>
      <c r="B126" s="3" t="s">
        <v>464</v>
      </c>
      <c r="C126" s="3" t="s">
        <v>465</v>
      </c>
      <c r="D126" s="3" t="s">
        <v>466</v>
      </c>
      <c r="E126" s="3" t="s">
        <v>14</v>
      </c>
      <c r="F126" s="3" t="s">
        <v>15</v>
      </c>
      <c r="G126" s="3" t="s">
        <v>467</v>
      </c>
      <c r="H126" s="3" t="s">
        <v>91</v>
      </c>
      <c r="I126" s="3" t="str">
        <f>IFERROR(__xludf.DUMMYFUNCTION("GOOGLETRANSLATE(C126,""fr"",""en"")"),"Very selling insurers but in the event of a problem of incompetent and very long treatment deadlines. And as soon as it does not suit them they quickly terminate your contracts.
Telephone availability a horror to have them.
Quality in the event of a cat"&amp;"astrophic disaster.
High prices and above all very high franchise.
")</f>
        <v>Very selling insurers but in the event of a problem of incompetent and very long treatment deadlines. And as soon as it does not suit them they quickly terminate your contracts.
Telephone availability a horror to have them.
Quality in the event of a catastrophic disaster.
High prices and above all very high franchise.
</v>
      </c>
    </row>
    <row r="127" ht="15.75" customHeight="1">
      <c r="A127" s="3">
        <v>4.0</v>
      </c>
      <c r="B127" s="3" t="s">
        <v>468</v>
      </c>
      <c r="C127" s="3" t="s">
        <v>469</v>
      </c>
      <c r="D127" s="3" t="s">
        <v>13</v>
      </c>
      <c r="E127" s="3" t="s">
        <v>14</v>
      </c>
      <c r="F127" s="3" t="s">
        <v>15</v>
      </c>
      <c r="G127" s="3" t="s">
        <v>470</v>
      </c>
      <c r="H127" s="3" t="s">
        <v>23</v>
      </c>
      <c r="I127" s="3" t="str">
        <f>IFERROR(__xludf.DUMMYFUNCTION("GOOGLETRANSLATE(C127,""fr"",""en"")"),"Very available and listening insurance. The staff take the time to advise you and support you as best as possible, I highly recommend.")</f>
        <v>Very available and listening insurance. The staff take the time to advise you and support you as best as possible, I highly recommend.</v>
      </c>
    </row>
    <row r="128" ht="15.75" customHeight="1">
      <c r="A128" s="3">
        <v>4.0</v>
      </c>
      <c r="B128" s="3" t="s">
        <v>471</v>
      </c>
      <c r="C128" s="3" t="s">
        <v>472</v>
      </c>
      <c r="D128" s="3" t="s">
        <v>384</v>
      </c>
      <c r="E128" s="3" t="s">
        <v>21</v>
      </c>
      <c r="F128" s="3" t="s">
        <v>15</v>
      </c>
      <c r="G128" s="3" t="s">
        <v>473</v>
      </c>
      <c r="H128" s="3" t="s">
        <v>39</v>
      </c>
      <c r="I128" s="3" t="str">
        <f>IFERROR(__xludf.DUMMYFUNCTION("GOOGLETRANSLATE(C128,""fr"",""en"")"),"I am satisfied with the good insurance services a little complicated to ensure my we get there anyway price and well I advise it to everyone")</f>
        <v>I am satisfied with the good insurance services a little complicated to ensure my we get there anyway price and well I advise it to everyone</v>
      </c>
    </row>
    <row r="129" ht="15.75" customHeight="1">
      <c r="A129" s="3">
        <v>3.0</v>
      </c>
      <c r="B129" s="3" t="s">
        <v>474</v>
      </c>
      <c r="C129" s="3" t="s">
        <v>475</v>
      </c>
      <c r="D129" s="3" t="s">
        <v>476</v>
      </c>
      <c r="E129" s="3" t="s">
        <v>33</v>
      </c>
      <c r="F129" s="3" t="s">
        <v>15</v>
      </c>
      <c r="G129" s="3" t="s">
        <v>477</v>
      </c>
      <c r="H129" s="3" t="s">
        <v>478</v>
      </c>
      <c r="I129" s="3" t="str">
        <f>IFERROR(__xludf.DUMMYFUNCTION("GOOGLETRANSLATE(C129,""fr"",""en"")"),"Hello
We were robbed on July 21 we were insured at obtelle IRD we were at the police to file a complaint an expert moved to see the degats and the offense, completely wrapped up! Observant IRD did not want to take care of the disaster and we sent C ..."&amp;" by phone it is unacceptable do not go to them! But we're going to fight")</f>
        <v>Hello
We were robbed on July 21 we were insured at obtelle IRD we were at the police to file a complaint an expert moved to see the degats and the offense, completely wrapped up! Observant IRD did not want to take care of the disaster and we sent C ... by phone it is unacceptable do not go to them! But we're going to fight</v>
      </c>
    </row>
    <row r="130" ht="15.75" customHeight="1">
      <c r="A130" s="3">
        <v>5.0</v>
      </c>
      <c r="B130" s="3" t="s">
        <v>479</v>
      </c>
      <c r="C130" s="3" t="s">
        <v>480</v>
      </c>
      <c r="D130" s="3" t="s">
        <v>13</v>
      </c>
      <c r="E130" s="3" t="s">
        <v>14</v>
      </c>
      <c r="F130" s="3" t="s">
        <v>15</v>
      </c>
      <c r="G130" s="3" t="s">
        <v>165</v>
      </c>
      <c r="H130" s="3" t="s">
        <v>165</v>
      </c>
      <c r="I130" s="3" t="str">
        <f>IFERROR(__xludf.DUMMYFUNCTION("GOOGLETRANSLATE(C130,""fr"",""en"")"),"I am very satisfied with the price and speed of sending the provisional card, despite being white and that I do not think it is authorized?!")</f>
        <v>I am very satisfied with the price and speed of sending the provisional card, despite being white and that I do not think it is authorized?!</v>
      </c>
    </row>
    <row r="131" ht="15.75" customHeight="1">
      <c r="A131" s="3">
        <v>5.0</v>
      </c>
      <c r="B131" s="3" t="s">
        <v>481</v>
      </c>
      <c r="C131" s="3" t="s">
        <v>482</v>
      </c>
      <c r="D131" s="3" t="s">
        <v>20</v>
      </c>
      <c r="E131" s="3" t="s">
        <v>21</v>
      </c>
      <c r="F131" s="3" t="s">
        <v>15</v>
      </c>
      <c r="G131" s="3" t="s">
        <v>483</v>
      </c>
      <c r="H131" s="3" t="s">
        <v>23</v>
      </c>
      <c r="I131" s="3" t="str">
        <f>IFERROR(__xludf.DUMMYFUNCTION("GOOGLETRANSLATE(C131,""fr"",""en"")"),"I am satisfied with the price of speed it is not expensive I hope to quickly receive my insurance papers for my scooter thank you very much good day")</f>
        <v>I am satisfied with the price of speed it is not expensive I hope to quickly receive my insurance papers for my scooter thank you very much good day</v>
      </c>
    </row>
    <row r="132" ht="15.75" customHeight="1">
      <c r="A132" s="3">
        <v>2.0</v>
      </c>
      <c r="B132" s="3" t="s">
        <v>484</v>
      </c>
      <c r="C132" s="3" t="s">
        <v>485</v>
      </c>
      <c r="D132" s="3" t="s">
        <v>55</v>
      </c>
      <c r="E132" s="3" t="s">
        <v>14</v>
      </c>
      <c r="F132" s="3" t="s">
        <v>15</v>
      </c>
      <c r="G132" s="3" t="s">
        <v>486</v>
      </c>
      <c r="H132" s="3" t="s">
        <v>248</v>
      </c>
      <c r="I132" s="3" t="str">
        <f>IFERROR(__xludf.DUMMYFUNCTION("GOOGLETRANSLATE(C132,""fr"",""en"")"),"Contract n285911. 3 calls for information statements to be valid (sent for 15 days), an email received this morning for the last request for documents while all have already been validated. No follow -up, I think of terminating before the 14 days in view "&amp;"of the critics, I do not prefer. To flee !")</f>
        <v>Contract n285911. 3 calls for information statements to be valid (sent for 15 days), an email received this morning for the last request for documents while all have already been validated. No follow -up, I think of terminating before the 14 days in view of the critics, I do not prefer. To flee !</v>
      </c>
    </row>
    <row r="133" ht="15.75" customHeight="1">
      <c r="A133" s="3">
        <v>3.0</v>
      </c>
      <c r="B133" s="3" t="s">
        <v>487</v>
      </c>
      <c r="C133" s="3" t="s">
        <v>488</v>
      </c>
      <c r="D133" s="3" t="s">
        <v>42</v>
      </c>
      <c r="E133" s="3" t="s">
        <v>14</v>
      </c>
      <c r="F133" s="3" t="s">
        <v>15</v>
      </c>
      <c r="G133" s="3" t="s">
        <v>312</v>
      </c>
      <c r="H133" s="3" t="s">
        <v>75</v>
      </c>
      <c r="I133" s="3" t="str">
        <f>IFERROR(__xludf.DUMMYFUNCTION("GOOGLETRANSLATE(C133,""fr"",""en"")"),"I am satisfied with the service
The prices suit me, the subscription was simple and easy and I did not meet any particular concern when subscribing")</f>
        <v>I am satisfied with the service
The prices suit me, the subscription was simple and easy and I did not meet any particular concern when subscribing</v>
      </c>
    </row>
    <row r="134" ht="15.75" customHeight="1">
      <c r="A134" s="3">
        <v>2.0</v>
      </c>
      <c r="B134" s="3" t="s">
        <v>489</v>
      </c>
      <c r="C134" s="3" t="s">
        <v>490</v>
      </c>
      <c r="D134" s="3" t="s">
        <v>466</v>
      </c>
      <c r="E134" s="3" t="s">
        <v>14</v>
      </c>
      <c r="F134" s="3" t="s">
        <v>15</v>
      </c>
      <c r="G134" s="3" t="s">
        <v>491</v>
      </c>
      <c r="H134" s="3" t="s">
        <v>207</v>
      </c>
      <c r="I134" s="3" t="str">
        <f>IFERROR(__xludf.DUMMYFUNCTION("GOOGLETRANSLATE(C134,""fr"",""en"")"),"I wanted to ensure my self -driver 50% bonus no license defect for 23 years. But no we refuse to make sure in relation to my spouse who is him a bad driver (while knowing that I wanted to make a discharge by stressing that he would never lead my car) I ca"&amp;"ll that discrimination")</f>
        <v>I wanted to ensure my self -driver 50% bonus no license defect for 23 years. But no we refuse to make sure in relation to my spouse who is him a bad driver (while knowing that I wanted to make a discharge by stressing that he would never lead my car) I call that discrimination</v>
      </c>
    </row>
    <row r="135" ht="15.75" customHeight="1">
      <c r="A135" s="3">
        <v>5.0</v>
      </c>
      <c r="B135" s="3" t="s">
        <v>492</v>
      </c>
      <c r="C135" s="3" t="s">
        <v>493</v>
      </c>
      <c r="D135" s="3" t="s">
        <v>42</v>
      </c>
      <c r="E135" s="3" t="s">
        <v>14</v>
      </c>
      <c r="F135" s="3" t="s">
        <v>15</v>
      </c>
      <c r="G135" s="3" t="s">
        <v>473</v>
      </c>
      <c r="H135" s="3" t="s">
        <v>39</v>
      </c>
      <c r="I135" s="3" t="str">
        <f>IFERROR(__xludf.DUMMYFUNCTION("GOOGLETRANSLATE(C135,""fr"",""en"")")," Well done site, remains to be seen over time, but super competitive price, especially for a car that is used only to go and watch horses 1 km from my home
")</f>
        <v> Well done site, remains to be seen over time, but super competitive price, especially for a car that is used only to go and watch horses 1 km from my home
</v>
      </c>
    </row>
    <row r="136" ht="15.75" customHeight="1">
      <c r="A136" s="3">
        <v>4.0</v>
      </c>
      <c r="B136" s="3" t="s">
        <v>494</v>
      </c>
      <c r="C136" s="3" t="s">
        <v>495</v>
      </c>
      <c r="D136" s="3" t="s">
        <v>13</v>
      </c>
      <c r="E136" s="3" t="s">
        <v>14</v>
      </c>
      <c r="F136" s="3" t="s">
        <v>15</v>
      </c>
      <c r="G136" s="3" t="s">
        <v>496</v>
      </c>
      <c r="H136" s="3" t="s">
        <v>23</v>
      </c>
      <c r="I136" s="3" t="str">
        <f>IFERROR(__xludf.DUMMYFUNCTION("GOOGLETRANSLATE(C136,""fr"",""en"")"),"Reasonable price, remains to see the effectiveness of the coverage.
The steps remain fairly easy to understand and the interface and quite intuitive so the guidance is good.
")</f>
        <v>Reasonable price, remains to see the effectiveness of the coverage.
The steps remain fairly easy to understand and the interface and quite intuitive so the guidance is good.
</v>
      </c>
    </row>
    <row r="137" ht="15.75" customHeight="1">
      <c r="A137" s="3">
        <v>1.0</v>
      </c>
      <c r="B137" s="3" t="s">
        <v>497</v>
      </c>
      <c r="C137" s="3" t="s">
        <v>498</v>
      </c>
      <c r="D137" s="3" t="s">
        <v>89</v>
      </c>
      <c r="E137" s="3" t="s">
        <v>14</v>
      </c>
      <c r="F137" s="3" t="s">
        <v>15</v>
      </c>
      <c r="G137" s="3" t="s">
        <v>499</v>
      </c>
      <c r="H137" s="3" t="s">
        <v>91</v>
      </c>
      <c r="I137" s="3" t="str">
        <f>IFERROR(__xludf.DUMMYFUNCTION("GOOGLETRANSLATE(C137,""fr"",""en"")"),"Like many people here, I received a registered standard letter Tuesday denouncing all my contracts on the pretext of ""the alteration of our commercial relationship"". The ""militant insurer"" does not disdain the names, therefore. I was in Maif for thirt"&amp;"y years as a spouse, for almost 14 years in my own name. This mail amazed me. So I called several times to understand the reason for this termination, even dispute it, because I did not understand how ""our commercial relationship"" is altered on the side"&amp;" of the Maif. My subscription has always been paid in time, I did not feel like I have a problem with the MAIF.
The advisers all have, except one, repeated that no mistake was possible, neither computer bug nor human error; On the other hand, immediately"&amp;", my honesty was questioned by 3 advisers: had I paid well, had I not made a false statement, how are my relationships with the advisers? I have always paid my contributions (which are expensive, let's face it) ruby ​​on the nail, I am not an insured who "&amp;"""abuses"", I am neither liar nor cheating ... But indeed, at the Reflection, I had an extremely painful experience with a young ""advisor"" during confinement, who, rather than answer me that he did not know how to answer my question (certainly a little "&amp;"sharp), endeavored by Explain incomprehensible things with a rare contempt, taking me for an imbecile with an astonishing overseas. While he knew that my vehicle had been seriously vandalized, unusable, and that I could not recover it for several weeks (g"&amp;"arages repairing only firefighters, police, gendarmes), while having a disabled son to drive in various places for care. I ended the conversation, without hanging up on it nevertheless, and I recalled the MAIF, to come across a competent lady who gave me "&amp;"the way to follow to try to solve my problem. I also pointed out to this lady how painful the previous conversation had been, which she told me that she was going to go back to the seat. However, I did not write to the Maif for ""cafter"", nor written of "&amp;"the internet reviews to complain, which I do here for the first time.
I think that this unpleasant and insulting gentleman, in addition to being incompetent, denounced me as ""altering the commercial relationship"" (which I thought innocently that she wa"&amp;"s rather mutualist), because I did not leave myself Hying with his words and replied to calm down, even that he did it with several MAIF members. Because contrary to what one might think, this kind of decision is made very quickly, what an agent of anothe"&amp;"r mutual insurance company confirmed to me, as well as a lady working in another company practicing ""customer advice"" by telephone.
Where all this becomes funny, ubiquitous, Kafkaïen, is that no use is possible, since we repeat to you that no mistake i"&amp;"s possible; A computer bug is excluded at MAIF; that a ""collaborator"" of the MAIF sabotes ""customer relations"" is completely unthinkable; That the relationship is completely dehumanized poses no problem, the ""advisers"" on the phone having no capacit"&amp;"y to know what is accused of the ex-site, now banned, who cannot even be amazed to never reproduce The fault that he is accused of. That the maif now owes me all the contributions that I paid to him for 2021 and that I will still pay him on November 11 is"&amp;" apparently normal: when the schedule was sent in December, I will be told When I am reimbursed (interest not included, of course!). What a magnanimity! That I can no longer access my internet space ""because of my new situation"", and while I am still in"&amp;"sured Maif until December 31, this is normal: my punishment probably ...
An ""activist"" (?) From the MAIF the ""militant insurer"" (???) must one day call me (when? Mystery!) To explain to me what happened, it is me We say on Tuesday, while telling me t"&amp;"o go get insurance elsewhere ... We are Thursday evening: no news.
Perhaps here Cédric or Youssef will tell me to write to him to study my file ...
In the meantime I will reread 1984 and ""the best of worlds"".
And, like another Internet user here, Mai"&amp;"f can now count on me to boast with my friends and colleagues the values ​​of the militant insurer.
I am disgusted.
")</f>
        <v>Like many people here, I received a registered standard letter Tuesday denouncing all my contracts on the pretext of "the alteration of our commercial relationship". The "militant insurer" does not disdain the names, therefore. I was in Maif for thirty years as a spouse, for almost 14 years in my own name. This mail amazed me. So I called several times to understand the reason for this termination, even dispute it, because I did not understand how "our commercial relationship" is altered on the side of the Maif. My subscription has always been paid in time, I did not feel like I have a problem with the MAIF.
The advisers all have, except one, repeated that no mistake was possible, neither computer bug nor human error; On the other hand, immediately, my honesty was questioned by 3 advisers: had I paid well, had I not made a false statement, how are my relationships with the advisers? I have always paid my contributions (which are expensive, let's face it) ruby ​​on the nail, I am not an insured who "abuses", I am neither liar nor cheating ... But indeed, at the Reflection, I had an extremely painful experience with a young "advisor" during confinement, who, rather than answer me that he did not know how to answer my question (certainly a little sharp), endeavored by Explain incomprehensible things with a rare contempt, taking me for an imbecile with an astonishing overseas. While he knew that my vehicle had been seriously vandalized, unusable, and that I could not recover it for several weeks (garages repairing only firefighters, police, gendarmes), while having a disabled son to drive in various places for care. I ended the conversation, without hanging up on it nevertheless, and I recalled the MAIF, to come across a competent lady who gave me the way to follow to try to solve my problem. I also pointed out to this lady how painful the previous conversation had been, which she told me that she was going to go back to the seat. However, I did not write to the Maif for "cafter", nor written of the internet reviews to complain, which I do here for the first time.
I think that this unpleasant and insulting gentleman, in addition to being incompetent, denounced me as "altering the commercial relationship" (which I thought innocently that she was rather mutualist), because I did not leave myself Hying with his words and replied to calm down, even that he did it with several MAIF members. Because contrary to what one might think, this kind of decision is made very quickly, what an agent of another mutual insurance company confirmed to me, as well as a lady working in another company practicing "customer advice" by telephone.
Where all this becomes funny, ubiquitous, Kafkaïen, is that no use is possible, since we repeat to you that no mistake is possible; A computer bug is excluded at MAIF; that a "collaborator" of the MAIF sabotes "customer relations" is completely unthinkable; That the relationship is completely dehumanized poses no problem, the "advisers" on the phone having no capacity to know what is accused of the ex-site, now banned, who cannot even be amazed to never reproduce The fault that he is accused of. That the maif now owes me all the contributions that I paid to him for 2021 and that I will still pay him on November 11 is apparently normal: when the schedule was sent in December, I will be told When I am reimbursed (interest not included, of course!). What a magnanimity! That I can no longer access my internet space "because of my new situation", and while I am still insured Maif until December 31, this is normal: my punishment probably ...
An "activist" (?) From the MAIF the "militant insurer" (???) must one day call me (when? Mystery!) To explain to me what happened, it is me We say on Tuesday, while telling me to go get insurance elsewhere ... We are Thursday evening: no news.
Perhaps here Cédric or Youssef will tell me to write to him to study my file ...
In the meantime I will reread 1984 and "the best of worlds".
And, like another Internet user here, Maif can now count on me to boast with my friends and colleagues the values ​​of the militant insurer.
I am disgusted.
</v>
      </c>
    </row>
    <row r="138" ht="15.75" customHeight="1">
      <c r="A138" s="3">
        <v>5.0</v>
      </c>
      <c r="B138" s="3" t="s">
        <v>500</v>
      </c>
      <c r="C138" s="3" t="s">
        <v>501</v>
      </c>
      <c r="D138" s="3" t="s">
        <v>13</v>
      </c>
      <c r="E138" s="3" t="s">
        <v>14</v>
      </c>
      <c r="F138" s="3" t="s">
        <v>15</v>
      </c>
      <c r="G138" s="3" t="s">
        <v>502</v>
      </c>
      <c r="H138" s="3" t="s">
        <v>165</v>
      </c>
      <c r="I138" s="3" t="str">
        <f>IFERROR(__xludf.DUMMYFUNCTION("GOOGLETRANSLATE(C138,""fr"",""en"")"),"The explanations were clearly indicated.
The price is very interesting.
I am currently fully satisfied with this approach.
        ")</f>
        <v>The explanations were clearly indicated.
The price is very interesting.
I am currently fully satisfied with this approach.
        </v>
      </c>
    </row>
    <row r="139" ht="15.75" customHeight="1">
      <c r="A139" s="3">
        <v>3.0</v>
      </c>
      <c r="B139" s="3" t="s">
        <v>503</v>
      </c>
      <c r="C139" s="3" t="s">
        <v>504</v>
      </c>
      <c r="D139" s="3" t="s">
        <v>42</v>
      </c>
      <c r="E139" s="3" t="s">
        <v>14</v>
      </c>
      <c r="F139" s="3" t="s">
        <v>15</v>
      </c>
      <c r="G139" s="3" t="s">
        <v>505</v>
      </c>
      <c r="H139" s="3" t="s">
        <v>506</v>
      </c>
      <c r="I139" s="3" t="str">
        <f>IFERROR(__xludf.DUMMYFUNCTION("GOOGLETRANSLATE(C139,""fr"",""en"")"),"I really like what Direct Insurance offers, I intend to recommend it to a member of my family. In addition, prices are satisfactory so I enjoy")</f>
        <v>I really like what Direct Insurance offers, I intend to recommend it to a member of my family. In addition, prices are satisfactory so I enjoy</v>
      </c>
    </row>
    <row r="140" ht="15.75" customHeight="1">
      <c r="A140" s="3">
        <v>1.0</v>
      </c>
      <c r="B140" s="3" t="s">
        <v>507</v>
      </c>
      <c r="C140" s="3" t="s">
        <v>508</v>
      </c>
      <c r="D140" s="3" t="s">
        <v>509</v>
      </c>
      <c r="E140" s="3" t="s">
        <v>14</v>
      </c>
      <c r="F140" s="3" t="s">
        <v>15</v>
      </c>
      <c r="G140" s="3" t="s">
        <v>510</v>
      </c>
      <c r="H140" s="3" t="s">
        <v>100</v>
      </c>
      <c r="I140" s="3" t="str">
        <f>IFERROR(__xludf.DUMMYFUNCTION("GOOGLETRANSLATE(C140,""fr"",""en"")"),"Sinister of 04/04/2017 or my neighbor damaged the hood of my car The expert from the Maaf Cabinet de Brest to decide that as the hood of my car was damaged on another party it put a dilapidation of 95% everything Knowing that my hood is now leaking while "&amp;"before the claim it was waterproof and the maaf wants to have nothing she takes referring to the expert's opinion here when I write this message I decide to Terminating my 5 contracts to the Maaf Client for several years, the maaf never again")</f>
        <v>Sinister of 04/04/2017 or my neighbor damaged the hood of my car The expert from the Maaf Cabinet de Brest to decide that as the hood of my car was damaged on another party it put a dilapidation of 95% everything Knowing that my hood is now leaking while before the claim it was waterproof and the maaf wants to have nothing she takes referring to the expert's opinion here when I write this message I decide to Terminating my 5 contracts to the Maaf Client for several years, the maaf never again</v>
      </c>
    </row>
    <row r="141" ht="15.75" customHeight="1">
      <c r="A141" s="3">
        <v>1.0</v>
      </c>
      <c r="B141" s="3" t="s">
        <v>511</v>
      </c>
      <c r="C141" s="3" t="s">
        <v>512</v>
      </c>
      <c r="D141" s="3" t="s">
        <v>140</v>
      </c>
      <c r="E141" s="3" t="s">
        <v>98</v>
      </c>
      <c r="F141" s="3" t="s">
        <v>15</v>
      </c>
      <c r="G141" s="3" t="s">
        <v>513</v>
      </c>
      <c r="H141" s="3" t="s">
        <v>86</v>
      </c>
      <c r="I141" s="3" t="str">
        <f>IFERROR(__xludf.DUMMYFUNCTION("GOOGLETRANSLATE(C141,""fr"",""en"")"),"I was a client at Santiane's. Since January 2020, they owe me more than € 100, which they have paid into an account that is not mine !!! Since March 2020, they promise to reimburse me, but I am like Sister Anne: I still don't see anything coming!
Thank y"&amp;"ou Santia")</f>
        <v>I was a client at Santiane's. Since January 2020, they owe me more than € 100, which they have paid into an account that is not mine !!! Since March 2020, they promise to reimburse me, but I am like Sister Anne: I still don't see anything coming!
Thank you Santia</v>
      </c>
    </row>
    <row r="142" ht="15.75" customHeight="1">
      <c r="A142" s="3">
        <v>1.0</v>
      </c>
      <c r="B142" s="3" t="s">
        <v>514</v>
      </c>
      <c r="C142" s="3" t="s">
        <v>515</v>
      </c>
      <c r="D142" s="3" t="s">
        <v>246</v>
      </c>
      <c r="E142" s="3" t="s">
        <v>33</v>
      </c>
      <c r="F142" s="3" t="s">
        <v>15</v>
      </c>
      <c r="G142" s="3" t="s">
        <v>516</v>
      </c>
      <c r="H142" s="3" t="s">
        <v>517</v>
      </c>
      <c r="I142" s="3" t="str">
        <f>IFERROR(__xludf.DUMMYFUNCTION("GOOGLETRANSLATE(C142,""fr"",""en"")"),"Hello; In 2016 I revised my home contract because it became too expensive. My subscription had become reasonable again for my budget but now the 2017 deadline leaps 278.05 euros more. It's a shame. Yet customer for over 40 years I have doubtful to this da"&amp;"y the seriousness of this company")</f>
        <v>Hello; In 2016 I revised my home contract because it became too expensive. My subscription had become reasonable again for my budget but now the 2017 deadline leaps 278.05 euros more. It's a shame. Yet customer for over 40 years I have doubtful to this day the seriousness of this company</v>
      </c>
    </row>
    <row r="143" ht="15.75" customHeight="1">
      <c r="A143" s="3">
        <v>2.0</v>
      </c>
      <c r="B143" s="3" t="s">
        <v>518</v>
      </c>
      <c r="C143" s="3" t="s">
        <v>519</v>
      </c>
      <c r="D143" s="3" t="s">
        <v>42</v>
      </c>
      <c r="E143" s="3" t="s">
        <v>14</v>
      </c>
      <c r="F143" s="3" t="s">
        <v>15</v>
      </c>
      <c r="G143" s="3" t="s">
        <v>520</v>
      </c>
      <c r="H143" s="3" t="s">
        <v>86</v>
      </c>
      <c r="I143" s="3" t="str">
        <f>IFERROR(__xludf.DUMMYFUNCTION("GOOGLETRANSLATE(C143,""fr"",""en"")"),"I find the price of insurance too expensive compared to the bonus I have. I plan to change your insurance company to reduce my monthly payments.")</f>
        <v>I find the price of insurance too expensive compared to the bonus I have. I plan to change your insurance company to reduce my monthly payments.</v>
      </c>
    </row>
    <row r="144" ht="15.75" customHeight="1">
      <c r="A144" s="3">
        <v>4.0</v>
      </c>
      <c r="B144" s="3" t="s">
        <v>521</v>
      </c>
      <c r="C144" s="3" t="s">
        <v>522</v>
      </c>
      <c r="D144" s="3" t="s">
        <v>13</v>
      </c>
      <c r="E144" s="3" t="s">
        <v>14</v>
      </c>
      <c r="F144" s="3" t="s">
        <v>15</v>
      </c>
      <c r="G144" s="3" t="s">
        <v>17</v>
      </c>
      <c r="H144" s="3" t="s">
        <v>17</v>
      </c>
      <c r="I144" s="3" t="str">
        <f>IFERROR(__xludf.DUMMYFUNCTION("GOOGLETRANSLATE(C144,""fr"",""en"")"),"First name error on my contract since my mother is already with you it is her first name that stands out in mine I expect you to contact me to remedy that")</f>
        <v>First name error on my contract since my mother is already with you it is her first name that stands out in mine I expect you to contact me to remedy that</v>
      </c>
    </row>
    <row r="145" ht="15.75" customHeight="1">
      <c r="A145" s="3">
        <v>5.0</v>
      </c>
      <c r="B145" s="3" t="s">
        <v>523</v>
      </c>
      <c r="C145" s="3" t="s">
        <v>524</v>
      </c>
      <c r="D145" s="3" t="s">
        <v>13</v>
      </c>
      <c r="E145" s="3" t="s">
        <v>14</v>
      </c>
      <c r="F145" s="3" t="s">
        <v>15</v>
      </c>
      <c r="G145" s="3" t="s">
        <v>525</v>
      </c>
      <c r="H145" s="3" t="s">
        <v>60</v>
      </c>
      <c r="I145" s="3" t="str">
        <f>IFERROR(__xludf.DUMMYFUNCTION("GOOGLETRANSLATE(C145,""fr"",""en"")"),"The approach is simple, online it's fast and ergonomic")</f>
        <v>The approach is simple, online it's fast and ergonomic</v>
      </c>
    </row>
    <row r="146" ht="15.75" customHeight="1">
      <c r="A146" s="3">
        <v>2.0</v>
      </c>
      <c r="B146" s="3" t="s">
        <v>526</v>
      </c>
      <c r="C146" s="3" t="s">
        <v>527</v>
      </c>
      <c r="D146" s="3" t="s">
        <v>81</v>
      </c>
      <c r="E146" s="3" t="s">
        <v>33</v>
      </c>
      <c r="F146" s="3" t="s">
        <v>15</v>
      </c>
      <c r="G146" s="3" t="s">
        <v>528</v>
      </c>
      <c r="H146" s="3" t="s">
        <v>86</v>
      </c>
      <c r="I146" s="3" t="str">
        <f>IFERROR(__xludf.DUMMYFUNCTION("GOOGLETRANSLATE(C146,""fr"",""en"")"),"With the Macif, you are insured for what does not happen to you !!! Despite an option provided for in my home contract, the Macif refuses to industrial me for obscure reasons. The complaint service is similar to a dictatorship (no dialogue possible).
I b"&amp;"elieve I have found the meaning of the Macif initials. Mutual insurance insurance against financial allowances")</f>
        <v>With the Macif, you are insured for what does not happen to you !!! Despite an option provided for in my home contract, the Macif refuses to industrial me for obscure reasons. The complaint service is similar to a dictatorship (no dialogue possible).
I believe I have found the meaning of the Macif initials. Mutual insurance insurance against financial allowances</v>
      </c>
    </row>
    <row r="147" ht="15.75" customHeight="1">
      <c r="A147" s="3">
        <v>5.0</v>
      </c>
      <c r="B147" s="3" t="s">
        <v>529</v>
      </c>
      <c r="C147" s="3" t="s">
        <v>530</v>
      </c>
      <c r="D147" s="3" t="s">
        <v>42</v>
      </c>
      <c r="E147" s="3" t="s">
        <v>14</v>
      </c>
      <c r="F147" s="3" t="s">
        <v>15</v>
      </c>
      <c r="G147" s="3" t="s">
        <v>400</v>
      </c>
      <c r="H147" s="3" t="s">
        <v>115</v>
      </c>
      <c r="I147" s="3" t="str">
        <f>IFERROR(__xludf.DUMMYFUNCTION("GOOGLETRANSLATE(C147,""fr"",""en"")"),"EXCELLENT VALUE
Practical website allowing a contract to be validated in 15 minutes
I highly recommend direct insurance at least the insurance of a Fiat 500")</f>
        <v>EXCELLENT VALUE
Practical website allowing a contract to be validated in 15 minutes
I highly recommend direct insurance at least the insurance of a Fiat 500</v>
      </c>
    </row>
    <row r="148" ht="15.75" customHeight="1">
      <c r="A148" s="3">
        <v>1.0</v>
      </c>
      <c r="B148" s="3" t="s">
        <v>531</v>
      </c>
      <c r="C148" s="3" t="s">
        <v>532</v>
      </c>
      <c r="D148" s="3" t="s">
        <v>175</v>
      </c>
      <c r="E148" s="3" t="s">
        <v>98</v>
      </c>
      <c r="F148" s="3" t="s">
        <v>15</v>
      </c>
      <c r="G148" s="3" t="s">
        <v>533</v>
      </c>
      <c r="H148" s="3" t="s">
        <v>534</v>
      </c>
      <c r="I148" s="3" t="str">
        <f>IFERROR(__xludf.DUMMYFUNCTION("GOOGLETRANSLATE(C148,""fr"",""en"")"),"Complicated to be reimbursed for 6 months following hospitalization, for glasses my optician has been waiting for 1.5 months the amount of care ... never seen that")</f>
        <v>Complicated to be reimbursed for 6 months following hospitalization, for glasses my optician has been waiting for 1.5 months the amount of care ... never seen that</v>
      </c>
    </row>
    <row r="149" ht="15.75" customHeight="1">
      <c r="A149" s="3">
        <v>2.0</v>
      </c>
      <c r="B149" s="3" t="s">
        <v>535</v>
      </c>
      <c r="C149" s="3" t="s">
        <v>536</v>
      </c>
      <c r="D149" s="3" t="s">
        <v>55</v>
      </c>
      <c r="E149" s="3" t="s">
        <v>14</v>
      </c>
      <c r="F149" s="3" t="s">
        <v>15</v>
      </c>
      <c r="G149" s="3" t="s">
        <v>537</v>
      </c>
      <c r="H149" s="3" t="s">
        <v>131</v>
      </c>
      <c r="I149" s="3" t="str">
        <f>IFERROR(__xludf.DUMMYFUNCTION("GOOGLETRANSLATE(C149,""fr"",""en"")"),"Auto insurance to avoid; for membership ask to pay 6 months of insurance !!! Being assured for over 40 years, it is the first auto insurance that has this kind of method! Besides, they have repeatedly asked me for the documents necessary for the subscript"&amp;"ion and which I sent by emails in PDF form well readable for me but apparently not for them! On the other hand they do not respond to messages sent by emails or very late or not at all! Their access site to the customer account is blocking, on this site i"&amp;"s a request for code to unlock it the forgotten password, but that does not work because this code must be sent by email and there is no return! !.
In conclusion: Auto insurance to flee even if attractive price that will lead you to a trap ...")</f>
        <v>Auto insurance to avoid; for membership ask to pay 6 months of insurance !!! Being assured for over 40 years, it is the first auto insurance that has this kind of method! Besides, they have repeatedly asked me for the documents necessary for the subscription and which I sent by emails in PDF form well readable for me but apparently not for them! On the other hand they do not respond to messages sent by emails or very late or not at all! Their access site to the customer account is blocking, on this site is a request for code to unlock it the forgotten password, but that does not work because this code must be sent by email and there is no return! !.
In conclusion: Auto insurance to flee even if attractive price that will lead you to a trap ...</v>
      </c>
    </row>
    <row r="150" ht="15.75" customHeight="1">
      <c r="A150" s="3">
        <v>1.0</v>
      </c>
      <c r="B150" s="3" t="s">
        <v>538</v>
      </c>
      <c r="C150" s="3" t="s">
        <v>539</v>
      </c>
      <c r="D150" s="3" t="s">
        <v>13</v>
      </c>
      <c r="E150" s="3" t="s">
        <v>14</v>
      </c>
      <c r="F150" s="3" t="s">
        <v>15</v>
      </c>
      <c r="G150" s="3" t="s">
        <v>540</v>
      </c>
      <c r="H150" s="3" t="s">
        <v>115</v>
      </c>
      <c r="I150" s="3" t="str">
        <f>IFERROR(__xludf.DUMMYFUNCTION("GOOGLETRANSLATE(C150,""fr"",""en"")"),"Scandalous insurance flee, no compensation, price that increases each year, they do not want to give me my information statement to terminate!")</f>
        <v>Scandalous insurance flee, no compensation, price that increases each year, they do not want to give me my information statement to terminate!</v>
      </c>
    </row>
    <row r="151" ht="15.75" customHeight="1">
      <c r="A151" s="3">
        <v>2.0</v>
      </c>
      <c r="B151" s="3" t="s">
        <v>541</v>
      </c>
      <c r="C151" s="3" t="s">
        <v>542</v>
      </c>
      <c r="D151" s="3" t="s">
        <v>214</v>
      </c>
      <c r="E151" s="3" t="s">
        <v>98</v>
      </c>
      <c r="F151" s="3" t="s">
        <v>15</v>
      </c>
      <c r="G151" s="3" t="s">
        <v>543</v>
      </c>
      <c r="H151" s="3" t="s">
        <v>321</v>
      </c>
      <c r="I151" s="3" t="str">
        <f>IFERROR(__xludf.DUMMYFUNCTION("GOOGLETRANSLATE(C151,""fr"",""en"")"),"Lamentable in terms of service. File not treated since the end of November 2019 and read by your services on 2/12.
No mutual card received and call for contribution.
When I see the other comments !!!")</f>
        <v>Lamentable in terms of service. File not treated since the end of November 2019 and read by your services on 2/12.
No mutual card received and call for contribution.
When I see the other comments !!!</v>
      </c>
    </row>
    <row r="152" ht="15.75" customHeight="1">
      <c r="A152" s="3">
        <v>5.0</v>
      </c>
      <c r="B152" s="3" t="s">
        <v>544</v>
      </c>
      <c r="C152" s="3" t="s">
        <v>545</v>
      </c>
      <c r="D152" s="3" t="s">
        <v>42</v>
      </c>
      <c r="E152" s="3" t="s">
        <v>14</v>
      </c>
      <c r="F152" s="3" t="s">
        <v>15</v>
      </c>
      <c r="G152" s="3" t="s">
        <v>546</v>
      </c>
      <c r="H152" s="3" t="s">
        <v>39</v>
      </c>
      <c r="I152" s="3" t="str">
        <f>IFERROR(__xludf.DUMMYFUNCTION("GOOGLETRANSLATE(C152,""fr"",""en"")"),"Good report and flexibility of the offers offered on paper to subscription.
The customer manager team is kind and answered my questions.")</f>
        <v>Good report and flexibility of the offers offered on paper to subscription.
The customer manager team is kind and answered my questions.</v>
      </c>
    </row>
    <row r="153" ht="15.75" customHeight="1">
      <c r="A153" s="3">
        <v>1.0</v>
      </c>
      <c r="B153" s="3" t="s">
        <v>547</v>
      </c>
      <c r="C153" s="3" t="s">
        <v>548</v>
      </c>
      <c r="D153" s="3" t="s">
        <v>549</v>
      </c>
      <c r="E153" s="3" t="s">
        <v>21</v>
      </c>
      <c r="F153" s="3" t="s">
        <v>15</v>
      </c>
      <c r="G153" s="3" t="s">
        <v>550</v>
      </c>
      <c r="H153" s="3" t="s">
        <v>551</v>
      </c>
      <c r="I153" s="3" t="str">
        <f>IFERROR(__xludf.DUMMYFUNCTION("GOOGLETRANSLATE(C153,""fr"",""en"")"),"Customer of this insurance for 11 years now I had my first attachment on a motorcycle in January 2019 which caused 1 week of work stoppage. I always await my compensation but during this time I have advanced the costs of course (1460 euros) because the in"&amp;"surance said to me I quote:
No refund can be made by our service, we must wait for the decision of the opposing insurance which has no legal deadline to make the repair of repairs, this can take 1 month as 6 months or more depending on their goodwill.
I"&amp;" pass the fact that the work stoppages, paying sheet and observation have been lost about 3 times, lamentable ... Inquiring about the prices, the third party paying at home for my ZX10R, cost more than 'A formula all risks in their competitor. Their telep"&amp;"hone service for file monitoring is logically closed with the COVVI-19 on the other hand not the subscription service, we can see or is the priority.")</f>
        <v>Customer of this insurance for 11 years now I had my first attachment on a motorcycle in January 2019 which caused 1 week of work stoppage. I always await my compensation but during this time I have advanced the costs of course (1460 euros) because the insurance said to me I quote:
No refund can be made by our service, we must wait for the decision of the opposing insurance which has no legal deadline to make the repair of repairs, this can take 1 month as 6 months or more depending on their goodwill.
I pass the fact that the work stoppages, paying sheet and observation have been lost about 3 times, lamentable ... Inquiring about the prices, the third party paying at home for my ZX10R, cost more than 'A formula all risks in their competitor. Their telephone service for file monitoring is logically closed with the COVVI-19 on the other hand not the subscription service, we can see or is the priority.</v>
      </c>
    </row>
    <row r="154" ht="15.75" customHeight="1">
      <c r="A154" s="3">
        <v>1.0</v>
      </c>
      <c r="B154" s="3" t="s">
        <v>552</v>
      </c>
      <c r="C154" s="3" t="s">
        <v>553</v>
      </c>
      <c r="D154" s="3" t="s">
        <v>69</v>
      </c>
      <c r="E154" s="3" t="s">
        <v>14</v>
      </c>
      <c r="F154" s="3" t="s">
        <v>15</v>
      </c>
      <c r="G154" s="3" t="s">
        <v>554</v>
      </c>
      <c r="H154" s="3" t="s">
        <v>191</v>
      </c>
      <c r="I154" s="3" t="str">
        <f>IFERROR(__xludf.DUMMYFUNCTION("GOOGLETRANSLATE(C154,""fr"",""en"")"),"Customer of least 14 difficult days to terminate this insurance does not allow you to put you main driver of two vehicles putting your second vehicle with principal driver in the name of your concubine and as it is pennus you have to pay more while I have"&amp;" 50 And more bonuses and am the holder of the two gray cards.
Difficult to terminate second letter tomorrow.
Be careful before you start with them.")</f>
        <v>Customer of least 14 difficult days to terminate this insurance does not allow you to put you main driver of two vehicles putting your second vehicle with principal driver in the name of your concubine and as it is pennus you have to pay more while I have 50 And more bonuses and am the holder of the two gray cards.
Difficult to terminate second letter tomorrow.
Be careful before you start with them.</v>
      </c>
    </row>
    <row r="155" ht="15.75" customHeight="1">
      <c r="A155" s="3">
        <v>1.0</v>
      </c>
      <c r="B155" s="3" t="s">
        <v>555</v>
      </c>
      <c r="C155" s="3" t="s">
        <v>556</v>
      </c>
      <c r="D155" s="3" t="s">
        <v>140</v>
      </c>
      <c r="E155" s="3" t="s">
        <v>98</v>
      </c>
      <c r="F155" s="3" t="s">
        <v>15</v>
      </c>
      <c r="G155" s="3" t="s">
        <v>557</v>
      </c>
      <c r="H155" s="3" t="s">
        <v>105</v>
      </c>
      <c r="I155" s="3" t="str">
        <f>IFERROR(__xludf.DUMMYFUNCTION("GOOGLETRANSLATE(C155,""fr"",""en"")"),"I was in contact with this insurer via a comparator; Where the other insurers were concerned with my needs, my expectations, my interlocutor was peremptory, even aggressive! Although having said that she no longer wants to discuss, she reminded me several"&amp;" times, remaining in the perspective ""I want to be right against you, customer"".
In short to avoid")</f>
        <v>I was in contact with this insurer via a comparator; Where the other insurers were concerned with my needs, my expectations, my interlocutor was peremptory, even aggressive! Although having said that she no longer wants to discuss, she reminded me several times, remaining in the perspective "I want to be right against you, customer".
In short to avoid</v>
      </c>
    </row>
    <row r="156" ht="15.75" customHeight="1">
      <c r="A156" s="3">
        <v>2.0</v>
      </c>
      <c r="B156" s="3" t="s">
        <v>558</v>
      </c>
      <c r="C156" s="3" t="s">
        <v>559</v>
      </c>
      <c r="D156" s="3" t="s">
        <v>97</v>
      </c>
      <c r="E156" s="3" t="s">
        <v>98</v>
      </c>
      <c r="F156" s="3" t="s">
        <v>15</v>
      </c>
      <c r="G156" s="3" t="s">
        <v>198</v>
      </c>
      <c r="H156" s="3" t="s">
        <v>75</v>
      </c>
      <c r="I156" s="3" t="str">
        <f>IFERROR(__xludf.DUMMYFUNCTION("GOOGLETRANSLATE(C156,""fr"",""en"")"),"in Rita
I am satisfied with Neoliane's services except the amount of the monthly subscription which should not exceed 90.00th /month given the proposals which are regularly sent to me.")</f>
        <v>in Rita
I am satisfied with Neoliane's services except the amount of the monthly subscription which should not exceed 90.00th /month given the proposals which are regularly sent to me.</v>
      </c>
    </row>
    <row r="157" ht="15.75" customHeight="1">
      <c r="A157" s="3">
        <v>1.0</v>
      </c>
      <c r="B157" s="3" t="s">
        <v>560</v>
      </c>
      <c r="C157" s="3" t="s">
        <v>561</v>
      </c>
      <c r="D157" s="3" t="s">
        <v>81</v>
      </c>
      <c r="E157" s="3" t="s">
        <v>14</v>
      </c>
      <c r="F157" s="3" t="s">
        <v>15</v>
      </c>
      <c r="G157" s="3" t="s">
        <v>562</v>
      </c>
      <c r="H157" s="3" t="s">
        <v>563</v>
      </c>
      <c r="I157" s="3" t="str">
        <f>IFERROR(__xludf.DUMMYFUNCTION("GOOGLETRANSLATE(C157,""fr"",""en"")"),"Impossible to have a quote by email, you have to connect to your customer area on the internet, but when you are a former member you cannot connect it is a defect from their home and they know it. But they don't send by email! Thank you I will see elsewhe"&amp;"re")</f>
        <v>Impossible to have a quote by email, you have to connect to your customer area on the internet, but when you are a former member you cannot connect it is a defect from their home and they know it. But they don't send by email! Thank you I will see elsewhere</v>
      </c>
    </row>
    <row r="158" ht="15.75" customHeight="1">
      <c r="A158" s="3">
        <v>5.0</v>
      </c>
      <c r="B158" s="3" t="s">
        <v>564</v>
      </c>
      <c r="C158" s="3" t="s">
        <v>565</v>
      </c>
      <c r="D158" s="3" t="s">
        <v>13</v>
      </c>
      <c r="E158" s="3" t="s">
        <v>14</v>
      </c>
      <c r="F158" s="3" t="s">
        <v>15</v>
      </c>
      <c r="G158" s="3" t="s">
        <v>566</v>
      </c>
      <c r="H158" s="3" t="s">
        <v>224</v>
      </c>
      <c r="I158" s="3" t="str">
        <f>IFERROR(__xludf.DUMMYFUNCTION("GOOGLETRANSLATE(C158,""fr"",""en"")"),"Very satisfied with the service, the prices and the reception. The ex are very clear and very precise the interlocutors are very professional and pleasant.")</f>
        <v>Very satisfied with the service, the prices and the reception. The ex are very clear and very precise the interlocutors are very professional and pleasant.</v>
      </c>
    </row>
    <row r="159" ht="15.75" customHeight="1">
      <c r="A159" s="3">
        <v>4.0</v>
      </c>
      <c r="B159" s="3" t="s">
        <v>567</v>
      </c>
      <c r="C159" s="3" t="s">
        <v>568</v>
      </c>
      <c r="D159" s="3" t="s">
        <v>89</v>
      </c>
      <c r="E159" s="3" t="s">
        <v>14</v>
      </c>
      <c r="F159" s="3" t="s">
        <v>15</v>
      </c>
      <c r="G159" s="3" t="s">
        <v>569</v>
      </c>
      <c r="H159" s="3" t="s">
        <v>236</v>
      </c>
      <c r="I159" s="3" t="str">
        <f>IFERROR(__xludf.DUMMYFUNCTION("GOOGLETRANSLATE(C159,""fr"",""en"")"),"Hello,
Here is your opinion:
An incident of too much in a series of 5, including a 3 -year manager, a moment of irritability A series of mutual misunderstandings and the MAIF decides to terminate all of our contracts after 17 years of coll"&amp;"aboration on December 31, 2018.
Distramed in the face of misunderstanding and lack of information concerning this decision I register my dissatisfaction on Assurance-Assurances.fr.
I was contacted by a MAIF service which recommended me to contact th"&amp;"e Brest delegation.
The effect was beneficial since the team of activists of the delegation fought to cancel this termination after explanation of our condition.
We wanted to thank this team which supports its members and with whom we have woven a s"&amp;"olid relationship of trust.
")</f>
        <v>Hello,
Here is your opinion:
An incident of too much in a series of 5, including a 3 -year manager, a moment of irritability A series of mutual misunderstandings and the MAIF decides to terminate all of our contracts after 17 years of collaboration on December 31, 2018.
Distramed in the face of misunderstanding and lack of information concerning this decision I register my dissatisfaction on Assurance-Assurances.fr.
I was contacted by a MAIF service which recommended me to contact the Brest delegation.
The effect was beneficial since the team of activists of the delegation fought to cancel this termination after explanation of our condition.
We wanted to thank this team which supports its members and with whom we have woven a solid relationship of trust.
</v>
      </c>
    </row>
    <row r="160" ht="15.75" customHeight="1">
      <c r="A160" s="3">
        <v>4.0</v>
      </c>
      <c r="B160" s="3" t="s">
        <v>570</v>
      </c>
      <c r="C160" s="3" t="s">
        <v>571</v>
      </c>
      <c r="D160" s="3" t="s">
        <v>13</v>
      </c>
      <c r="E160" s="3" t="s">
        <v>14</v>
      </c>
      <c r="F160" s="3" t="s">
        <v>15</v>
      </c>
      <c r="G160" s="3" t="s">
        <v>572</v>
      </c>
      <c r="H160" s="3" t="s">
        <v>23</v>
      </c>
      <c r="I160" s="3" t="str">
        <f>IFERROR(__xludf.DUMMYFUNCTION("GOOGLETRANSLATE(C160,""fr"",""en"")"),"I am sure to rapidite the quote, the price are very atractive. Only the criterion of the person and these means. Very stafifais of clear and visual site
")</f>
        <v>I am sure to rapidite the quote, the price are very atractive. Only the criterion of the person and these means. Very stafifais of clear and visual site
</v>
      </c>
    </row>
    <row r="161" ht="15.75" customHeight="1">
      <c r="A161" s="3">
        <v>2.0</v>
      </c>
      <c r="B161" s="3" t="s">
        <v>573</v>
      </c>
      <c r="C161" s="3" t="s">
        <v>574</v>
      </c>
      <c r="D161" s="3" t="s">
        <v>32</v>
      </c>
      <c r="E161" s="3" t="s">
        <v>14</v>
      </c>
      <c r="F161" s="3" t="s">
        <v>15</v>
      </c>
      <c r="G161" s="3" t="s">
        <v>575</v>
      </c>
      <c r="H161" s="3" t="s">
        <v>75</v>
      </c>
      <c r="I161" s="3" t="str">
        <f>IFERROR(__xludf.DUMMYFUNCTION("GOOGLETRANSLATE(C161,""fr"",""en"")"),"Shameful practice.
After 6 years of auto insurance with a single problem for which I made an observation for security when the other ultimately did not file his observation (so insurance did not have to intervene), I am told that I can no longer be insur"&amp;"ed at GMF. This is shameful, so we assure people and the day when there is only one glitch we send them for a walk. Very limited glitch since I had hit an article in a commercial parking lot, that I made an observation in case but that the other party was"&amp;" not manifested. How to say my misunderstanding and my questions about such practices.")</f>
        <v>Shameful practice.
After 6 years of auto insurance with a single problem for which I made an observation for security when the other ultimately did not file his observation (so insurance did not have to intervene), I am told that I can no longer be insured at GMF. This is shameful, so we assure people and the day when there is only one glitch we send them for a walk. Very limited glitch since I had hit an article in a commercial parking lot, that I made an observation in case but that the other party was not manifested. How to say my misunderstanding and my questions about such practices.</v>
      </c>
    </row>
    <row r="162" ht="15.75" customHeight="1">
      <c r="A162" s="3">
        <v>5.0</v>
      </c>
      <c r="B162" s="3" t="s">
        <v>576</v>
      </c>
      <c r="C162" s="3" t="s">
        <v>577</v>
      </c>
      <c r="D162" s="3" t="s">
        <v>42</v>
      </c>
      <c r="E162" s="3" t="s">
        <v>14</v>
      </c>
      <c r="F162" s="3" t="s">
        <v>15</v>
      </c>
      <c r="G162" s="3" t="s">
        <v>578</v>
      </c>
      <c r="H162" s="3" t="s">
        <v>23</v>
      </c>
      <c r="I162" s="3" t="str">
        <f>IFERROR(__xludf.DUMMYFUNCTION("GOOGLETRANSLATE(C162,""fr"",""en"")"),"Simple, and fast, quotes are online, as well as the subscription of contracts.
No need to move.
Very clear, accessible to all, at any time.")</f>
        <v>Simple, and fast, quotes are online, as well as the subscription of contracts.
No need to move.
Very clear, accessible to all, at any time.</v>
      </c>
    </row>
    <row r="163" ht="15.75" customHeight="1">
      <c r="A163" s="3">
        <v>5.0</v>
      </c>
      <c r="B163" s="3" t="s">
        <v>579</v>
      </c>
      <c r="C163" s="3" t="s">
        <v>580</v>
      </c>
      <c r="D163" s="3" t="s">
        <v>140</v>
      </c>
      <c r="E163" s="3" t="s">
        <v>98</v>
      </c>
      <c r="F163" s="3" t="s">
        <v>15</v>
      </c>
      <c r="G163" s="3" t="s">
        <v>300</v>
      </c>
      <c r="H163" s="3" t="s">
        <v>52</v>
      </c>
      <c r="I163" s="3" t="str">
        <f>IFERROR(__xludf.DUMMYFUNCTION("GOOGLETRANSLATE(C163,""fr"",""en"")"),"Nothing to say very kind noble ras. and close to theirvnoveauxClients")</f>
        <v>Nothing to say very kind noble ras. and close to theirvnoveauxClients</v>
      </c>
    </row>
    <row r="164" ht="15.75" customHeight="1">
      <c r="A164" s="3">
        <v>3.0</v>
      </c>
      <c r="B164" s="3" t="s">
        <v>581</v>
      </c>
      <c r="C164" s="3" t="s">
        <v>582</v>
      </c>
      <c r="D164" s="3" t="s">
        <v>42</v>
      </c>
      <c r="E164" s="3" t="s">
        <v>14</v>
      </c>
      <c r="F164" s="3" t="s">
        <v>15</v>
      </c>
      <c r="G164" s="3" t="s">
        <v>583</v>
      </c>
      <c r="H164" s="3" t="s">
        <v>23</v>
      </c>
      <c r="I164" s="3" t="str">
        <f>IFERROR(__xludf.DUMMYFUNCTION("GOOGLETRANSLATE(C164,""fr"",""en"")"),"Usually with other insurances, my contributions dropped every year. This is the first time that an insurer has been asking me for almost € 18 more a year when no accident has been declared and with 50% bonuses. In my opinion, I may change next year")</f>
        <v>Usually with other insurances, my contributions dropped every year. This is the first time that an insurer has been asking me for almost € 18 more a year when no accident has been declared and with 50% bonuses. In my opinion, I may change next year</v>
      </c>
    </row>
    <row r="165" ht="15.75" customHeight="1">
      <c r="A165" s="3">
        <v>1.0</v>
      </c>
      <c r="B165" s="3" t="s">
        <v>584</v>
      </c>
      <c r="C165" s="3" t="s">
        <v>585</v>
      </c>
      <c r="D165" s="3" t="s">
        <v>55</v>
      </c>
      <c r="E165" s="3" t="s">
        <v>14</v>
      </c>
      <c r="F165" s="3" t="s">
        <v>15</v>
      </c>
      <c r="G165" s="3" t="s">
        <v>409</v>
      </c>
      <c r="H165" s="3" t="s">
        <v>165</v>
      </c>
      <c r="I165" s="3" t="str">
        <f>IFERROR(__xludf.DUMMYFUNCTION("GOOGLETRANSLATE(C165,""fr"",""en"")"),"A strange impression of having made myself have ... I subscribe, I am levied and the exorbitant file fees, I provide the documents that I am asked as you go, with Asian customer service so you have to Listen to understand. Result after a month the expired"&amp;" deadline, we take the money and you are terminated for the first time from insurance !!!
Now a big breakdown, I need insurance that assures me more expensive because I am terminated. Ah I forgot Active Assurances invites me to reassure myself by taking "&amp;"into account their termination and a price more than double. Recovery ... You make a quote at home, you pay for the year, the deadline according to them to provide the documents (information statement ..) being exceeded, you are terminated they keep the m"&amp;"oney pretending to the additional costs, and you repropos a new penalty contract given their termination ... I do not know how we can name this kind of society. My confidence is broken, the car sleeps in the garage am disgusted. 35 years of license and 50"&amp;"%bonus and 0 claims. What a shame to flee without a relaxation !!")</f>
        <v>A strange impression of having made myself have ... I subscribe, I am levied and the exorbitant file fees, I provide the documents that I am asked as you go, with Asian customer service so you have to Listen to understand. Result after a month the expired deadline, we take the money and you are terminated for the first time from insurance !!!
Now a big breakdown, I need insurance that assures me more expensive because I am terminated. Ah I forgot Active Assurances invites me to reassure myself by taking into account their termination and a price more than double. Recovery ... You make a quote at home, you pay for the year, the deadline according to them to provide the documents (information statement ..) being exceeded, you are terminated they keep the money pretending to the additional costs, and you repropos a new penalty contract given their termination ... I do not know how we can name this kind of society. My confidence is broken, the car sleeps in the garage am disgusted. 35 years of license and 50%bonus and 0 claims. What a shame to flee without a relaxation !!</v>
      </c>
    </row>
    <row r="166" ht="15.75" customHeight="1">
      <c r="A166" s="3">
        <v>5.0</v>
      </c>
      <c r="B166" s="3" t="s">
        <v>586</v>
      </c>
      <c r="C166" s="3" t="s">
        <v>587</v>
      </c>
      <c r="D166" s="3" t="s">
        <v>32</v>
      </c>
      <c r="E166" s="3" t="s">
        <v>14</v>
      </c>
      <c r="F166" s="3" t="s">
        <v>15</v>
      </c>
      <c r="G166" s="3" t="s">
        <v>588</v>
      </c>
      <c r="H166" s="3" t="s">
        <v>75</v>
      </c>
      <c r="I166" s="3" t="str">
        <f>IFERROR(__xludf.DUMMYFUNCTION("GOOGLETRANSLATE(C166,""fr"",""en"")"),"I have confidence in the GMF, quite simply.
Nothing more to say.
If I have a sinister I do not have the impression that my insurer tries to intertwine. On the contrary, the situation is still assessed.")</f>
        <v>I have confidence in the GMF, quite simply.
Nothing more to say.
If I have a sinister I do not have the impression that my insurer tries to intertwine. On the contrary, the situation is still assessed.</v>
      </c>
    </row>
    <row r="167" ht="15.75" customHeight="1">
      <c r="A167" s="3">
        <v>2.0</v>
      </c>
      <c r="B167" s="3" t="s">
        <v>589</v>
      </c>
      <c r="C167" s="3" t="s">
        <v>590</v>
      </c>
      <c r="D167" s="3" t="s">
        <v>69</v>
      </c>
      <c r="E167" s="3" t="s">
        <v>14</v>
      </c>
      <c r="F167" s="3" t="s">
        <v>15</v>
      </c>
      <c r="G167" s="3" t="s">
        <v>591</v>
      </c>
      <c r="H167" s="3" t="s">
        <v>207</v>
      </c>
      <c r="I167" s="3" t="str">
        <f>IFERROR(__xludf.DUMMYFUNCTION("GOOGLETRANSLATE(C167,""fr"",""en"")"),"Eutofil is a good tans insurance that we have no problem, unfortunately I have a disaster, I have been 50% bonus for a very long time, and we don't want to make sure of my next vehicle, be careful , my parents after 30 years without Eurofil accident refus"&amp;"ed to insure them on their new vehicle without reason I guess that it is age (it is discrimination on elderly person punishable by law)
So here are the prices are attractive but watch out for the slightest glitch we throw you")</f>
        <v>Eutofil is a good tans insurance that we have no problem, unfortunately I have a disaster, I have been 50% bonus for a very long time, and we don't want to make sure of my next vehicle, be careful , my parents after 30 years without Eurofil accident refused to insure them on their new vehicle without reason I guess that it is age (it is discrimination on elderly person punishable by law)
So here are the prices are attractive but watch out for the slightest glitch we throw you</v>
      </c>
    </row>
    <row r="168" ht="15.75" customHeight="1">
      <c r="A168" s="3">
        <v>5.0</v>
      </c>
      <c r="B168" s="3" t="s">
        <v>592</v>
      </c>
      <c r="C168" s="3" t="s">
        <v>593</v>
      </c>
      <c r="D168" s="3" t="s">
        <v>13</v>
      </c>
      <c r="E168" s="3" t="s">
        <v>14</v>
      </c>
      <c r="F168" s="3" t="s">
        <v>15</v>
      </c>
      <c r="G168" s="3" t="s">
        <v>391</v>
      </c>
      <c r="H168" s="3" t="s">
        <v>165</v>
      </c>
      <c r="I168" s="3" t="str">
        <f>IFERROR(__xludf.DUMMYFUNCTION("GOOGLETRANSLATE(C168,""fr"",""en"")"),"Very good customer reception and total support.
A warm and personalized welcome welcome for a first car contract.
Very secure and good staff.")</f>
        <v>Very good customer reception and total support.
A warm and personalized welcome welcome for a first car contract.
Very secure and good staff.</v>
      </c>
    </row>
    <row r="169" ht="15.75" customHeight="1">
      <c r="A169" s="3">
        <v>1.0</v>
      </c>
      <c r="B169" s="3" t="s">
        <v>594</v>
      </c>
      <c r="C169" s="3" t="s">
        <v>595</v>
      </c>
      <c r="D169" s="3" t="s">
        <v>251</v>
      </c>
      <c r="E169" s="3" t="s">
        <v>311</v>
      </c>
      <c r="F169" s="3" t="s">
        <v>15</v>
      </c>
      <c r="G169" s="3" t="s">
        <v>596</v>
      </c>
      <c r="H169" s="3" t="s">
        <v>100</v>
      </c>
      <c r="I169" s="3" t="str">
        <f>IFERROR(__xludf.DUMMYFUNCTION("GOOGLETRANSLATE(C169,""fr"",""en"")"),"Here I knew that it was going to happen to me I find myself in the same situation as you are all crazy Cardiff does not recognize disability 2 Why make us subscribe to invalidity insurance if it is not to systematically refuse it ??? ??
Insurance to bani"&amp;"sh")</f>
        <v>Here I knew that it was going to happen to me I find myself in the same situation as you are all crazy Cardiff does not recognize disability 2 Why make us subscribe to invalidity insurance if it is not to systematically refuse it ??? ??
Insurance to banish</v>
      </c>
    </row>
    <row r="170" ht="15.75" customHeight="1">
      <c r="A170" s="3">
        <v>1.0</v>
      </c>
      <c r="B170" s="3" t="s">
        <v>597</v>
      </c>
      <c r="C170" s="3" t="s">
        <v>598</v>
      </c>
      <c r="D170" s="3" t="s">
        <v>69</v>
      </c>
      <c r="E170" s="3" t="s">
        <v>14</v>
      </c>
      <c r="F170" s="3" t="s">
        <v>15</v>
      </c>
      <c r="G170" s="3" t="s">
        <v>599</v>
      </c>
      <c r="H170" s="3" t="s">
        <v>39</v>
      </c>
      <c r="I170" s="3" t="str">
        <f>IFERROR(__xludf.DUMMYFUNCTION("GOOGLETRANSLATE(C170,""fr"",""en"")"),"No better Ah! if still ; Oh ! I see a response from Eurofil while I try to reach them ""currently following the treatment of mail we close our standard"" a joke? NOPE ! truthful! I try to make reason heard on a dubious interpretation of an observation, bu"&amp;"t there! I fall! While the girl who struck me in a roundabout written by her hand ""I was struck when I got involved ...."", it's lair right? But not for them, I find myself completely responsible! thank you")</f>
        <v>No better Ah! if still ; Oh ! I see a response from Eurofil while I try to reach them "currently following the treatment of mail we close our standard" a joke? NOPE ! truthful! I try to make reason heard on a dubious interpretation of an observation, but there! I fall! While the girl who struck me in a roundabout written by her hand "I was struck when I got involved ....", it's lair right? But not for them, I find myself completely responsible! thank you</v>
      </c>
    </row>
    <row r="171" ht="15.75" customHeight="1">
      <c r="A171" s="3">
        <v>1.0</v>
      </c>
      <c r="B171" s="3" t="s">
        <v>600</v>
      </c>
      <c r="C171" s="3" t="s">
        <v>601</v>
      </c>
      <c r="D171" s="3" t="s">
        <v>32</v>
      </c>
      <c r="E171" s="3" t="s">
        <v>14</v>
      </c>
      <c r="F171" s="3" t="s">
        <v>15</v>
      </c>
      <c r="G171" s="3" t="s">
        <v>602</v>
      </c>
      <c r="H171" s="3" t="s">
        <v>56</v>
      </c>
      <c r="I171" s="3" t="str">
        <f>IFERROR(__xludf.DUMMYFUNCTION("GOOGLETRANSLATE(C171,""fr"",""en"")"),"Member for 30 years and excellent driver having never had an accident, I have just learned that my contract was not renewed. The reason ? Four claims in 3 years. In fact, I have been there for 30 years but, divorced, I changed my name. Disaster victims ? "&amp;"A lady who is backing back in a parking lot, an act of vandalism on my car and a decancing request because punctured tire. I am in no way responsible. Thank you GMF !!!")</f>
        <v>Member for 30 years and excellent driver having never had an accident, I have just learned that my contract was not renewed. The reason ? Four claims in 3 years. In fact, I have been there for 30 years but, divorced, I changed my name. Disaster victims ? A lady who is backing back in a parking lot, an act of vandalism on my car and a decancing request because punctured tire. I am in no way responsible. Thank you GMF !!!</v>
      </c>
    </row>
    <row r="172" ht="15.75" customHeight="1">
      <c r="A172" s="3">
        <v>1.0</v>
      </c>
      <c r="B172" s="3" t="s">
        <v>603</v>
      </c>
      <c r="C172" s="3" t="s">
        <v>604</v>
      </c>
      <c r="D172" s="3" t="s">
        <v>246</v>
      </c>
      <c r="E172" s="3" t="s">
        <v>33</v>
      </c>
      <c r="F172" s="3" t="s">
        <v>15</v>
      </c>
      <c r="G172" s="3" t="s">
        <v>605</v>
      </c>
      <c r="H172" s="3" t="s">
        <v>517</v>
      </c>
      <c r="I172" s="3" t="str">
        <f>IFERROR(__xludf.DUMMYFUNCTION("GOOGLETRANSLATE(C172,""fr"",""en"")"),"Insurer to flee. Following a water damage due to a neighbor, a company was mandated by AXA to carry out the repair work. A year later, the work was not carried out on the pretext that the walls are always humid (more than a year after the disaster). Regul"&amp;"ar humidity measures have been made often contradictory and over several months. Now I know that nothing will be done especially in view of the extremely negative comments.")</f>
        <v>Insurer to flee. Following a water damage due to a neighbor, a company was mandated by AXA to carry out the repair work. A year later, the work was not carried out on the pretext that the walls are always humid (more than a year after the disaster). Regular humidity measures have been made often contradictory and over several months. Now I know that nothing will be done especially in view of the extremely negative comments.</v>
      </c>
    </row>
    <row r="173" ht="15.75" customHeight="1">
      <c r="A173" s="3">
        <v>5.0</v>
      </c>
      <c r="B173" s="3" t="s">
        <v>606</v>
      </c>
      <c r="C173" s="3" t="s">
        <v>607</v>
      </c>
      <c r="D173" s="3" t="s">
        <v>310</v>
      </c>
      <c r="E173" s="3" t="s">
        <v>311</v>
      </c>
      <c r="F173" s="3" t="s">
        <v>15</v>
      </c>
      <c r="G173" s="3" t="s">
        <v>608</v>
      </c>
      <c r="H173" s="3" t="s">
        <v>75</v>
      </c>
      <c r="I173" s="3" t="str">
        <f>IFERROR(__xludf.DUMMYFUNCTION("GOOGLETRANSLATE(C173,""fr"",""en"")"),"Very warm telephone.
This borrower insurance seems efficient and effective.
Speed ​​of subscription at the best price. Thank you")</f>
        <v>Very warm telephone.
This borrower insurance seems efficient and effective.
Speed ​​of subscription at the best price. Thank you</v>
      </c>
    </row>
    <row r="174" ht="15.75" customHeight="1">
      <c r="A174" s="3">
        <v>2.0</v>
      </c>
      <c r="B174" s="3" t="s">
        <v>609</v>
      </c>
      <c r="C174" s="3" t="s">
        <v>610</v>
      </c>
      <c r="D174" s="3" t="s">
        <v>69</v>
      </c>
      <c r="E174" s="3" t="s">
        <v>14</v>
      </c>
      <c r="F174" s="3" t="s">
        <v>15</v>
      </c>
      <c r="G174" s="3" t="s">
        <v>611</v>
      </c>
      <c r="H174" s="3" t="s">
        <v>563</v>
      </c>
      <c r="I174" s="3" t="str">
        <f>IFERROR(__xludf.DUMMYFUNCTION("GOOGLETRANSLATE(C174,""fr"",""en"")"),"I have a vehicle assur2 plus 1 apartment I ask for another quote and there I come across a very desagreable operator who does not want to work and who allows herself to make judgments without knowing she really has nothing to do behind a phone")</f>
        <v>I have a vehicle assur2 plus 1 apartment I ask for another quote and there I come across a very desagreable operator who does not want to work and who allows herself to make judgments without knowing she really has nothing to do behind a phone</v>
      </c>
    </row>
    <row r="175" ht="15.75" customHeight="1">
      <c r="A175" s="3">
        <v>2.0</v>
      </c>
      <c r="B175" s="3" t="s">
        <v>612</v>
      </c>
      <c r="C175" s="3" t="s">
        <v>613</v>
      </c>
      <c r="D175" s="3" t="s">
        <v>614</v>
      </c>
      <c r="E175" s="3" t="s">
        <v>109</v>
      </c>
      <c r="F175" s="3" t="s">
        <v>15</v>
      </c>
      <c r="G175" s="3" t="s">
        <v>615</v>
      </c>
      <c r="H175" s="3" t="s">
        <v>71</v>
      </c>
      <c r="I175" s="3" t="str">
        <f>IFERROR(__xludf.DUMMYFUNCTION("GOOGLETRANSLATE(C175,""fr"",""en"")"),"My Bearded Collie has diarrhea for almost 7 days. I consulted at the veterinary clinic near my home. Result nearly € 110 for consultation and 2 treatments.
What was not my surprise to be reimbursed by only € 22.50.
Indeed, if the consultation is
      "&amp;"                      ")</f>
        <v>My Bearded Collie has diarrhea for almost 7 days. I consulted at the veterinary clinic near my home. Result nearly € 110 for consultation and 2 treatments.
What was not my surprise to be reimbursed by only € 22.50.
Indeed, if the consultation is
                            </v>
      </c>
    </row>
    <row r="176" ht="15.75" customHeight="1">
      <c r="A176" s="3">
        <v>4.0</v>
      </c>
      <c r="B176" s="3" t="s">
        <v>616</v>
      </c>
      <c r="C176" s="3" t="s">
        <v>617</v>
      </c>
      <c r="D176" s="3" t="s">
        <v>140</v>
      </c>
      <c r="E176" s="3" t="s">
        <v>98</v>
      </c>
      <c r="F176" s="3" t="s">
        <v>15</v>
      </c>
      <c r="G176" s="3" t="s">
        <v>618</v>
      </c>
      <c r="H176" s="3" t="s">
        <v>71</v>
      </c>
      <c r="I176" s="3" t="str">
        <f>IFERROR(__xludf.DUMMYFUNCTION("GOOGLETRANSLATE(C176,""fr"",""en"")"),"I have just been advised by Lamia, very attentive, she stayed online to help me finalize a request for a while.
Very professional and very pleasant.
I am very satisfied with this exchange with Lamia, which advised me very well.
Thank you.")</f>
        <v>I have just been advised by Lamia, very attentive, she stayed online to help me finalize a request for a while.
Very professional and very pleasant.
I am very satisfied with this exchange with Lamia, which advised me very well.
Thank you.</v>
      </c>
    </row>
    <row r="177" ht="15.75" customHeight="1">
      <c r="A177" s="3">
        <v>2.0</v>
      </c>
      <c r="B177" s="3" t="s">
        <v>619</v>
      </c>
      <c r="C177" s="3" t="s">
        <v>620</v>
      </c>
      <c r="D177" s="3" t="s">
        <v>621</v>
      </c>
      <c r="E177" s="3" t="s">
        <v>311</v>
      </c>
      <c r="F177" s="3" t="s">
        <v>15</v>
      </c>
      <c r="G177" s="3" t="s">
        <v>622</v>
      </c>
      <c r="H177" s="3" t="s">
        <v>321</v>
      </c>
      <c r="I177" s="3" t="str">
        <f>IFERROR(__xludf.DUMMYFUNCTION("GOOGLETRANSLATE(C177,""fr"",""en"")"),"I wish to terminate my borrower contract subscribed in 2015. I followed the site's approach (https://www.metlife.fr/mes-demarches/assurance-eprunter/remboursment-total-ou-partiel-snc/) by sending A first email on 01/16 at dip@metlife.fr with attached docu"&amp;"ment. Unanswered, I returned a second email on 04/02. To days without response and I have just been debited on my account.
The least things would be at least to answer that my email has been received and that my request will be processed. The nothing.."&amp;".
Customer service 0 when you have to terminate.")</f>
        <v>I wish to terminate my borrower contract subscribed in 2015. I followed the site's approach (https://www.metlife.fr/mes-demarches/assurance-eprunter/remboursment-total-ou-partiel-snc/) by sending A first email on 01/16 at dip@metlife.fr with attached document. Unanswered, I returned a second email on 04/02. To days without response and I have just been debited on my account.
The least things would be at least to answer that my email has been received and that my request will be processed. The nothing...
Customer service 0 when you have to terminate.</v>
      </c>
    </row>
    <row r="178" ht="15.75" customHeight="1">
      <c r="A178" s="3">
        <v>4.0</v>
      </c>
      <c r="B178" s="3" t="s">
        <v>623</v>
      </c>
      <c r="C178" s="3" t="s">
        <v>624</v>
      </c>
      <c r="D178" s="3" t="s">
        <v>97</v>
      </c>
      <c r="E178" s="3" t="s">
        <v>98</v>
      </c>
      <c r="F178" s="3" t="s">
        <v>15</v>
      </c>
      <c r="G178" s="3" t="s">
        <v>625</v>
      </c>
      <c r="H178" s="3" t="s">
        <v>149</v>
      </c>
      <c r="I178" s="3" t="str">
        <f>IFERROR(__xludf.DUMMYFUNCTION("GOOGLETRANSLATE(C178,""fr"",""en"")"),"Very good advice, everything is clear
. Member since 2015 I am generally satisfied even if more guarantees at the same price would be welcome
")</f>
        <v>Very good advice, everything is clear
. Member since 2015 I am generally satisfied even if more guarantees at the same price would be welcome
</v>
      </c>
    </row>
    <row r="179" ht="15.75" customHeight="1">
      <c r="A179" s="3">
        <v>5.0</v>
      </c>
      <c r="B179" s="3" t="s">
        <v>626</v>
      </c>
      <c r="C179" s="3" t="s">
        <v>627</v>
      </c>
      <c r="D179" s="3" t="s">
        <v>42</v>
      </c>
      <c r="E179" s="3" t="s">
        <v>14</v>
      </c>
      <c r="F179" s="3" t="s">
        <v>15</v>
      </c>
      <c r="G179" s="3" t="s">
        <v>628</v>
      </c>
      <c r="H179" s="3" t="s">
        <v>39</v>
      </c>
      <c r="I179" s="3" t="str">
        <f>IFERROR(__xludf.DUMMYFUNCTION("GOOGLETRANSLATE(C179,""fr"",""en"")"),"Simplicity of subscription and clarity of the quote but
I am generally satisfied with the price but disappointed by the amount of deductibles especially for the ice breaker")</f>
        <v>Simplicity of subscription and clarity of the quote but
I am generally satisfied with the price but disappointed by the amount of deductibles especially for the ice breaker</v>
      </c>
    </row>
    <row r="180" ht="15.75" customHeight="1">
      <c r="A180" s="3">
        <v>4.0</v>
      </c>
      <c r="B180" s="3" t="s">
        <v>629</v>
      </c>
      <c r="C180" s="3" t="s">
        <v>630</v>
      </c>
      <c r="D180" s="3" t="s">
        <v>13</v>
      </c>
      <c r="E180" s="3" t="s">
        <v>14</v>
      </c>
      <c r="F180" s="3" t="s">
        <v>15</v>
      </c>
      <c r="G180" s="3" t="s">
        <v>198</v>
      </c>
      <c r="H180" s="3" t="s">
        <v>75</v>
      </c>
      <c r="I180" s="3" t="str">
        <f>IFERROR(__xludf.DUMMYFUNCTION("GOOGLETRANSLATE(C180,""fr"",""en"")"),"I am satisfied with the service offered. Indeed this site is quite ergonomic and it is quite simple to subscribe for car insurance. I recommend.")</f>
        <v>I am satisfied with the service offered. Indeed this site is quite ergonomic and it is quite simple to subscribe for car insurance. I recommend.</v>
      </c>
    </row>
    <row r="181" ht="15.75" customHeight="1">
      <c r="A181" s="3">
        <v>4.0</v>
      </c>
      <c r="B181" s="3" t="s">
        <v>631</v>
      </c>
      <c r="C181" s="3" t="s">
        <v>632</v>
      </c>
      <c r="D181" s="3" t="s">
        <v>20</v>
      </c>
      <c r="E181" s="3" t="s">
        <v>21</v>
      </c>
      <c r="F181" s="3" t="s">
        <v>15</v>
      </c>
      <c r="G181" s="3" t="s">
        <v>633</v>
      </c>
      <c r="H181" s="3" t="s">
        <v>224</v>
      </c>
      <c r="I181" s="3" t="str">
        <f>IFERROR(__xludf.DUMMYFUNCTION("GOOGLETRANSLATE(C181,""fr"",""en"")"),"Thank you it was super fast, satisfied with the service, fairly fast for the quote and the subscription. I recommend this insurance which is an alternative to others.")</f>
        <v>Thank you it was super fast, satisfied with the service, fairly fast for the quote and the subscription. I recommend this insurance which is an alternative to others.</v>
      </c>
    </row>
    <row r="182" ht="15.75" customHeight="1">
      <c r="A182" s="3">
        <v>1.0</v>
      </c>
      <c r="B182" s="3" t="s">
        <v>634</v>
      </c>
      <c r="C182" s="3" t="s">
        <v>635</v>
      </c>
      <c r="D182" s="3" t="s">
        <v>81</v>
      </c>
      <c r="E182" s="3" t="s">
        <v>14</v>
      </c>
      <c r="F182" s="3" t="s">
        <v>15</v>
      </c>
      <c r="G182" s="3" t="s">
        <v>636</v>
      </c>
      <c r="H182" s="3" t="s">
        <v>23</v>
      </c>
      <c r="I182" s="3" t="str">
        <f>IFERROR(__xludf.DUMMYFUNCTION("GOOGLETRANSLATE(C182,""fr"",""en"")"),"No human contact.
No human contact even in the waiting room. No look. No hello after 30 minutes of waiting
I don't recommend
, This Bruay site
")</f>
        <v>No human contact.
No human contact even in the waiting room. No look. No hello after 30 minutes of waiting
I don't recommend
, This Bruay site
</v>
      </c>
    </row>
    <row r="183" ht="15.75" customHeight="1">
      <c r="A183" s="3">
        <v>4.0</v>
      </c>
      <c r="B183" s="3" t="s">
        <v>637</v>
      </c>
      <c r="C183" s="3" t="s">
        <v>638</v>
      </c>
      <c r="D183" s="3" t="s">
        <v>13</v>
      </c>
      <c r="E183" s="3" t="s">
        <v>14</v>
      </c>
      <c r="F183" s="3" t="s">
        <v>15</v>
      </c>
      <c r="G183" s="3" t="s">
        <v>639</v>
      </c>
      <c r="H183" s="3" t="s">
        <v>44</v>
      </c>
      <c r="I183" s="3" t="str">
        <f>IFERROR(__xludf.DUMMYFUNCTION("GOOGLETRANSLATE(C183,""fr"",""en"")"),"I am very happy and very satisfied I highly recommend the Olivier Insurance Value Prix One of the best fast and efficient insurance")</f>
        <v>I am very happy and very satisfied I highly recommend the Olivier Insurance Value Prix One of the best fast and efficient insurance</v>
      </c>
    </row>
    <row r="184" ht="15.75" customHeight="1">
      <c r="A184" s="3">
        <v>1.0</v>
      </c>
      <c r="B184" s="3" t="s">
        <v>640</v>
      </c>
      <c r="C184" s="3" t="s">
        <v>641</v>
      </c>
      <c r="D184" s="3" t="s">
        <v>466</v>
      </c>
      <c r="E184" s="3" t="s">
        <v>33</v>
      </c>
      <c r="F184" s="3" t="s">
        <v>15</v>
      </c>
      <c r="G184" s="3" t="s">
        <v>642</v>
      </c>
      <c r="H184" s="3" t="s">
        <v>44</v>
      </c>
      <c r="I184" s="3" t="str">
        <f>IFERROR(__xludf.DUMMYFUNCTION("GOOGLETRANSLATE(C184,""fr"",""en"")"),"I took the Plumbing Assistance option. A disaster! The companies that the Matmut employs are bogus, I only had concerns, several interventions without ever the solution and by the way, they create other leaks. To flee")</f>
        <v>I took the Plumbing Assistance option. A disaster! The companies that the Matmut employs are bogus, I only had concerns, several interventions without ever the solution and by the way, they create other leaks. To flee</v>
      </c>
    </row>
    <row r="185" ht="15.75" customHeight="1">
      <c r="A185" s="3">
        <v>1.0</v>
      </c>
      <c r="B185" s="3" t="s">
        <v>643</v>
      </c>
      <c r="C185" s="3" t="s">
        <v>644</v>
      </c>
      <c r="D185" s="3" t="s">
        <v>97</v>
      </c>
      <c r="E185" s="3" t="s">
        <v>98</v>
      </c>
      <c r="F185" s="3" t="s">
        <v>15</v>
      </c>
      <c r="G185" s="3" t="s">
        <v>645</v>
      </c>
      <c r="H185" s="3" t="s">
        <v>23</v>
      </c>
      <c r="I185" s="3" t="str">
        <f>IFERROR(__xludf.DUMMYFUNCTION("GOOGLETRANSLATE(C185,""fr"",""en"")"),"I do not recommend this mutual. Liar no similar answer between all the interlocutors ... Enjoy you don't sound correct ... to avoid seriously ..")</f>
        <v>I do not recommend this mutual. Liar no similar answer between all the interlocutors ... Enjoy you don't sound correct ... to avoid seriously ..</v>
      </c>
    </row>
    <row r="186" ht="15.75" customHeight="1">
      <c r="A186" s="3">
        <v>5.0</v>
      </c>
      <c r="B186" s="3" t="s">
        <v>646</v>
      </c>
      <c r="C186" s="3" t="s">
        <v>647</v>
      </c>
      <c r="D186" s="3" t="s">
        <v>20</v>
      </c>
      <c r="E186" s="3" t="s">
        <v>21</v>
      </c>
      <c r="F186" s="3" t="s">
        <v>15</v>
      </c>
      <c r="G186" s="3" t="s">
        <v>648</v>
      </c>
      <c r="H186" s="3" t="s">
        <v>75</v>
      </c>
      <c r="I186" s="3" t="str">
        <f>IFERROR(__xludf.DUMMYFUNCTION("GOOGLETRANSLATE(C186,""fr"",""en"")"),"Very good for a scooter. And it's simple to do and we understand correctly
Price level it is yours remains to know when we need it if they are reactive")</f>
        <v>Very good for a scooter. And it's simple to do and we understand correctly
Price level it is yours remains to know when we need it if they are reactive</v>
      </c>
    </row>
    <row r="187" ht="15.75" customHeight="1">
      <c r="A187" s="3">
        <v>1.0</v>
      </c>
      <c r="B187" s="3" t="s">
        <v>649</v>
      </c>
      <c r="C187" s="3" t="s">
        <v>650</v>
      </c>
      <c r="D187" s="3" t="s">
        <v>32</v>
      </c>
      <c r="E187" s="3" t="s">
        <v>14</v>
      </c>
      <c r="F187" s="3" t="s">
        <v>15</v>
      </c>
      <c r="G187" s="3" t="s">
        <v>651</v>
      </c>
      <c r="H187" s="3" t="s">
        <v>551</v>
      </c>
      <c r="I187" s="3" t="str">
        <f>IFERROR(__xludf.DUMMYFUNCTION("GOOGLETRANSLATE(C187,""fr"",""en"")"),"I was very good customer for more than 15 years. They did me everything! Invoice € 9.15 with each change reported (change of address, modification contract, etc.) refused to pass my car insured all risks since 2003 and which was waiting to go to breakage "&amp;"and pass it to third party. A friend lent me a vehicle and they refused to assure me ... After complaints to management I won. I just bought a vehicle, so I contacted it to see what they could offer me as they had offered me in view of their disastrous at"&amp;"titude my Egard! Again they refuse to treat me as a former good customer, and do not want to give me the GMF advantages that I had 3 months ago.
Flee this company! The more good customers you are, the more they assassinate you.
")</f>
        <v>I was very good customer for more than 15 years. They did me everything! Invoice € 9.15 with each change reported (change of address, modification contract, etc.) refused to pass my car insured all risks since 2003 and which was waiting to go to breakage and pass it to third party. A friend lent me a vehicle and they refused to assure me ... After complaints to management I won. I just bought a vehicle, so I contacted it to see what they could offer me as they had offered me in view of their disastrous attitude my Egard! Again they refuse to treat me as a former good customer, and do not want to give me the GMF advantages that I had 3 months ago.
Flee this company! The more good customers you are, the more they assassinate you.
</v>
      </c>
    </row>
    <row r="188" ht="15.75" customHeight="1">
      <c r="A188" s="3">
        <v>2.0</v>
      </c>
      <c r="B188" s="3" t="s">
        <v>652</v>
      </c>
      <c r="C188" s="3" t="s">
        <v>653</v>
      </c>
      <c r="D188" s="3" t="s">
        <v>13</v>
      </c>
      <c r="E188" s="3" t="s">
        <v>14</v>
      </c>
      <c r="F188" s="3" t="s">
        <v>15</v>
      </c>
      <c r="G188" s="3" t="s">
        <v>608</v>
      </c>
      <c r="H188" s="3" t="s">
        <v>75</v>
      </c>
      <c r="I188" s="3" t="str">
        <f>IFERROR(__xludf.DUMMYFUNCTION("GOOGLETRANSLATE(C188,""fr"",""en"")"),"Prices are suitable for the moment.
But it is too early to give a concrete opinion on the contract and the options chosen. I hope you continue to improve the quality of your services.")</f>
        <v>Prices are suitable for the moment.
But it is too early to give a concrete opinion on the contract and the options chosen. I hope you continue to improve the quality of your services.</v>
      </c>
    </row>
    <row r="189" ht="15.75" customHeight="1">
      <c r="A189" s="3">
        <v>3.0</v>
      </c>
      <c r="B189" s="3" t="s">
        <v>654</v>
      </c>
      <c r="C189" s="3" t="s">
        <v>655</v>
      </c>
      <c r="D189" s="3" t="s">
        <v>42</v>
      </c>
      <c r="E189" s="3" t="s">
        <v>14</v>
      </c>
      <c r="F189" s="3" t="s">
        <v>15</v>
      </c>
      <c r="G189" s="3" t="s">
        <v>656</v>
      </c>
      <c r="H189" s="3" t="s">
        <v>165</v>
      </c>
      <c r="I189" s="3" t="str">
        <f>IFERROR(__xludf.DUMMYFUNCTION("GOOGLETRANSLATE(C189,""fr"",""en"")"),"A little too complicated to conclude a quote and send you the documents! An email address would be very practical to send them to you. Your site is often in maintenance, it is disturbing.")</f>
        <v>A little too complicated to conclude a quote and send you the documents! An email address would be very practical to send them to you. Your site is often in maintenance, it is disturbing.</v>
      </c>
    </row>
    <row r="190" ht="15.75" customHeight="1">
      <c r="A190" s="3">
        <v>4.0</v>
      </c>
      <c r="B190" s="3" t="s">
        <v>657</v>
      </c>
      <c r="C190" s="3" t="s">
        <v>658</v>
      </c>
      <c r="D190" s="3" t="s">
        <v>140</v>
      </c>
      <c r="E190" s="3" t="s">
        <v>98</v>
      </c>
      <c r="F190" s="3" t="s">
        <v>15</v>
      </c>
      <c r="G190" s="3" t="s">
        <v>659</v>
      </c>
      <c r="H190" s="3" t="s">
        <v>660</v>
      </c>
      <c r="I190" s="3" t="str">
        <f>IFERROR(__xludf.DUMMYFUNCTION("GOOGLETRANSLATE(C190,""fr"",""en"")"),"For several years Santian offered me all the explanations on the various proposals for formulas for the mutual of my son. Each time the proposed choice gave me complete satisfaction.")</f>
        <v>For several years Santian offered me all the explanations on the various proposals for formulas for the mutual of my son. Each time the proposed choice gave me complete satisfaction.</v>
      </c>
    </row>
    <row r="191" ht="15.75" customHeight="1">
      <c r="A191" s="3">
        <v>3.0</v>
      </c>
      <c r="B191" s="3" t="s">
        <v>661</v>
      </c>
      <c r="C191" s="3" t="s">
        <v>662</v>
      </c>
      <c r="D191" s="3" t="s">
        <v>47</v>
      </c>
      <c r="E191" s="3" t="s">
        <v>14</v>
      </c>
      <c r="F191" s="3" t="s">
        <v>15</v>
      </c>
      <c r="G191" s="3" t="s">
        <v>663</v>
      </c>
      <c r="H191" s="3" t="s">
        <v>119</v>
      </c>
      <c r="I191" s="3" t="str">
        <f>IFERROR(__xludf.DUMMYFUNCTION("GOOGLETRANSLATE(C191,""fr"",""en"")"),"Very satisfied for support during a vehicle breakdown in Spain. Thanks to the international service.")</f>
        <v>Very satisfied for support during a vehicle breakdown in Spain. Thanks to the international service.</v>
      </c>
    </row>
    <row r="192" ht="15.75" customHeight="1">
      <c r="A192" s="3">
        <v>3.0</v>
      </c>
      <c r="B192" s="3" t="s">
        <v>664</v>
      </c>
      <c r="C192" s="3" t="s">
        <v>665</v>
      </c>
      <c r="D192" s="3" t="s">
        <v>13</v>
      </c>
      <c r="E192" s="3" t="s">
        <v>14</v>
      </c>
      <c r="F192" s="3" t="s">
        <v>15</v>
      </c>
      <c r="G192" s="3" t="s">
        <v>666</v>
      </c>
      <c r="H192" s="3" t="s">
        <v>17</v>
      </c>
      <c r="I192" s="3" t="str">
        <f>IFERROR(__xludf.DUMMYFUNCTION("GOOGLETRANSLATE(C192,""fr"",""en"")"),"I am really unhappy with the Oliver Insurance. Living in the 76, we broke down on a Sunday evening around 11 p.m. 200km from our home. The insurer not wanting to give us a taxi and the loan vehicles being closed in the evening, they let us manage in the m"&amp;"iddle of nowhere at 00h and 5 degrees to find a hotel (of course not taken care of). Fortunately we found a hotel 1 hour walk. The next day they are contacted to have a rental car to finally go home, the car is taken care of but we cannot drop it home but"&amp;" to drop it off in Paris. So force to abandon at our expense. The garage of our car being in the 76, we must repatriate the car (still at our expense). What is insurance for? Especially since our dear Oliver Insurance assures us that by paying € 180 per m"&amp;"onth for a premium ++ service we are safe and supported. So I thank the Olivier Insurance for the non -assistance if highlighted and for its total lack of professionalism. This insurance is really to be flee as quickly as possible.")</f>
        <v>I am really unhappy with the Oliver Insurance. Living in the 76, we broke down on a Sunday evening around 11 p.m. 200km from our home. The insurer not wanting to give us a taxi and the loan vehicles being closed in the evening, they let us manage in the middle of nowhere at 00h and 5 degrees to find a hotel (of course not taken care of). Fortunately we found a hotel 1 hour walk. The next day they are contacted to have a rental car to finally go home, the car is taken care of but we cannot drop it home but to drop it off in Paris. So force to abandon at our expense. The garage of our car being in the 76, we must repatriate the car (still at our expense). What is insurance for? Especially since our dear Oliver Insurance assures us that by paying € 180 per month for a premium ++ service we are safe and supported. So I thank the Olivier Insurance for the non -assistance if highlighted and for its total lack of professionalism. This insurance is really to be flee as quickly as possible.</v>
      </c>
    </row>
    <row r="193" ht="15.75" customHeight="1">
      <c r="A193" s="3">
        <v>5.0</v>
      </c>
      <c r="B193" s="3" t="s">
        <v>667</v>
      </c>
      <c r="C193" s="3" t="s">
        <v>668</v>
      </c>
      <c r="D193" s="3" t="s">
        <v>13</v>
      </c>
      <c r="E193" s="3" t="s">
        <v>14</v>
      </c>
      <c r="F193" s="3" t="s">
        <v>15</v>
      </c>
      <c r="G193" s="3" t="s">
        <v>669</v>
      </c>
      <c r="H193" s="3" t="s">
        <v>29</v>
      </c>
      <c r="I193" s="3" t="str">
        <f>IFERROR(__xludf.DUMMYFUNCTION("GOOGLETRANSLATE(C193,""fr"",""en"")"),"Professionalism and kindness to the stake of stakeholders everything is simple and easy the personal space is easy to use insurance to recommend without problem")</f>
        <v>Professionalism and kindness to the stake of stakeholders everything is simple and easy the personal space is easy to use insurance to recommend without problem</v>
      </c>
    </row>
    <row r="194" ht="15.75" customHeight="1">
      <c r="A194" s="3">
        <v>5.0</v>
      </c>
      <c r="B194" s="3" t="s">
        <v>670</v>
      </c>
      <c r="C194" s="3" t="s">
        <v>671</v>
      </c>
      <c r="D194" s="3" t="s">
        <v>310</v>
      </c>
      <c r="E194" s="3" t="s">
        <v>311</v>
      </c>
      <c r="F194" s="3" t="s">
        <v>15</v>
      </c>
      <c r="G194" s="3" t="s">
        <v>639</v>
      </c>
      <c r="H194" s="3" t="s">
        <v>44</v>
      </c>
      <c r="I194" s="3" t="str">
        <f>IFERROR(__xludf.DUMMYFUNCTION("GOOGLETRANSLATE(C194,""fr"",""en"")"),"Very satisfied, the proposed price is unbeatable and my advisor was excellent! I will recommend your insurance to my loved ones and I also appreciate your sponsorship policy!")</f>
        <v>Very satisfied, the proposed price is unbeatable and my advisor was excellent! I will recommend your insurance to my loved ones and I also appreciate your sponsorship policy!</v>
      </c>
    </row>
    <row r="195" ht="15.75" customHeight="1">
      <c r="A195" s="3">
        <v>1.0</v>
      </c>
      <c r="B195" s="3" t="s">
        <v>672</v>
      </c>
      <c r="C195" s="3" t="s">
        <v>673</v>
      </c>
      <c r="D195" s="3" t="s">
        <v>674</v>
      </c>
      <c r="E195" s="3" t="s">
        <v>194</v>
      </c>
      <c r="F195" s="3" t="s">
        <v>15</v>
      </c>
      <c r="G195" s="3" t="s">
        <v>675</v>
      </c>
      <c r="H195" s="3" t="s">
        <v>52</v>
      </c>
      <c r="I195" s="3" t="str">
        <f>IFERROR(__xludf.DUMMYFUNCTION("GOOGLETRANSLATE(C195,""fr"",""en"")"),"I was successful during the expertise, the CNP persists in not paying my guarantees. File transmitted to my lawyer. 2 years of waiting for expertise and there they refuse to pay me !!! While I am in my rights")</f>
        <v>I was successful during the expertise, the CNP persists in not paying my guarantees. File transmitted to my lawyer. 2 years of waiting for expertise and there they refuse to pay me !!! While I am in my rights</v>
      </c>
    </row>
    <row r="196" ht="15.75" customHeight="1">
      <c r="A196" s="3">
        <v>1.0</v>
      </c>
      <c r="B196" s="3" t="s">
        <v>676</v>
      </c>
      <c r="C196" s="3" t="s">
        <v>677</v>
      </c>
      <c r="D196" s="3" t="s">
        <v>246</v>
      </c>
      <c r="E196" s="3" t="s">
        <v>14</v>
      </c>
      <c r="F196" s="3" t="s">
        <v>15</v>
      </c>
      <c r="G196" s="3" t="s">
        <v>678</v>
      </c>
      <c r="H196" s="3" t="s">
        <v>429</v>
      </c>
      <c r="I196" s="3" t="str">
        <f>IFERROR(__xludf.DUMMYFUNCTION("GOOGLETRANSLATE(C196,""fr"",""en"")"),"Insurance company without communication, no commercial aspect and when we need them following a disaster we are never covered. The contracts are so well done that all the exclusions are in the small lines. which are of course never explained during the su"&amp;"bscription.")</f>
        <v>Insurance company without communication, no commercial aspect and when we need them following a disaster we are never covered. The contracts are so well done that all the exclusions are in the small lines. which are of course never explained during the subscription.</v>
      </c>
    </row>
    <row r="197" ht="15.75" customHeight="1">
      <c r="A197" s="3">
        <v>2.0</v>
      </c>
      <c r="B197" s="3" t="s">
        <v>679</v>
      </c>
      <c r="C197" s="3" t="s">
        <v>680</v>
      </c>
      <c r="D197" s="3" t="s">
        <v>42</v>
      </c>
      <c r="E197" s="3" t="s">
        <v>14</v>
      </c>
      <c r="F197" s="3" t="s">
        <v>15</v>
      </c>
      <c r="G197" s="3" t="s">
        <v>681</v>
      </c>
      <c r="H197" s="3" t="s">
        <v>115</v>
      </c>
      <c r="I197" s="3" t="str">
        <f>IFERROR(__xludf.DUMMYFUNCTION("GOOGLETRANSLATE(C197,""fr"",""en"")"),"The prices are still expensive and the case costs as much but less expensive, it is quite fast and simple but for young drivers who do not work it is complicated")</f>
        <v>The prices are still expensive and the case costs as much but less expensive, it is quite fast and simple but for young drivers who do not work it is complicated</v>
      </c>
    </row>
    <row r="198" ht="15.75" customHeight="1">
      <c r="A198" s="3">
        <v>1.0</v>
      </c>
      <c r="B198" s="3" t="s">
        <v>682</v>
      </c>
      <c r="C198" s="3" t="s">
        <v>683</v>
      </c>
      <c r="D198" s="3" t="s">
        <v>13</v>
      </c>
      <c r="E198" s="3" t="s">
        <v>14</v>
      </c>
      <c r="F198" s="3" t="s">
        <v>15</v>
      </c>
      <c r="G198" s="3" t="s">
        <v>684</v>
      </c>
      <c r="H198" s="3" t="s">
        <v>563</v>
      </c>
      <c r="I198" s="3" t="str">
        <f>IFERROR(__xludf.DUMMYFUNCTION("GOOGLETRANSLATE(C198,""fr"",""en"")"),"Very bad experience with them. Green card not received after several weeks. Online customer area that does not work, I end up calling and asking how much I could save if I withdraw my spouse from the green card because it does not drive the car (+85euro a"&amp;"t the opening of my contract) and the advisor to Modified my contract by withdrawing it which generated me 32 euros of supplement! I asked to withdraw this amendment, they answered me you can refuse it and you will therefore be excluded from the insurance"&amp;".")</f>
        <v>Very bad experience with them. Green card not received after several weeks. Online customer area that does not work, I end up calling and asking how much I could save if I withdraw my spouse from the green card because it does not drive the car (+85euro at the opening of my contract) and the advisor to Modified my contract by withdrawing it which generated me 32 euros of supplement! I asked to withdraw this amendment, they answered me you can refuse it and you will therefore be excluded from the insurance.</v>
      </c>
    </row>
    <row r="199" ht="15.75" customHeight="1">
      <c r="A199" s="3">
        <v>2.0</v>
      </c>
      <c r="B199" s="3" t="s">
        <v>685</v>
      </c>
      <c r="C199" s="3" t="s">
        <v>686</v>
      </c>
      <c r="D199" s="3" t="s">
        <v>466</v>
      </c>
      <c r="E199" s="3" t="s">
        <v>33</v>
      </c>
      <c r="F199" s="3" t="s">
        <v>15</v>
      </c>
      <c r="G199" s="3" t="s">
        <v>687</v>
      </c>
      <c r="H199" s="3" t="s">
        <v>321</v>
      </c>
      <c r="I199" s="3" t="str">
        <f>IFERROR(__xludf.DUMMYFUNCTION("GOOGLETRANSLATE(C199,""fr"",""en"")"),"Being assured for more due 15 years at the Matmut threw rather satisfied because I had never had a claim until the day when water damage all building has been touching for a year and I am still waiting for repair an expert came 3 months to receive the rep"&amp;"ort when I contact him he tells me that he does not remember my file at all then after several recovery a week later he reports 3 times less than what to see enter that they themselves Mont Send and always waiting I am very disappointed for a year, I was "&amp;"a victim of a big water damage and as a bonus during its expert passage offers me to do the work alone in order to reduce the costs of the Matmut by 50 % a sketch I don't know what to think !!!!")</f>
        <v>Being assured for more due 15 years at the Matmut threw rather satisfied because I had never had a claim until the day when water damage all building has been touching for a year and I am still waiting for repair an expert came 3 months to receive the report when I contact him he tells me that he does not remember my file at all then after several recovery a week later he reports 3 times less than what to see enter that they themselves Mont Send and always waiting I am very disappointed for a year, I was a victim of a big water damage and as a bonus during its expert passage offers me to do the work alone in order to reduce the costs of the Matmut by 50 % a sketch I don't know what to think !!!!</v>
      </c>
    </row>
    <row r="200" ht="15.75" customHeight="1">
      <c r="A200" s="3">
        <v>2.0</v>
      </c>
      <c r="B200" s="3" t="s">
        <v>688</v>
      </c>
      <c r="C200" s="3" t="s">
        <v>689</v>
      </c>
      <c r="D200" s="3" t="s">
        <v>89</v>
      </c>
      <c r="E200" s="3" t="s">
        <v>14</v>
      </c>
      <c r="F200" s="3" t="s">
        <v>15</v>
      </c>
      <c r="G200" s="3" t="s">
        <v>690</v>
      </c>
      <c r="H200" s="3" t="s">
        <v>563</v>
      </c>
      <c r="I200" s="3" t="str">
        <f>IFERROR(__xludf.DUMMYFUNCTION("GOOGLETRANSLATE(C200,""fr"",""en"")"),"Hello,
Customer for more than 20 years at the Filia Maif: (scooter, apartment, motorcycle, car, house), I have almost never had a real claim or minimal loss (damage to water for example).
For this kind of claims, there is nothing to complain about, we f"&amp;"eel that the maif ensures you correctly.
The staff are generally listening and welcoming but not always qualified to respond to somewhat technical problems. It is understandable, they are insurers, not technicians.
They therefore go through independen"&amp;"t experts.
I expected from the MAIF that they surround themselves with a serious network with the weight of a big business to make things happen.
I had only one real claim on my vehicle, parking vehicle. The claim took place in November 2018 and is st"&amp;"ill not resolved today.
I feel like I have to fight to go get the information and make sure to collect my vehicle as it was before the accident. I don't feel like I am followed by my insurer. I feel like I have to fight.
It is very unpleasant.
Th"&amp;"e Maif gets out completely and lets me do things alone (contact the expert, the bodybuilder, check that the bodybuilder has done his job well, open a dispute ...)
MAIF has passed my file as closed but my vehicle is still not repaired as it should be.
"&amp;"
I want to change my vehicle, I don't think I stay in Maif, not for a question of price but for a question of confidence.")</f>
        <v>Hello,
Customer for more than 20 years at the Filia Maif: (scooter, apartment, motorcycle, car, house), I have almost never had a real claim or minimal loss (damage to water for example).
For this kind of claims, there is nothing to complain about, we feel that the maif ensures you correctly.
The staff are generally listening and welcoming but not always qualified to respond to somewhat technical problems. It is understandable, they are insurers, not technicians.
They therefore go through independent experts.
I expected from the MAIF that they surround themselves with a serious network with the weight of a big business to make things happen.
I had only one real claim on my vehicle, parking vehicle. The claim took place in November 2018 and is still not resolved today.
I feel like I have to fight to go get the information and make sure to collect my vehicle as it was before the accident. I don't feel like I am followed by my insurer. I feel like I have to fight.
It is very unpleasant.
The Maif gets out completely and lets me do things alone (contact the expert, the bodybuilder, check that the bodybuilder has done his job well, open a dispute ...)
MAIF has passed my file as closed but my vehicle is still not repaired as it should be.
I want to change my vehicle, I don't think I stay in Maif, not for a question of price but for a question of confidence.</v>
      </c>
    </row>
    <row r="201" ht="15.75" customHeight="1">
      <c r="A201" s="3">
        <v>3.0</v>
      </c>
      <c r="B201" s="3" t="s">
        <v>691</v>
      </c>
      <c r="C201" s="3" t="s">
        <v>692</v>
      </c>
      <c r="D201" s="3" t="s">
        <v>13</v>
      </c>
      <c r="E201" s="3" t="s">
        <v>14</v>
      </c>
      <c r="F201" s="3" t="s">
        <v>15</v>
      </c>
      <c r="G201" s="3" t="s">
        <v>381</v>
      </c>
      <c r="H201" s="3" t="s">
        <v>44</v>
      </c>
      <c r="I201" s="3" t="str">
        <f>IFERROR(__xludf.DUMMYFUNCTION("GOOGLETRANSLATE(C201,""fr"",""en"")"),"For the moment no worries. I hope it will last over time. I called once to receive my sticker and it was settled as soon as possible?")</f>
        <v>For the moment no worries. I hope it will last over time. I called once to receive my sticker and it was settled as soon as possible?</v>
      </c>
    </row>
    <row r="202" ht="15.75" customHeight="1">
      <c r="A202" s="3">
        <v>1.0</v>
      </c>
      <c r="B202" s="3" t="s">
        <v>693</v>
      </c>
      <c r="C202" s="3" t="s">
        <v>694</v>
      </c>
      <c r="D202" s="3" t="s">
        <v>695</v>
      </c>
      <c r="E202" s="3" t="s">
        <v>109</v>
      </c>
      <c r="F202" s="3" t="s">
        <v>15</v>
      </c>
      <c r="G202" s="3" t="s">
        <v>696</v>
      </c>
      <c r="H202" s="3" t="s">
        <v>660</v>
      </c>
      <c r="I202" s="3" t="str">
        <f>IFERROR(__xludf.DUMMYFUNCTION("GOOGLETRANSLATE(C202,""fr"",""en"")"),"To run away absolutely. The salespeople are very strong to have you signed (a lot of promises and lies) ... after ...")</f>
        <v>To run away absolutely. The salespeople are very strong to have you signed (a lot of promises and lies) ... after ...</v>
      </c>
    </row>
    <row r="203" ht="15.75" customHeight="1">
      <c r="A203" s="3">
        <v>1.0</v>
      </c>
      <c r="B203" s="3" t="s">
        <v>697</v>
      </c>
      <c r="C203" s="3" t="s">
        <v>698</v>
      </c>
      <c r="D203" s="3" t="s">
        <v>42</v>
      </c>
      <c r="E203" s="3" t="s">
        <v>14</v>
      </c>
      <c r="F203" s="3" t="s">
        <v>15</v>
      </c>
      <c r="G203" s="3" t="s">
        <v>699</v>
      </c>
      <c r="H203" s="3" t="s">
        <v>44</v>
      </c>
      <c r="I203" s="3" t="str">
        <f>IFERROR(__xludf.DUMMYFUNCTION("GOOGLETRANSLATE(C203,""fr"",""en"")"),"I am not satisfied with the service following the increase in unjustified price. And ausi following the reception of an email informing me that ""you no longer benefit from the bonus 50 bonus always."". I contacted Direct Assurance, unable to have a clear"&amp;" answer on this subject.")</f>
        <v>I am not satisfied with the service following the increase in unjustified price. And ausi following the reception of an email informing me that "you no longer benefit from the bonus 50 bonus always.". I contacted Direct Assurance, unable to have a clear answer on this subject.</v>
      </c>
    </row>
    <row r="204" ht="15.75" customHeight="1">
      <c r="A204" s="3">
        <v>3.0</v>
      </c>
      <c r="B204" s="3" t="s">
        <v>700</v>
      </c>
      <c r="C204" s="3" t="s">
        <v>701</v>
      </c>
      <c r="D204" s="3" t="s">
        <v>13</v>
      </c>
      <c r="E204" s="3" t="s">
        <v>14</v>
      </c>
      <c r="F204" s="3" t="s">
        <v>15</v>
      </c>
      <c r="G204" s="3" t="s">
        <v>378</v>
      </c>
      <c r="H204" s="3" t="s">
        <v>23</v>
      </c>
      <c r="I204" s="3" t="str">
        <f>IFERROR(__xludf.DUMMYFUNCTION("GOOGLETRANSLATE(C204,""fr"",""en"")"),"Good for the moment nothing to report, everything seems correct to me ... the franchise remains a little expensive for my taste but I have not found so much better elsewhere")</f>
        <v>Good for the moment nothing to report, everything seems correct to me ... the franchise remains a little expensive for my taste but I have not found so much better elsewhere</v>
      </c>
    </row>
    <row r="205" ht="15.75" customHeight="1">
      <c r="A205" s="3">
        <v>1.0</v>
      </c>
      <c r="B205" s="3" t="s">
        <v>702</v>
      </c>
      <c r="C205" s="3" t="s">
        <v>703</v>
      </c>
      <c r="D205" s="3" t="s">
        <v>704</v>
      </c>
      <c r="E205" s="3" t="s">
        <v>27</v>
      </c>
      <c r="F205" s="3" t="s">
        <v>15</v>
      </c>
      <c r="G205" s="3" t="s">
        <v>705</v>
      </c>
      <c r="H205" s="3" t="s">
        <v>191</v>
      </c>
      <c r="I205" s="3" t="str">
        <f>IFERROR(__xludf.DUMMYFUNCTION("GOOGLETRANSLATE(C205,""fr"",""en"")"),"To flee urgently. Not serious at all. I was able after a long time to recover my from, but not without difficulty.
I work today with serious people. If you are interested ... I give you the pipe.")</f>
        <v>To flee urgently. Not serious at all. I was able after a long time to recover my from, but not without difficulty.
I work today with serious people. If you are interested ... I give you the pipe.</v>
      </c>
    </row>
    <row r="206" ht="15.75" customHeight="1">
      <c r="A206" s="3">
        <v>4.0</v>
      </c>
      <c r="B206" s="3" t="s">
        <v>706</v>
      </c>
      <c r="C206" s="3" t="s">
        <v>707</v>
      </c>
      <c r="D206" s="3" t="s">
        <v>42</v>
      </c>
      <c r="E206" s="3" t="s">
        <v>14</v>
      </c>
      <c r="F206" s="3" t="s">
        <v>15</v>
      </c>
      <c r="G206" s="3" t="s">
        <v>708</v>
      </c>
      <c r="H206" s="3" t="s">
        <v>115</v>
      </c>
      <c r="I206" s="3" t="str">
        <f>IFERROR(__xludf.DUMMYFUNCTION("GOOGLETRANSLATE(C206,""fr"",""en"")"),"I find the prices attractive there is a great ease to ensure on the site
This site is friendly and well constructed. The only downside is the lack of flexibility for payment.")</f>
        <v>I find the prices attractive there is a great ease to ensure on the site
This site is friendly and well constructed. The only downside is the lack of flexibility for payment.</v>
      </c>
    </row>
    <row r="207" ht="15.75" customHeight="1">
      <c r="A207" s="3">
        <v>1.0</v>
      </c>
      <c r="B207" s="3" t="s">
        <v>709</v>
      </c>
      <c r="C207" s="3" t="s">
        <v>710</v>
      </c>
      <c r="D207" s="3" t="s">
        <v>466</v>
      </c>
      <c r="E207" s="3" t="s">
        <v>33</v>
      </c>
      <c r="F207" s="3" t="s">
        <v>15</v>
      </c>
      <c r="G207" s="3" t="s">
        <v>611</v>
      </c>
      <c r="H207" s="3" t="s">
        <v>563</v>
      </c>
      <c r="I207" s="3" t="str">
        <f>IFERROR(__xludf.DUMMYFUNCTION("GOOGLETRANSLATE(C207,""fr"",""en"")"),"You resilled your contract on October 14, you receive a letter confirming it and you are taken from November, December and as I had opposed to January recovery mail with interests and threats Bravo la Matmut")</f>
        <v>You resilled your contract on October 14, you receive a letter confirming it and you are taken from November, December and as I had opposed to January recovery mail with interests and threats Bravo la Matmut</v>
      </c>
    </row>
    <row r="208" ht="15.75" customHeight="1">
      <c r="A208" s="3">
        <v>4.0</v>
      </c>
      <c r="B208" s="3" t="s">
        <v>711</v>
      </c>
      <c r="C208" s="3" t="s">
        <v>712</v>
      </c>
      <c r="D208" s="3" t="s">
        <v>42</v>
      </c>
      <c r="E208" s="3" t="s">
        <v>14</v>
      </c>
      <c r="F208" s="3" t="s">
        <v>15</v>
      </c>
      <c r="G208" s="3" t="s">
        <v>713</v>
      </c>
      <c r="H208" s="3" t="s">
        <v>115</v>
      </c>
      <c r="I208" s="3" t="str">
        <f>IFERROR(__xludf.DUMMYFUNCTION("GOOGLETRANSLATE(C208,""fr"",""en"")"),"Fast and efficient service., Navigation in the easy and intuitive menu. The prices are very competitive.
I am satisfied with the services.
And I will recommend this insurance organization.")</f>
        <v>Fast and efficient service., Navigation in the easy and intuitive menu. The prices are very competitive.
I am satisfied with the services.
And I will recommend this insurance organization.</v>
      </c>
    </row>
    <row r="209" ht="15.75" customHeight="1">
      <c r="A209" s="3">
        <v>1.0</v>
      </c>
      <c r="B209" s="3" t="s">
        <v>714</v>
      </c>
      <c r="C209" s="3" t="s">
        <v>715</v>
      </c>
      <c r="D209" s="3" t="s">
        <v>716</v>
      </c>
      <c r="E209" s="3" t="s">
        <v>98</v>
      </c>
      <c r="F209" s="3" t="s">
        <v>15</v>
      </c>
      <c r="G209" s="3" t="s">
        <v>717</v>
      </c>
      <c r="H209" s="3" t="s">
        <v>17</v>
      </c>
      <c r="I209" s="3" t="str">
        <f>IFERROR(__xludf.DUMMYFUNCTION("GOOGLETRANSLATE(C209,""fr"",""en"")"),"It's a shame, it is impossible to have the technical service on the phone you are waiting and the communication stops. I have sent quotes by LR since June no written answer, no call, I cannot register on the site I have been trying for 3 months impossible"&amp;" it does not work.
I am looking to change my mutual insurance company, I am currently inquiring in my entourage and I do not advertise to Mercer you can imagine.")</f>
        <v>It's a shame, it is impossible to have the technical service on the phone you are waiting and the communication stops. I have sent quotes by LR since June no written answer, no call, I cannot register on the site I have been trying for 3 months impossible it does not work.
I am looking to change my mutual insurance company, I am currently inquiring in my entourage and I do not advertise to Mercer you can imagine.</v>
      </c>
    </row>
    <row r="210" ht="15.75" customHeight="1">
      <c r="A210" s="3">
        <v>3.0</v>
      </c>
      <c r="B210" s="3" t="s">
        <v>718</v>
      </c>
      <c r="C210" s="3" t="s">
        <v>719</v>
      </c>
      <c r="D210" s="3" t="s">
        <v>214</v>
      </c>
      <c r="E210" s="3" t="s">
        <v>98</v>
      </c>
      <c r="F210" s="3" t="s">
        <v>15</v>
      </c>
      <c r="G210" s="3" t="s">
        <v>720</v>
      </c>
      <c r="H210" s="3" t="s">
        <v>207</v>
      </c>
      <c r="I210" s="3" t="str">
        <f>IFERROR(__xludf.DUMMYFUNCTION("GOOGLETRANSLATE(C210,""fr"",""en"")"),"Correct mutual but preferred to go to MGEN and I do not regret my choice (many services not offered by Harmonie are integrated into the MGEN).")</f>
        <v>Correct mutual but preferred to go to MGEN and I do not regret my choice (many services not offered by Harmonie are integrated into the MGEN).</v>
      </c>
    </row>
    <row r="211" ht="15.75" customHeight="1">
      <c r="A211" s="3">
        <v>2.0</v>
      </c>
      <c r="B211" s="3" t="s">
        <v>721</v>
      </c>
      <c r="C211" s="3" t="s">
        <v>722</v>
      </c>
      <c r="D211" s="3" t="s">
        <v>723</v>
      </c>
      <c r="E211" s="3" t="s">
        <v>21</v>
      </c>
      <c r="F211" s="3" t="s">
        <v>15</v>
      </c>
      <c r="G211" s="3" t="s">
        <v>724</v>
      </c>
      <c r="H211" s="3" t="s">
        <v>220</v>
      </c>
      <c r="I211" s="3" t="str">
        <f>IFERROR(__xludf.DUMMYFUNCTION("GOOGLETRANSLATE(C211,""fr"",""en"")"),"Insured at Aux for 3 years.")</f>
        <v>Insured at Aux for 3 years.</v>
      </c>
    </row>
    <row r="212" ht="15.75" customHeight="1">
      <c r="A212" s="3">
        <v>5.0</v>
      </c>
      <c r="B212" s="3" t="s">
        <v>725</v>
      </c>
      <c r="C212" s="3" t="s">
        <v>726</v>
      </c>
      <c r="D212" s="3" t="s">
        <v>42</v>
      </c>
      <c r="E212" s="3" t="s">
        <v>14</v>
      </c>
      <c r="F212" s="3" t="s">
        <v>15</v>
      </c>
      <c r="G212" s="3" t="s">
        <v>727</v>
      </c>
      <c r="H212" s="3" t="s">
        <v>115</v>
      </c>
      <c r="I212" s="3" t="str">
        <f>IFERROR(__xludf.DUMMYFUNCTION("GOOGLETRANSLATE(C212,""fr"",""en"")"),"Rather satisfied, just a pity that I cannot be born of my mother -in -law's sponsorship code, but in any case very successful price correct for me")</f>
        <v>Rather satisfied, just a pity that I cannot be born of my mother -in -law's sponsorship code, but in any case very successful price correct for me</v>
      </c>
    </row>
    <row r="213" ht="15.75" customHeight="1">
      <c r="A213" s="3">
        <v>2.0</v>
      </c>
      <c r="B213" s="3" t="s">
        <v>728</v>
      </c>
      <c r="C213" s="3" t="s">
        <v>729</v>
      </c>
      <c r="D213" s="3" t="s">
        <v>13</v>
      </c>
      <c r="E213" s="3" t="s">
        <v>14</v>
      </c>
      <c r="F213" s="3" t="s">
        <v>15</v>
      </c>
      <c r="G213" s="3" t="s">
        <v>730</v>
      </c>
      <c r="H213" s="3" t="s">
        <v>86</v>
      </c>
      <c r="I213" s="3" t="str">
        <f>IFERROR(__xludf.DUMMYFUNCTION("GOOGLETRANSLATE(C213,""fr"",""en"")"),"I am entirely satisfied with this very reactive and easy -to -use car insurance on the website .....")</f>
        <v>I am entirely satisfied with this very reactive and easy -to -use car insurance on the website .....</v>
      </c>
    </row>
    <row r="214" ht="15.75" customHeight="1">
      <c r="A214" s="3">
        <v>2.0</v>
      </c>
      <c r="B214" s="3" t="s">
        <v>731</v>
      </c>
      <c r="C214" s="3" t="s">
        <v>732</v>
      </c>
      <c r="D214" s="3" t="s">
        <v>621</v>
      </c>
      <c r="E214" s="3" t="s">
        <v>311</v>
      </c>
      <c r="F214" s="3" t="s">
        <v>15</v>
      </c>
      <c r="G214" s="3" t="s">
        <v>733</v>
      </c>
      <c r="H214" s="3" t="s">
        <v>287</v>
      </c>
      <c r="I214" s="3" t="str">
        <f>IFERROR(__xludf.DUMMYFUNCTION("GOOGLETRANSLATE(C214,""fr"",""en"")"),"I renegotiated my real estate loan to the same bank and I sent the new damping table for several months, but to date no communications and monthly payments that have not moved !!!!")</f>
        <v>I renegotiated my real estate loan to the same bank and I sent the new damping table for several months, but to date no communications and monthly payments that have not moved !!!!</v>
      </c>
    </row>
    <row r="215" ht="15.75" customHeight="1">
      <c r="A215" s="3">
        <v>2.0</v>
      </c>
      <c r="B215" s="3" t="s">
        <v>734</v>
      </c>
      <c r="C215" s="3" t="s">
        <v>735</v>
      </c>
      <c r="D215" s="3" t="s">
        <v>42</v>
      </c>
      <c r="E215" s="3" t="s">
        <v>14</v>
      </c>
      <c r="F215" s="3" t="s">
        <v>15</v>
      </c>
      <c r="G215" s="3" t="s">
        <v>736</v>
      </c>
      <c r="H215" s="3" t="s">
        <v>142</v>
      </c>
      <c r="I215" s="3" t="str">
        <f>IFERROR(__xludf.DUMMYFUNCTION("GOOGLETRANSLATE(C215,""fr"",""en"")"),"I strongly recommend, exorbitant franchises, even in case of freezing free ice at other insurance, in case of ice breaks precisely and if you are theft of the business inside no coverage. And when you are theft the vehicle CAUTION Incredible procedures fo"&amp;"r obtaining reimbursement.")</f>
        <v>I strongly recommend, exorbitant franchises, even in case of freezing free ice at other insurance, in case of ice breaks precisely and if you are theft of the business inside no coverage. And when you are theft the vehicle CAUTION Incredible procedures for obtaining reimbursement.</v>
      </c>
    </row>
    <row r="216" ht="15.75" customHeight="1">
      <c r="A216" s="3">
        <v>4.0</v>
      </c>
      <c r="B216" s="3" t="s">
        <v>737</v>
      </c>
      <c r="C216" s="3" t="s">
        <v>738</v>
      </c>
      <c r="D216" s="3" t="s">
        <v>42</v>
      </c>
      <c r="E216" s="3" t="s">
        <v>14</v>
      </c>
      <c r="F216" s="3" t="s">
        <v>15</v>
      </c>
      <c r="G216" s="3" t="s">
        <v>739</v>
      </c>
      <c r="H216" s="3" t="s">
        <v>39</v>
      </c>
      <c r="I216" s="3" t="str">
        <f>IFERROR(__xludf.DUMMYFUNCTION("GOOGLETRANSLATE(C216,""fr"",""en"")"),"Correct price and fast procedures I am very satisfied and the application is very practical I will recommend direct insurance to my loved ones without hesitation")</f>
        <v>Correct price and fast procedures I am very satisfied and the application is very practical I will recommend direct insurance to my loved ones without hesitation</v>
      </c>
    </row>
    <row r="217" ht="15.75" customHeight="1">
      <c r="A217" s="3">
        <v>3.0</v>
      </c>
      <c r="B217" s="3" t="s">
        <v>740</v>
      </c>
      <c r="C217" s="3" t="s">
        <v>741</v>
      </c>
      <c r="D217" s="3" t="s">
        <v>42</v>
      </c>
      <c r="E217" s="3" t="s">
        <v>14</v>
      </c>
      <c r="F217" s="3" t="s">
        <v>15</v>
      </c>
      <c r="G217" s="3" t="s">
        <v>742</v>
      </c>
      <c r="H217" s="3" t="s">
        <v>253</v>
      </c>
      <c r="I217" s="3" t="str">
        <f>IFERROR(__xludf.DUMMYFUNCTION("GOOGLETRANSLATE(C217,""fr"",""en"")"),"I am very happy with the Direct Insurance insurer with his connected insurance You Drive. It gives the possibility for any type of driver to benefit from insurance unlike other insurers who are only limited to their classic offer.")</f>
        <v>I am very happy with the Direct Insurance insurer with his connected insurance You Drive. It gives the possibility for any type of driver to benefit from insurance unlike other insurers who are only limited to their classic offer.</v>
      </c>
    </row>
    <row r="218" ht="15.75" customHeight="1">
      <c r="A218" s="3">
        <v>3.0</v>
      </c>
      <c r="B218" s="3" t="s">
        <v>743</v>
      </c>
      <c r="C218" s="3" t="s">
        <v>744</v>
      </c>
      <c r="D218" s="3" t="s">
        <v>509</v>
      </c>
      <c r="E218" s="3" t="s">
        <v>14</v>
      </c>
      <c r="F218" s="3" t="s">
        <v>15</v>
      </c>
      <c r="G218" s="3" t="s">
        <v>176</v>
      </c>
      <c r="H218" s="3" t="s">
        <v>91</v>
      </c>
      <c r="I218" s="3" t="str">
        <f>IFERROR(__xludf.DUMMYFUNCTION("GOOGLETRANSLATE(C218,""fr"",""en"")"),"Personally being a merchant, for good customers and on all without serious follow -up, good payer and with reasonable driving.
     I would have made an additional effort on my big annual contract.")</f>
        <v>Personally being a merchant, for good customers and on all without serious follow -up, good payer and with reasonable driving.
     I would have made an additional effort on my big annual contract.</v>
      </c>
    </row>
    <row r="219" ht="15.75" customHeight="1">
      <c r="A219" s="3">
        <v>5.0</v>
      </c>
      <c r="B219" s="3" t="s">
        <v>745</v>
      </c>
      <c r="C219" s="3" t="s">
        <v>746</v>
      </c>
      <c r="D219" s="3" t="s">
        <v>13</v>
      </c>
      <c r="E219" s="3" t="s">
        <v>14</v>
      </c>
      <c r="F219" s="3" t="s">
        <v>15</v>
      </c>
      <c r="G219" s="3" t="s">
        <v>747</v>
      </c>
      <c r="H219" s="3" t="s">
        <v>23</v>
      </c>
      <c r="I219" s="3" t="str">
        <f>IFERROR(__xludf.DUMMYFUNCTION("GOOGLETRANSLATE(C219,""fr"",""en"")"),"I am satisfied with insurance, price level for young top drivers. Permit obtained in 2017 and I was never insured and the Olivier Insurance assured me at an exceptional price.")</f>
        <v>I am satisfied with insurance, price level for young top drivers. Permit obtained in 2017 and I was never insured and the Olivier Insurance assured me at an exceptional price.</v>
      </c>
    </row>
    <row r="220" ht="15.75" customHeight="1">
      <c r="A220" s="3">
        <v>3.0</v>
      </c>
      <c r="B220" s="3" t="s">
        <v>748</v>
      </c>
      <c r="C220" s="3" t="s">
        <v>749</v>
      </c>
      <c r="D220" s="3" t="s">
        <v>42</v>
      </c>
      <c r="E220" s="3" t="s">
        <v>14</v>
      </c>
      <c r="F220" s="3" t="s">
        <v>15</v>
      </c>
      <c r="G220" s="3" t="s">
        <v>750</v>
      </c>
      <c r="H220" s="3" t="s">
        <v>337</v>
      </c>
      <c r="I220" s="3" t="str">
        <f>IFERROR(__xludf.DUMMYFUNCTION("GOOGLETRANSLATE(C220,""fr"",""en"")"),"They attract customers with good prices but there is no service behind. I only had concerns with this insurance and left after a year with a real insurer")</f>
        <v>They attract customers with good prices but there is no service behind. I only had concerns with this insurance and left after a year with a real insurer</v>
      </c>
    </row>
    <row r="221" ht="15.75" customHeight="1">
      <c r="A221" s="3">
        <v>5.0</v>
      </c>
      <c r="B221" s="3" t="s">
        <v>751</v>
      </c>
      <c r="C221" s="3" t="s">
        <v>752</v>
      </c>
      <c r="D221" s="3" t="s">
        <v>32</v>
      </c>
      <c r="E221" s="3" t="s">
        <v>14</v>
      </c>
      <c r="F221" s="3" t="s">
        <v>15</v>
      </c>
      <c r="G221" s="3" t="s">
        <v>753</v>
      </c>
      <c r="H221" s="3" t="s">
        <v>23</v>
      </c>
      <c r="I221" s="3" t="str">
        <f>IFERROR(__xludf.DUMMYFUNCTION("GOOGLETRANSLATE(C221,""fr"",""en"")"),"G m f very good insurer on everything, very satisfied and above all very well informed about all my contracts.")</f>
        <v>G m f very good insurer on everything, very satisfied and above all very well informed about all my contracts.</v>
      </c>
    </row>
    <row r="222" ht="15.75" customHeight="1">
      <c r="A222" s="3">
        <v>4.0</v>
      </c>
      <c r="B222" s="3" t="s">
        <v>754</v>
      </c>
      <c r="C222" s="3" t="s">
        <v>755</v>
      </c>
      <c r="D222" s="3" t="s">
        <v>384</v>
      </c>
      <c r="E222" s="3" t="s">
        <v>21</v>
      </c>
      <c r="F222" s="3" t="s">
        <v>15</v>
      </c>
      <c r="G222" s="3" t="s">
        <v>756</v>
      </c>
      <c r="H222" s="3" t="s">
        <v>39</v>
      </c>
      <c r="I222" s="3" t="str">
        <f>IFERROR(__xludf.DUMMYFUNCTION("GOOGLETRANSLATE(C222,""fr"",""en"")"),"Surroundacked phone, emails responsiveness, little choice in the start time of insurance, no precision on the possibility of getting a new vehicle with the old one. A lot of blur")</f>
        <v>Surroundacked phone, emails responsiveness, little choice in the start time of insurance, no precision on the possibility of getting a new vehicle with the old one. A lot of blur</v>
      </c>
    </row>
    <row r="223" ht="15.75" customHeight="1">
      <c r="A223" s="3">
        <v>1.0</v>
      </c>
      <c r="B223" s="3" t="s">
        <v>757</v>
      </c>
      <c r="C223" s="3" t="s">
        <v>758</v>
      </c>
      <c r="D223" s="3" t="s">
        <v>97</v>
      </c>
      <c r="E223" s="3" t="s">
        <v>98</v>
      </c>
      <c r="F223" s="3" t="s">
        <v>15</v>
      </c>
      <c r="G223" s="3" t="s">
        <v>759</v>
      </c>
      <c r="H223" s="3" t="s">
        <v>287</v>
      </c>
      <c r="I223" s="3" t="str">
        <f>IFERROR(__xludf.DUMMYFUNCTION("GOOGLETRANSLATE(C223,""fr"",""en"")"),"Good luck to leave this mutual !! There is always something missing and melts dragging the longest to continue to take your account !!!!!")</f>
        <v>Good luck to leave this mutual !! There is always something missing and melts dragging the longest to continue to take your account !!!!!</v>
      </c>
    </row>
    <row r="224" ht="15.75" customHeight="1">
      <c r="A224" s="3">
        <v>1.0</v>
      </c>
      <c r="B224" s="3" t="s">
        <v>760</v>
      </c>
      <c r="C224" s="3" t="s">
        <v>761</v>
      </c>
      <c r="D224" s="3" t="s">
        <v>762</v>
      </c>
      <c r="E224" s="3" t="s">
        <v>311</v>
      </c>
      <c r="F224" s="3" t="s">
        <v>15</v>
      </c>
      <c r="G224" s="3" t="s">
        <v>763</v>
      </c>
      <c r="H224" s="3" t="s">
        <v>75</v>
      </c>
      <c r="I224" s="3" t="str">
        <f>IFERROR(__xludf.DUMMYFUNCTION("GOOGLETRANSLATE(C224,""fr"",""en"")"),"DO NOT DO IT !!
A horrible experience
I regret having work with them. My bank gave me as an option to have external insurance. I like that finds Magnolia who offered me a more attractive price for my loan insurance than my bank.
The problem is that the"&amp;" burocracy is slow and confused with them.
It's been more than 40 days since I could have had my loan but from their problems I am wasting time and money in my rent.
A fire in the Strasbourg offices, file refuses because they do not put the interest rat"&amp;"e, Tramitación very very slow (more than 10 days just to add the insurance rate in the membership certificate), they do not notice That in my file is marked that I measure 90cm and to change this stupidity it took me two weeks ... really a horrible experi"&amp;"ence. If I had known before I would never have worked with them")</f>
        <v>DO NOT DO IT !!
A horrible experience
I regret having work with them. My bank gave me as an option to have external insurance. I like that finds Magnolia who offered me a more attractive price for my loan insurance than my bank.
The problem is that the burocracy is slow and confused with them.
It's been more than 40 days since I could have had my loan but from their problems I am wasting time and money in my rent.
A fire in the Strasbourg offices, file refuses because they do not put the interest rate, Tramitación very very slow (more than 10 days just to add the insurance rate in the membership certificate), they do not notice That in my file is marked that I measure 90cm and to change this stupidity it took me two weeks ... really a horrible experience. If I had known before I would never have worked with them</v>
      </c>
    </row>
    <row r="225" ht="15.75" customHeight="1">
      <c r="A225" s="3">
        <v>3.0</v>
      </c>
      <c r="B225" s="3" t="s">
        <v>764</v>
      </c>
      <c r="C225" s="3" t="s">
        <v>765</v>
      </c>
      <c r="D225" s="3" t="s">
        <v>47</v>
      </c>
      <c r="E225" s="3" t="s">
        <v>33</v>
      </c>
      <c r="F225" s="3" t="s">
        <v>15</v>
      </c>
      <c r="G225" s="3" t="s">
        <v>766</v>
      </c>
      <c r="H225" s="3" t="s">
        <v>216</v>
      </c>
      <c r="I225" s="3" t="str">
        <f>IFERROR(__xludf.DUMMYFUNCTION("GOOGLETRANSLATE(C225,""fr"",""en"")"),"Deplorable .... Water infiltration by the walls at each rain. The expert considers that it is condensation .... I contact Pacifica who tells me that a 2nd expert opinion is impostive and the advisor becomes aggressive and insulting .... in short, I am wai"&amp;"ting for the return of my complaint but my 6 contracts will quickly go elsewhere")</f>
        <v>Deplorable .... Water infiltration by the walls at each rain. The expert considers that it is condensation .... I contact Pacifica who tells me that a 2nd expert opinion is impostive and the advisor becomes aggressive and insulting .... in short, I am waiting for the return of my complaint but my 6 contracts will quickly go elsewhere</v>
      </c>
    </row>
    <row r="226" ht="15.75" customHeight="1">
      <c r="A226" s="3">
        <v>2.0</v>
      </c>
      <c r="B226" s="3" t="s">
        <v>767</v>
      </c>
      <c r="C226" s="3" t="s">
        <v>768</v>
      </c>
      <c r="D226" s="3" t="s">
        <v>42</v>
      </c>
      <c r="E226" s="3" t="s">
        <v>14</v>
      </c>
      <c r="F226" s="3" t="s">
        <v>15</v>
      </c>
      <c r="G226" s="3" t="s">
        <v>622</v>
      </c>
      <c r="H226" s="3" t="s">
        <v>321</v>
      </c>
      <c r="I226" s="3" t="str">
        <f>IFERROR(__xludf.DUMMYFUNCTION("GOOGLETRANSLATE(C226,""fr"",""en"")"),"Very unpleasant surprise after more than a year of contract: customer rates are greater than the subscribing rates! Only loyal customers pay the national and statistical increase linked to claims of the whole company, which means that when you redo your o"&amp;"nline quote with the same conditions of the current contract and despite the bonus, you pay 5% more Dear, in other words your bonus is useless, only the 1st year of insurance is competitive at Direct Insurance")</f>
        <v>Very unpleasant surprise after more than a year of contract: customer rates are greater than the subscribing rates! Only loyal customers pay the national and statistical increase linked to claims of the whole company, which means that when you redo your online quote with the same conditions of the current contract and despite the bonus, you pay 5% more Dear, in other words your bonus is useless, only the 1st year of insurance is competitive at Direct Insurance</v>
      </c>
    </row>
    <row r="227" ht="15.75" customHeight="1">
      <c r="A227" s="3">
        <v>1.0</v>
      </c>
      <c r="B227" s="3" t="s">
        <v>769</v>
      </c>
      <c r="C227" s="3" t="s">
        <v>770</v>
      </c>
      <c r="D227" s="3" t="s">
        <v>78</v>
      </c>
      <c r="E227" s="3" t="s">
        <v>14</v>
      </c>
      <c r="F227" s="3" t="s">
        <v>15</v>
      </c>
      <c r="G227" s="3" t="s">
        <v>771</v>
      </c>
      <c r="H227" s="3" t="s">
        <v>17</v>
      </c>
      <c r="I227" s="3" t="str">
        <f>IFERROR(__xludf.DUMMYFUNCTION("GOOGLETRANSLATE(C227,""fr"",""en"")"),"Following a small self -loss in June 21 not responsible I had to advance the franchise during the repair. Since then nothing. No response to my emails. In my customer area it would seem that the franchise is at my expense. But no one explains to me. The A"&amp;"llianz agency located in Clot Bey in Marseille is unpacking.
So I decided to terminate all my Allianz insurance. Because if they are unable to follow a small disaster that it would happen in the event of a serious problem.
")</f>
        <v>Following a small self -loss in June 21 not responsible I had to advance the franchise during the repair. Since then nothing. No response to my emails. In my customer area it would seem that the franchise is at my expense. But no one explains to me. The Allianz agency located in Clot Bey in Marseille is unpacking.
So I decided to terminate all my Allianz insurance. Because if they are unable to follow a small disaster that it would happen in the event of a serious problem.
</v>
      </c>
    </row>
    <row r="228" ht="15.75" customHeight="1">
      <c r="A228" s="3">
        <v>5.0</v>
      </c>
      <c r="B228" s="3" t="s">
        <v>772</v>
      </c>
      <c r="C228" s="3" t="s">
        <v>773</v>
      </c>
      <c r="D228" s="3" t="s">
        <v>42</v>
      </c>
      <c r="E228" s="3" t="s">
        <v>14</v>
      </c>
      <c r="F228" s="3" t="s">
        <v>15</v>
      </c>
      <c r="G228" s="3" t="s">
        <v>774</v>
      </c>
      <c r="H228" s="3" t="s">
        <v>75</v>
      </c>
      <c r="I228" s="3" t="str">
        <f>IFERROR(__xludf.DUMMYFUNCTION("GOOGLETRANSLATE(C228,""fr"",""en"")"),"5/5 At the opening of car insurance for service, prices, reactivitis, professions, information and offer. I recommend this insurance.")</f>
        <v>5/5 At the opening of car insurance for service, prices, reactivitis, professions, information and offer. I recommend this insurance.</v>
      </c>
    </row>
    <row r="229" ht="15.75" customHeight="1">
      <c r="A229" s="3">
        <v>1.0</v>
      </c>
      <c r="B229" s="3" t="s">
        <v>775</v>
      </c>
      <c r="C229" s="3" t="s">
        <v>776</v>
      </c>
      <c r="D229" s="3" t="s">
        <v>42</v>
      </c>
      <c r="E229" s="3" t="s">
        <v>14</v>
      </c>
      <c r="F229" s="3" t="s">
        <v>15</v>
      </c>
      <c r="G229" s="3" t="s">
        <v>572</v>
      </c>
      <c r="H229" s="3" t="s">
        <v>23</v>
      </c>
      <c r="I229" s="3" t="str">
        <f>IFERROR(__xludf.DUMMYFUNCTION("GOOGLETRANSLATE(C229,""fr"",""en"")"),"After terminating the contract because the request price was not the same as the initial proposal. I asked for the two -month reimbursement that I had paid in advance. And the big surprise, hard the termination costs that no advisor took the trouble to in"&amp;"form me !!!!!!
Watch out for the very expensive termination costs the equivalent of a month !!!")</f>
        <v>After terminating the contract because the request price was not the same as the initial proposal. I asked for the two -month reimbursement that I had paid in advance. And the big surprise, hard the termination costs that no advisor took the trouble to inform me !!!!!!
Watch out for the very expensive termination costs the equivalent of a month !!!</v>
      </c>
    </row>
    <row r="230" ht="15.75" customHeight="1">
      <c r="A230" s="3">
        <v>4.0</v>
      </c>
      <c r="B230" s="3" t="s">
        <v>777</v>
      </c>
      <c r="C230" s="3" t="s">
        <v>778</v>
      </c>
      <c r="D230" s="3" t="s">
        <v>13</v>
      </c>
      <c r="E230" s="3" t="s">
        <v>14</v>
      </c>
      <c r="F230" s="3" t="s">
        <v>15</v>
      </c>
      <c r="G230" s="3" t="s">
        <v>779</v>
      </c>
      <c r="H230" s="3" t="s">
        <v>23</v>
      </c>
      <c r="I230" s="3" t="str">
        <f>IFERROR(__xludf.DUMMYFUNCTION("GOOGLETRANSLATE(C230,""fr"",""en"")"),"I am satisfied with the information that advised it to me, as well as the insurance rate per month. I recommend this online insurance.")</f>
        <v>I am satisfied with the information that advised it to me, as well as the insurance rate per month. I recommend this online insurance.</v>
      </c>
    </row>
    <row r="231" ht="15.75" customHeight="1">
      <c r="A231" s="3">
        <v>4.0</v>
      </c>
      <c r="B231" s="3" t="s">
        <v>780</v>
      </c>
      <c r="C231" s="3" t="s">
        <v>781</v>
      </c>
      <c r="D231" s="3" t="s">
        <v>140</v>
      </c>
      <c r="E231" s="3" t="s">
        <v>98</v>
      </c>
      <c r="F231" s="3" t="s">
        <v>15</v>
      </c>
      <c r="G231" s="3" t="s">
        <v>418</v>
      </c>
      <c r="H231" s="3" t="s">
        <v>115</v>
      </c>
      <c r="I231" s="3" t="str">
        <f>IFERROR(__xludf.DUMMYFUNCTION("GOOGLETRANSLATE(C231,""fr"",""en"")"),"I had a counselor on the phone, the first name of Émeline, who was very professional, attentive, and helped me well.
I was really happy.")</f>
        <v>I had a counselor on the phone, the first name of Émeline, who was very professional, attentive, and helped me well.
I was really happy.</v>
      </c>
    </row>
    <row r="232" ht="15.75" customHeight="1">
      <c r="A232" s="3">
        <v>1.0</v>
      </c>
      <c r="B232" s="3" t="s">
        <v>782</v>
      </c>
      <c r="C232" s="3" t="s">
        <v>783</v>
      </c>
      <c r="D232" s="3" t="s">
        <v>13</v>
      </c>
      <c r="E232" s="3" t="s">
        <v>14</v>
      </c>
      <c r="F232" s="3" t="s">
        <v>15</v>
      </c>
      <c r="G232" s="3" t="s">
        <v>784</v>
      </c>
      <c r="H232" s="3" t="s">
        <v>39</v>
      </c>
      <c r="I232" s="3" t="str">
        <f>IFERROR(__xludf.DUMMYFUNCTION("GOOGLETRANSLATE(C232,""fr"",""en"")"),"I wanted to subscribe to this insurance but it will be a zero pointed for me, I am staying 3 hours on the phone with incompetent people who were banished from service to service without really understanding the request. During the first call I am promised"&amp;" a 20% commercial gesture which was confirmed by more than 3 people during the many calls that I have been able to have. Insurance told me that everything was good and to finalize the file when I have the vehicle and ultimately promise in the air, I staye"&amp;"d 1 hour on the phone where I was still swung 'Other to then hang up on the nose. Purpose ? Incompetent, disrespectful people apart from Nacira who knew how to make her job correctly and advise me. I strongly recommend this insurance.")</f>
        <v>I wanted to subscribe to this insurance but it will be a zero pointed for me, I am staying 3 hours on the phone with incompetent people who were banished from service to service without really understanding the request. During the first call I am promised a 20% commercial gesture which was confirmed by more than 3 people during the many calls that I have been able to have. Insurance told me that everything was good and to finalize the file when I have the vehicle and ultimately promise in the air, I stayed 1 hour on the phone where I was still swung 'Other to then hang up on the nose. Purpose ? Incompetent, disrespectful people apart from Nacira who knew how to make her job correctly and advise me. I strongly recommend this insurance.</v>
      </c>
    </row>
    <row r="233" ht="15.75" customHeight="1">
      <c r="A233" s="3">
        <v>1.0</v>
      </c>
      <c r="B233" s="3" t="s">
        <v>785</v>
      </c>
      <c r="C233" s="3" t="s">
        <v>786</v>
      </c>
      <c r="D233" s="3" t="s">
        <v>89</v>
      </c>
      <c r="E233" s="3" t="s">
        <v>33</v>
      </c>
      <c r="F233" s="3" t="s">
        <v>15</v>
      </c>
      <c r="G233" s="3" t="s">
        <v>787</v>
      </c>
      <c r="H233" s="3" t="s">
        <v>207</v>
      </c>
      <c r="I233" s="3" t="str">
        <f>IFERROR(__xludf.DUMMYFUNCTION("GOOGLETRANSLATE(C233,""fr"",""en"")"),"An militant insurer who has only the name through the ad.
Experts decide and you can do nothing but undergo. Far from the time when Maif listened to its mutualists.
Today it is just insurance like any other with contribution amounts that are pouring out"&amp;" of ridiculous reimbursements.
No discussion is possible, the amounts of reimbursements are fixed through mysterious companies which practice extraordinary prices but on which the experts rely to reimburse.
You have nothing to say what to undergo.
I di"&amp;"d not have time this year, but next year I will be insured elsewhere. The advantage is that it will give me time to be able to compare other mutuals before deciding.
Too bad all the same because the sons of National Education I never knew that MAIF and I"&amp;" did not think that one day I would be led to leave it.
Anyway, it is enough to read a rate of bad comments and the dissatisfaction generated to understand that a system has been implemented. There is therefore nothing to hope for now and when they see"&amp;" the mutualists leaving as was the case for car insurance a few years ago, they will change their rifle again .... but will not be It's not too late to save the business?
Goodbye Maif.
")</f>
        <v>An militant insurer who has only the name through the ad.
Experts decide and you can do nothing but undergo. Far from the time when Maif listened to its mutualists.
Today it is just insurance like any other with contribution amounts that are pouring out of ridiculous reimbursements.
No discussion is possible, the amounts of reimbursements are fixed through mysterious companies which practice extraordinary prices but on which the experts rely to reimburse.
You have nothing to say what to undergo.
I did not have time this year, but next year I will be insured elsewhere. The advantage is that it will give me time to be able to compare other mutuals before deciding.
Too bad all the same because the sons of National Education I never knew that MAIF and I did not think that one day I would be led to leave it.
Anyway, it is enough to read a rate of bad comments and the dissatisfaction generated to understand that a system has been implemented. There is therefore nothing to hope for now and when they see the mutualists leaving as was the case for car insurance a few years ago, they will change their rifle again .... but will not be It's not too late to save the business?
Goodbye Maif.
</v>
      </c>
    </row>
    <row r="234" ht="15.75" customHeight="1">
      <c r="A234" s="3">
        <v>1.0</v>
      </c>
      <c r="B234" s="3" t="s">
        <v>788</v>
      </c>
      <c r="C234" s="3" t="s">
        <v>789</v>
      </c>
      <c r="D234" s="3" t="s">
        <v>790</v>
      </c>
      <c r="E234" s="3" t="s">
        <v>194</v>
      </c>
      <c r="F234" s="3" t="s">
        <v>15</v>
      </c>
      <c r="G234" s="3" t="s">
        <v>713</v>
      </c>
      <c r="H234" s="3" t="s">
        <v>115</v>
      </c>
      <c r="I234" s="3" t="str">
        <f>IFERROR(__xludf.DUMMYFUNCTION("GOOGLETRANSLATE(C234,""fr"",""en"")"),"In June 2020, I established 2 checks of € 20,000 each with a collaborator of the Toulouse agency. After various procrastination, a check was found but poorly affected. The second check was lost. A reallocation of the remaining sum of € 20,000 has been dec"&amp;"ided, but the file is still underway and, for 15 months, our membership has still not been taken into account. The Carac does not give me the impression of taking the measure of this situation.")</f>
        <v>In June 2020, I established 2 checks of € 20,000 each with a collaborator of the Toulouse agency. After various procrastination, a check was found but poorly affected. The second check was lost. A reallocation of the remaining sum of € 20,000 has been decided, but the file is still underway and, for 15 months, our membership has still not been taken into account. The Carac does not give me the impression of taking the measure of this situation.</v>
      </c>
    </row>
    <row r="235" ht="15.75" customHeight="1">
      <c r="A235" s="3">
        <v>3.0</v>
      </c>
      <c r="B235" s="3" t="s">
        <v>791</v>
      </c>
      <c r="C235" s="3" t="s">
        <v>792</v>
      </c>
      <c r="D235" s="3" t="s">
        <v>103</v>
      </c>
      <c r="E235" s="3" t="s">
        <v>98</v>
      </c>
      <c r="F235" s="3" t="s">
        <v>15</v>
      </c>
      <c r="G235" s="3" t="s">
        <v>793</v>
      </c>
      <c r="H235" s="3" t="s">
        <v>337</v>
      </c>
      <c r="I235" s="3" t="str">
        <f>IFERROR(__xludf.DUMMYFUNCTION("GOOGLETRANSLATE(C235,""fr"",""en"")"),"I am now retired from the Ministry of the Interior and I joined the MGP in 1976 when I returned to the police. I never had to complain about this choice. Of course it happens to me to think that it is a ""dear"" mutual insurance company and which reimburs"&amp;"es ""little"" in terms of optics and dental. But whenever I prospected to change it, I realized that it was useless! There are areas where I think that an effort is to be made: osteopathy for example, dental implants ... Obviously we can start complaining"&amp;" about the position of social security in these areas ... but everything likewise !")</f>
        <v>I am now retired from the Ministry of the Interior and I joined the MGP in 1976 when I returned to the police. I never had to complain about this choice. Of course it happens to me to think that it is a "dear" mutual insurance company and which reimburses "little" in terms of optics and dental. But whenever I prospected to change it, I realized that it was useless! There are areas where I think that an effort is to be made: osteopathy for example, dental implants ... Obviously we can start complaining about the position of social security in these areas ... but everything likewise !</v>
      </c>
    </row>
    <row r="236" ht="15.75" customHeight="1">
      <c r="A236" s="3">
        <v>5.0</v>
      </c>
      <c r="B236" s="3" t="s">
        <v>794</v>
      </c>
      <c r="C236" s="3" t="s">
        <v>795</v>
      </c>
      <c r="D236" s="3" t="s">
        <v>384</v>
      </c>
      <c r="E236" s="3" t="s">
        <v>21</v>
      </c>
      <c r="F236" s="3" t="s">
        <v>15</v>
      </c>
      <c r="G236" s="3" t="s">
        <v>796</v>
      </c>
      <c r="H236" s="3" t="s">
        <v>115</v>
      </c>
      <c r="I236" s="3" t="str">
        <f>IFERROR(__xludf.DUMMYFUNCTION("GOOGLETRANSLATE(C236,""fr"",""en"")"),"Thank you for the simplicity of using your website and your competitive prices. In addition, the interlocutors we have on the phone are very pleasant")</f>
        <v>Thank you for the simplicity of using your website and your competitive prices. In addition, the interlocutors we have on the phone are very pleasant</v>
      </c>
    </row>
    <row r="237" ht="15.75" customHeight="1">
      <c r="A237" s="3">
        <v>5.0</v>
      </c>
      <c r="B237" s="3" t="s">
        <v>797</v>
      </c>
      <c r="C237" s="3" t="s">
        <v>798</v>
      </c>
      <c r="D237" s="3" t="s">
        <v>97</v>
      </c>
      <c r="E237" s="3" t="s">
        <v>98</v>
      </c>
      <c r="F237" s="3" t="s">
        <v>15</v>
      </c>
      <c r="G237" s="3" t="s">
        <v>799</v>
      </c>
      <c r="H237" s="3" t="s">
        <v>660</v>
      </c>
      <c r="I237" s="3" t="str">
        <f>IFERROR(__xludf.DUMMYFUNCTION("GOOGLETRANSLATE(C237,""fr"",""en"")"),"very good mutual very satisfied with the refund and pay cheaper")</f>
        <v>very good mutual very satisfied with the refund and pay cheaper</v>
      </c>
    </row>
    <row r="238" ht="15.75" customHeight="1">
      <c r="A238" s="3">
        <v>4.0</v>
      </c>
      <c r="B238" s="3" t="s">
        <v>800</v>
      </c>
      <c r="C238" s="3" t="s">
        <v>801</v>
      </c>
      <c r="D238" s="3" t="s">
        <v>42</v>
      </c>
      <c r="E238" s="3" t="s">
        <v>14</v>
      </c>
      <c r="F238" s="3" t="s">
        <v>15</v>
      </c>
      <c r="G238" s="3" t="s">
        <v>802</v>
      </c>
      <c r="H238" s="3" t="s">
        <v>115</v>
      </c>
      <c r="I238" s="3" t="str">
        <f>IFERROR(__xludf.DUMMYFUNCTION("GOOGLETRANSLATE(C238,""fr"",""en"")"),"What a pleasure to join this insurance.
The subscription is simple and quick. And above all, the prices are finally correct.
Thank you for your service.
Cordially")</f>
        <v>What a pleasure to join this insurance.
The subscription is simple and quick. And above all, the prices are finally correct.
Thank you for your service.
Cordially</v>
      </c>
    </row>
    <row r="239" ht="15.75" customHeight="1">
      <c r="A239" s="3">
        <v>4.0</v>
      </c>
      <c r="B239" s="3" t="s">
        <v>803</v>
      </c>
      <c r="C239" s="3" t="s">
        <v>804</v>
      </c>
      <c r="D239" s="3" t="s">
        <v>42</v>
      </c>
      <c r="E239" s="3" t="s">
        <v>14</v>
      </c>
      <c r="F239" s="3" t="s">
        <v>15</v>
      </c>
      <c r="G239" s="3" t="s">
        <v>805</v>
      </c>
      <c r="H239" s="3" t="s">
        <v>86</v>
      </c>
      <c r="I239" s="3" t="str">
        <f>IFERROR(__xludf.DUMMYFUNCTION("GOOGLETRANSLATE(C239,""fr"",""en"")"),"Discovery of the process of change of address and modification of my online contract. Very well guided, simple and very clear operation.
The proposed prices meet my expectations.")</f>
        <v>Discovery of the process of change of address and modification of my online contract. Very well guided, simple and very clear operation.
The proposed prices meet my expectations.</v>
      </c>
    </row>
    <row r="240" ht="15.75" customHeight="1">
      <c r="A240" s="3">
        <v>4.0</v>
      </c>
      <c r="B240" s="3" t="s">
        <v>806</v>
      </c>
      <c r="C240" s="3" t="s">
        <v>807</v>
      </c>
      <c r="D240" s="3" t="s">
        <v>246</v>
      </c>
      <c r="E240" s="3" t="s">
        <v>14</v>
      </c>
      <c r="F240" s="3" t="s">
        <v>15</v>
      </c>
      <c r="G240" s="3" t="s">
        <v>808</v>
      </c>
      <c r="H240" s="3" t="s">
        <v>119</v>
      </c>
      <c r="I240" s="3" t="str">
        <f>IFERROR(__xludf.DUMMYFUNCTION("GOOGLETRANSLATE(C240,""fr"",""en"")"),"AXA is the best insurance of all insurance. I was very happy. I advise everyone. Mr. Gryko")</f>
        <v>AXA is the best insurance of all insurance. I was very happy. I advise everyone. Mr. Gryko</v>
      </c>
    </row>
    <row r="241" ht="15.75" customHeight="1">
      <c r="A241" s="3">
        <v>3.0</v>
      </c>
      <c r="B241" s="3" t="s">
        <v>809</v>
      </c>
      <c r="C241" s="3" t="s">
        <v>810</v>
      </c>
      <c r="D241" s="3" t="s">
        <v>13</v>
      </c>
      <c r="E241" s="3" t="s">
        <v>14</v>
      </c>
      <c r="F241" s="3" t="s">
        <v>15</v>
      </c>
      <c r="G241" s="3" t="s">
        <v>811</v>
      </c>
      <c r="H241" s="3" t="s">
        <v>17</v>
      </c>
      <c r="I241" s="3" t="str">
        <f>IFERROR(__xludf.DUMMYFUNCTION("GOOGLETRANSLATE(C241,""fr"",""en"")"),"I am satisfied, responsive and pleasant service and the prices are affordable I will surely recommend it to the family. I am happy to come back among you")</f>
        <v>I am satisfied, responsive and pleasant service and the prices are affordable I will surely recommend it to the family. I am happy to come back among you</v>
      </c>
    </row>
    <row r="242" ht="15.75" customHeight="1">
      <c r="A242" s="3">
        <v>1.0</v>
      </c>
      <c r="B242" s="3" t="s">
        <v>812</v>
      </c>
      <c r="C242" s="3" t="s">
        <v>813</v>
      </c>
      <c r="D242" s="3" t="s">
        <v>81</v>
      </c>
      <c r="E242" s="3" t="s">
        <v>27</v>
      </c>
      <c r="F242" s="3" t="s">
        <v>15</v>
      </c>
      <c r="G242" s="3" t="s">
        <v>312</v>
      </c>
      <c r="H242" s="3" t="s">
        <v>75</v>
      </c>
      <c r="I242" s="3" t="str">
        <f>IFERROR(__xludf.DUMMYFUNCTION("GOOGLETRANSLATE(C242,""fr"",""en"")"),"Mail that I am about to send.
Following our telephone interview of April 15, 2021, I allow myself to transcribe in writing my great reserve with regard to what has become Mutavie.
When I subscribed the site was efficient, fast and clear. It was possib"&amp;"le to reach you easily by phone and the answers provided were always quick.
Today (and it is not linked to the COVID crisis, I noticed the degradation for several years) the site is slow, dated, with recurring and frequent bugs. We no longer know if we h"&amp;"ave to connect to Mutavie or on the Macif site (strongly incomplete). I tried to reach you 3 times in the morning of April 15. 2 times I have been cut after 15 minutes of waiting .... I am really sad to see that the quality that made your strength no long"&amp;"er exists and even if really each of my interlocutors has always been extremely effective and listening. Frankly since the junction with the Macif what a drop in responsiveness ..... I tell you in all transparency and really in a very sincere way, I will "&amp;"not waste time for my euros placed at home. If the trend is confirmed I will close my booklet in the coming months.
Furthermore, without explanation, the interests are no longer credited and there are no longer any statements.")</f>
        <v>Mail that I am about to send.
Following our telephone interview of April 15, 2021, I allow myself to transcribe in writing my great reserve with regard to what has become Mutavie.
When I subscribed the site was efficient, fast and clear. It was possible to reach you easily by phone and the answers provided were always quick.
Today (and it is not linked to the COVID crisis, I noticed the degradation for several years) the site is slow, dated, with recurring and frequent bugs. We no longer know if we have to connect to Mutavie or on the Macif site (strongly incomplete). I tried to reach you 3 times in the morning of April 15. 2 times I have been cut after 15 minutes of waiting .... I am really sad to see that the quality that made your strength no longer exists and even if really each of my interlocutors has always been extremely effective and listening. Frankly since the junction with the Macif what a drop in responsiveness ..... I tell you in all transparency and really in a very sincere way, I will not waste time for my euros placed at home. If the trend is confirmed I will close my booklet in the coming months.
Furthermore, without explanation, the interests are no longer credited and there are no longer any statements.</v>
      </c>
    </row>
    <row r="243" ht="15.75" customHeight="1">
      <c r="A243" s="3">
        <v>1.0</v>
      </c>
      <c r="B243" s="3" t="s">
        <v>814</v>
      </c>
      <c r="C243" s="3" t="s">
        <v>815</v>
      </c>
      <c r="D243" s="3" t="s">
        <v>716</v>
      </c>
      <c r="E243" s="3" t="s">
        <v>98</v>
      </c>
      <c r="F243" s="3" t="s">
        <v>15</v>
      </c>
      <c r="G243" s="3" t="s">
        <v>816</v>
      </c>
      <c r="H243" s="3" t="s">
        <v>105</v>
      </c>
      <c r="I243" s="3" t="str">
        <f>IFERROR(__xludf.DUMMYFUNCTION("GOOGLETRANSLATE(C243,""fr"",""en"")"),"Mutual to flee. Mercer unduly refuses me reimbursements for more than two months. The advisers I had on the phone on multiple times (after each time a waiting for at least 10 to 15 minutes) do not process the file and do only ask for proofs already sent.
"&amp;"
To date, my care is still not reimbursed and my emails remain unanswered.")</f>
        <v>Mutual to flee. Mercer unduly refuses me reimbursements for more than two months. The advisers I had on the phone on multiple times (after each time a waiting for at least 10 to 15 minutes) do not process the file and do only ask for proofs already sent.
To date, my care is still not reimbursed and my emails remain unanswered.</v>
      </c>
    </row>
    <row r="244" ht="15.75" customHeight="1">
      <c r="A244" s="3">
        <v>4.0</v>
      </c>
      <c r="B244" s="3" t="s">
        <v>817</v>
      </c>
      <c r="C244" s="3" t="s">
        <v>818</v>
      </c>
      <c r="D244" s="3" t="s">
        <v>140</v>
      </c>
      <c r="E244" s="3" t="s">
        <v>98</v>
      </c>
      <c r="F244" s="3" t="s">
        <v>15</v>
      </c>
      <c r="G244" s="3" t="s">
        <v>528</v>
      </c>
      <c r="H244" s="3" t="s">
        <v>86</v>
      </c>
      <c r="I244" s="3" t="str">
        <f>IFERROR(__xludf.DUMMYFUNCTION("GOOGLETRANSLATE(C244,""fr"",""en"")"),"I thank Lamia who did everything to try to solve my problem. She has referred to the IT department, and now I just have to wait if they can help me ...")</f>
        <v>I thank Lamia who did everything to try to solve my problem. She has referred to the IT department, and now I just have to wait if they can help me ...</v>
      </c>
    </row>
    <row r="245" ht="15.75" customHeight="1">
      <c r="A245" s="3">
        <v>1.0</v>
      </c>
      <c r="B245" s="3" t="s">
        <v>819</v>
      </c>
      <c r="C245" s="3" t="s">
        <v>820</v>
      </c>
      <c r="D245" s="3" t="s">
        <v>81</v>
      </c>
      <c r="E245" s="3" t="s">
        <v>14</v>
      </c>
      <c r="F245" s="3" t="s">
        <v>15</v>
      </c>
      <c r="G245" s="3" t="s">
        <v>821</v>
      </c>
      <c r="H245" s="3" t="s">
        <v>23</v>
      </c>
      <c r="I245" s="3" t="str">
        <f>IFERROR(__xludf.DUMMYFUNCTION("GOOGLETRANSLATE(C245,""fr"",""en"")"),"Insurance with no serious, very disappointed. I have been insured with them for 8 years, I have never needed them. The only time I need to work my insurance, concerning the planning of a computer following the storm. He refuses me to take care. I called t"&amp;"he Macif service. quote request, invoice etc. My computer scientist transmitted me a quote that I retransmited for repair (with notified following eclectric survey). My request was refused. (a franchise of 123 euros was still requested). 8/9 years that I "&amp;"pay this insurance every month, never had a single delay. When you need used it, you have to hang on. to run away absolutely !!!")</f>
        <v>Insurance with no serious, very disappointed. I have been insured with them for 8 years, I have never needed them. The only time I need to work my insurance, concerning the planning of a computer following the storm. He refuses me to take care. I called the Macif service. quote request, invoice etc. My computer scientist transmitted me a quote that I retransmited for repair (with notified following eclectric survey). My request was refused. (a franchise of 123 euros was still requested). 8/9 years that I pay this insurance every month, never had a single delay. When you need used it, you have to hang on. to run away absolutely !!!</v>
      </c>
    </row>
    <row r="246" ht="15.75" customHeight="1">
      <c r="A246" s="3">
        <v>2.0</v>
      </c>
      <c r="B246" s="3" t="s">
        <v>822</v>
      </c>
      <c r="C246" s="3" t="s">
        <v>823</v>
      </c>
      <c r="D246" s="3" t="s">
        <v>42</v>
      </c>
      <c r="E246" s="3" t="s">
        <v>14</v>
      </c>
      <c r="F246" s="3" t="s">
        <v>15</v>
      </c>
      <c r="G246" s="3" t="s">
        <v>824</v>
      </c>
      <c r="H246" s="3" t="s">
        <v>240</v>
      </c>
      <c r="I246" s="3" t="str">
        <f>IFERROR(__xludf.DUMMYFUNCTION("GOOGLETRANSLATE(C246,""fr"",""en"")"),"To flee . Impossible to reach in the event of a claim. Victim of an accident with a person with 2.4G but we were still held responsible. Finding the error .... and the feeling of being held responsible for having injured my children.")</f>
        <v>To flee . Impossible to reach in the event of a claim. Victim of an accident with a person with 2.4G but we were still held responsible. Finding the error .... and the feeling of being held responsible for having injured my children.</v>
      </c>
    </row>
    <row r="247" ht="15.75" customHeight="1">
      <c r="A247" s="3">
        <v>2.0</v>
      </c>
      <c r="B247" s="3" t="s">
        <v>825</v>
      </c>
      <c r="C247" s="3" t="s">
        <v>826</v>
      </c>
      <c r="D247" s="3" t="s">
        <v>13</v>
      </c>
      <c r="E247" s="3" t="s">
        <v>14</v>
      </c>
      <c r="F247" s="3" t="s">
        <v>15</v>
      </c>
      <c r="G247" s="3" t="s">
        <v>827</v>
      </c>
      <c r="H247" s="3" t="s">
        <v>191</v>
      </c>
      <c r="I247" s="3" t="str">
        <f>IFERROR(__xludf.DUMMYFUNCTION("GOOGLETRANSLATE(C247,""fr"",""en"")"),"If you just need insurance to be in good standing with respect to the police, then yes. If you need insurance to assist you in the event of a claim, then no. Vehicle insured all risks and accidents at mid December 2019. And yes, it is recent. Not responsi"&amp;"ble (refusal of priority on the right) repairable but too many costs, I gave it to the company. To date, Friday January 10, 2020, I returned the gray card, double the keys ... I no longer owner my automobile which was appraised a few days after the accide"&amp;"nt. Lolivier Insurance certifies that I have never received the expert report, while I have been in his possession since the end of December. I sold my vehicle, and I am not paid. What would you do in my place...? And yes: gendarmerie case today. Flee, ru"&amp;"n away, run away ... Here you are warned.")</f>
        <v>If you just need insurance to be in good standing with respect to the police, then yes. If you need insurance to assist you in the event of a claim, then no. Vehicle insured all risks and accidents at mid December 2019. And yes, it is recent. Not responsible (refusal of priority on the right) repairable but too many costs, I gave it to the company. To date, Friday January 10, 2020, I returned the gray card, double the keys ... I no longer owner my automobile which was appraised a few days after the accident. Lolivier Insurance certifies that I have never received the expert report, while I have been in his possession since the end of December. I sold my vehicle, and I am not paid. What would you do in my place...? And yes: gendarmerie case today. Flee, run away, run away ... Here you are warned.</v>
      </c>
    </row>
    <row r="248" ht="15.75" customHeight="1">
      <c r="A248" s="3">
        <v>5.0</v>
      </c>
      <c r="B248" s="3" t="s">
        <v>828</v>
      </c>
      <c r="C248" s="3" t="s">
        <v>829</v>
      </c>
      <c r="D248" s="3" t="s">
        <v>384</v>
      </c>
      <c r="E248" s="3" t="s">
        <v>21</v>
      </c>
      <c r="F248" s="3" t="s">
        <v>15</v>
      </c>
      <c r="G248" s="3" t="s">
        <v>115</v>
      </c>
      <c r="H248" s="3" t="s">
        <v>115</v>
      </c>
      <c r="I248" s="3" t="str">
        <f>IFERROR(__xludf.DUMMYFUNCTION("GOOGLETRANSLATE(C248,""fr"",""en"")"),"Everything is nickel
Top insurance, express repair, and well organized.
Insurance very good value for money
I highly recommend these insurers, especially to young motorcycle permits.")</f>
        <v>Everything is nickel
Top insurance, express repair, and well organized.
Insurance very good value for money
I highly recommend these insurers, especially to young motorcycle permits.</v>
      </c>
    </row>
    <row r="249" ht="15.75" customHeight="1">
      <c r="A249" s="3">
        <v>1.0</v>
      </c>
      <c r="B249" s="3" t="s">
        <v>830</v>
      </c>
      <c r="C249" s="3" t="s">
        <v>831</v>
      </c>
      <c r="D249" s="3" t="s">
        <v>26</v>
      </c>
      <c r="E249" s="3" t="s">
        <v>194</v>
      </c>
      <c r="F249" s="3" t="s">
        <v>15</v>
      </c>
      <c r="G249" s="3" t="s">
        <v>832</v>
      </c>
      <c r="H249" s="3" t="s">
        <v>131</v>
      </c>
      <c r="I249" s="3" t="str">
        <f>IFERROR(__xludf.DUMMYFUNCTION("GOOGLETRANSLATE(C249,""fr"",""en"")"),"On stop for serious illness since March 16, 2018, we are August 28, 2018, I have still not been compensated. It is silly, I who had naively counted on this compensation since I am a liberal profession and does not affect any income if I do not work ... Ho"&amp;"w am I supposed to eat?")</f>
        <v>On stop for serious illness since March 16, 2018, we are August 28, 2018, I have still not been compensated. It is silly, I who had naively counted on this compensation since I am a liberal profession and does not affect any income if I do not work ... How am I supposed to eat?</v>
      </c>
    </row>
    <row r="250" ht="15.75" customHeight="1">
      <c r="A250" s="3">
        <v>5.0</v>
      </c>
      <c r="B250" s="3" t="s">
        <v>833</v>
      </c>
      <c r="C250" s="3" t="s">
        <v>834</v>
      </c>
      <c r="D250" s="3" t="s">
        <v>42</v>
      </c>
      <c r="E250" s="3" t="s">
        <v>14</v>
      </c>
      <c r="F250" s="3" t="s">
        <v>15</v>
      </c>
      <c r="G250" s="3" t="s">
        <v>835</v>
      </c>
      <c r="H250" s="3" t="s">
        <v>86</v>
      </c>
      <c r="I250" s="3" t="str">
        <f>IFERROR(__xludf.DUMMYFUNCTION("GOOGLETRANSLATE(C250,""fr"",""en"")"),"I am satisfied with the service and the price is competitive, the transaction takes place well, and the guarantees of the contract are satisfactory, I recommend directurance")</f>
        <v>I am satisfied with the service and the price is competitive, the transaction takes place well, and the guarantees of the contract are satisfactory, I recommend directurance</v>
      </c>
    </row>
    <row r="251" ht="15.75" customHeight="1">
      <c r="A251" s="3">
        <v>5.0</v>
      </c>
      <c r="B251" s="3" t="s">
        <v>836</v>
      </c>
      <c r="C251" s="3" t="s">
        <v>837</v>
      </c>
      <c r="D251" s="3" t="s">
        <v>13</v>
      </c>
      <c r="E251" s="3" t="s">
        <v>14</v>
      </c>
      <c r="F251" s="3" t="s">
        <v>15</v>
      </c>
      <c r="G251" s="3" t="s">
        <v>17</v>
      </c>
      <c r="H251" s="3" t="s">
        <v>17</v>
      </c>
      <c r="I251" s="3" t="str">
        <f>IFERROR(__xludf.DUMMYFUNCTION("GOOGLETRANSLATE(C251,""fr"",""en"")"),"Finally insurance listening to you impeccable sales service and the interlocutors always kind and in addition the prices are really excellent 5 -ème contracts at home")</f>
        <v>Finally insurance listening to you impeccable sales service and the interlocutors always kind and in addition the prices are really excellent 5 -ème contracts at home</v>
      </c>
    </row>
    <row r="252" ht="15.75" customHeight="1">
      <c r="A252" s="3">
        <v>4.0</v>
      </c>
      <c r="B252" s="3" t="s">
        <v>838</v>
      </c>
      <c r="C252" s="3" t="s">
        <v>839</v>
      </c>
      <c r="D252" s="3" t="s">
        <v>20</v>
      </c>
      <c r="E252" s="3" t="s">
        <v>21</v>
      </c>
      <c r="F252" s="3" t="s">
        <v>15</v>
      </c>
      <c r="G252" s="3" t="s">
        <v>796</v>
      </c>
      <c r="H252" s="3" t="s">
        <v>115</v>
      </c>
      <c r="I252" s="3" t="str">
        <f>IFERROR(__xludf.DUMMYFUNCTION("GOOGLETRANSLATE(C252,""fr"",""en"")"),"Simple fast demand. Correct price easy to find. Easy to use for the site. No membership fees. Correct price. Site simple to use")</f>
        <v>Simple fast demand. Correct price easy to find. Easy to use for the site. No membership fees. Correct price. Site simple to use</v>
      </c>
    </row>
    <row r="253" ht="15.75" customHeight="1">
      <c r="A253" s="3">
        <v>5.0</v>
      </c>
      <c r="B253" s="3" t="s">
        <v>840</v>
      </c>
      <c r="C253" s="3" t="s">
        <v>841</v>
      </c>
      <c r="D253" s="3" t="s">
        <v>384</v>
      </c>
      <c r="E253" s="3" t="s">
        <v>21</v>
      </c>
      <c r="F253" s="3" t="s">
        <v>15</v>
      </c>
      <c r="G253" s="3" t="s">
        <v>842</v>
      </c>
      <c r="H253" s="3" t="s">
        <v>66</v>
      </c>
      <c r="I253" s="3" t="str">
        <f>IFERROR(__xludf.DUMMYFUNCTION("GOOGLETRANSLATE(C253,""fr"",""en"")"),"Customer at AMV for ten years, I have always been satisfied with the exchanges I have had with them. Customer service easily accessible by phone, relevant advice of advisers. Do not try at all costs to sell their insurance, always has a relevant approach.")</f>
        <v>Customer at AMV for ten years, I have always been satisfied with the exchanges I have had with them. Customer service easily accessible by phone, relevant advice of advisers. Do not try at all costs to sell their insurance, always has a relevant approach.</v>
      </c>
    </row>
    <row r="254" ht="15.75" customHeight="1">
      <c r="A254" s="3">
        <v>2.0</v>
      </c>
      <c r="B254" s="3" t="s">
        <v>843</v>
      </c>
      <c r="C254" s="3" t="s">
        <v>844</v>
      </c>
      <c r="D254" s="3" t="s">
        <v>81</v>
      </c>
      <c r="E254" s="3" t="s">
        <v>14</v>
      </c>
      <c r="F254" s="3" t="s">
        <v>15</v>
      </c>
      <c r="G254" s="3" t="s">
        <v>845</v>
      </c>
      <c r="H254" s="3" t="s">
        <v>165</v>
      </c>
      <c r="I254" s="3" t="str">
        <f>IFERROR(__xludf.DUMMYFUNCTION("GOOGLETRANSLATE(C254,""fr"",""en"")"),"I broke down with my scooter. I call the assistance, a few picks up after 30 minutes, I explain that I am broken and the person on the phone tells me basically that you do not price the 0 km assistance so you live !!!!!! A shame. I will go and see elsewhe"&amp;"re with all my contracts ...... we pay insurance for nothing again a shame ....")</f>
        <v>I broke down with my scooter. I call the assistance, a few picks up after 30 minutes, I explain that I am broken and the person on the phone tells me basically that you do not price the 0 km assistance so you live !!!!!! A shame. I will go and see elsewhere with all my contracts ...... we pay insurance for nothing again a shame ....</v>
      </c>
    </row>
    <row r="255" ht="15.75" customHeight="1">
      <c r="A255" s="3">
        <v>5.0</v>
      </c>
      <c r="B255" s="3" t="s">
        <v>846</v>
      </c>
      <c r="C255" s="3" t="s">
        <v>847</v>
      </c>
      <c r="D255" s="3" t="s">
        <v>13</v>
      </c>
      <c r="E255" s="3" t="s">
        <v>14</v>
      </c>
      <c r="F255" s="3" t="s">
        <v>15</v>
      </c>
      <c r="G255" s="3" t="s">
        <v>708</v>
      </c>
      <c r="H255" s="3" t="s">
        <v>115</v>
      </c>
      <c r="I255" s="3" t="str">
        <f>IFERROR(__xludf.DUMMYFUNCTION("GOOGLETRANSLATE(C255,""fr"",""en"")"),"Very satisfied simple and quick the prices are really competitive !!! thank you the olive assurance I would recommend without any hesitation to all those around me")</f>
        <v>Very satisfied simple and quick the prices are really competitive !!! thank you the olive assurance I would recommend without any hesitation to all those around me</v>
      </c>
    </row>
    <row r="256" ht="15.75" customHeight="1">
      <c r="A256" s="3">
        <v>1.0</v>
      </c>
      <c r="B256" s="3" t="s">
        <v>848</v>
      </c>
      <c r="C256" s="3" t="s">
        <v>849</v>
      </c>
      <c r="D256" s="3" t="s">
        <v>246</v>
      </c>
      <c r="E256" s="3" t="s">
        <v>850</v>
      </c>
      <c r="F256" s="3" t="s">
        <v>15</v>
      </c>
      <c r="G256" s="3" t="s">
        <v>312</v>
      </c>
      <c r="H256" s="3" t="s">
        <v>75</v>
      </c>
      <c r="I256" s="3" t="str">
        <f>IFERROR(__xludf.DUMMYFUNCTION("GOOGLETRANSLATE(C256,""fr"",""en"")"),"Hello,
We write to you to tell you about our very great dissatisfaction with Axa Travel Insurance. We are an association, a contemporary dance company which usually presents its shows internationally. As part of the creation of a room with Cuban artist"&amp;"s, we made flight reservations with the airline Air Caraïbes.
The health situation brought Air Caraïbes canceled these flights and it reimbursed us fairly quickly. However, we had subscribed to multi -risk insurance Axa Travel Insurance, partner of the"&amp;" airline, when buying tickets, to cover the passengers.
We contacted Axa Travel Insurance, to ask them to change the terms of the contract and to cover the new flights that we had to take. Otherwise, to reimburse us the insurance subscription costs. Th"&amp;"e insurer's response:
""Sir,
We regret informing you that we cannot give a favorable follow -up to your request. [...] We are unable to repay the costs relating to your claim because the latter is unfortunately not covered by the guarantees of the A"&amp;"ir Caraïbes contract. Indeed, the insurance policy covers you in the event of cancellation of your trip for specific causes and the reason for which you cancel your trip does not correspond.
As an indication, we refer to the wording of general conditio"&amp;"ns on page 20 and in particular to the following paragraph: ""6.8 exclusions specific to the travel cancellation insurance guarantee:
The exclusions common to all guarantees are applicable, in addition, are excluded the cancellations following one of t"&amp;"he following events or circumstances:
- cancellations due to the carrier or the travel organizer, whatever the cause; ''
We therefore replied that it was not a disaster, but a refund for the non -provision of a service. The insurer can only ensure t"&amp;"hese passengers if they take this flight and only this flight. Which is therefore impossible.
This follows, several exchanges with Air Caraïbes and the insurer, we are referred from services to services. The back and forth between the two companies hav"&amp;"e demonstrated one thing: neither AXA nor Air Caraïbes wish to reimburse the subscription costs of this insurance policy. No protocol in their partnership is in place in this case and the customer is ignored.
So be careful to avoid taking this insuranc"&amp;"e, especially in this period when the cancellations of flights are frequent, AXA Travel Insurance will not reimburse you and customer service is almost inexistent.
Our congratulations to AXA for her professionalism, her ethics and her solidarity with a"&amp;"n association, working in the currently disaster field of the performing arts, in this COVID-19 crisis.")</f>
        <v>Hello,
We write to you to tell you about our very great dissatisfaction with Axa Travel Insurance. We are an association, a contemporary dance company which usually presents its shows internationally. As part of the creation of a room with Cuban artists, we made flight reservations with the airline Air Caraïbes.
The health situation brought Air Caraïbes canceled these flights and it reimbursed us fairly quickly. However, we had subscribed to multi -risk insurance Axa Travel Insurance, partner of the airline, when buying tickets, to cover the passengers.
We contacted Axa Travel Insurance, to ask them to change the terms of the contract and to cover the new flights that we had to take. Otherwise, to reimburse us the insurance subscription costs. The insurer's response:
"Sir,
We regret informing you that we cannot give a favorable follow -up to your request. [...] We are unable to repay the costs relating to your claim because the latter is unfortunately not covered by the guarantees of the Air Caraïbes contract. Indeed, the insurance policy covers you in the event of cancellation of your trip for specific causes and the reason for which you cancel your trip does not correspond.
As an indication, we refer to the wording of general conditions on page 20 and in particular to the following paragraph: "6.8 exclusions specific to the travel cancellation insurance guarantee:
The exclusions common to all guarantees are applicable, in addition, are excluded the cancellations following one of the following events or circumstances:
- cancellations due to the carrier or the travel organizer, whatever the cause; ''
We therefore replied that it was not a disaster, but a refund for the non -provision of a service. The insurer can only ensure these passengers if they take this flight and only this flight. Which is therefore impossible.
This follows, several exchanges with Air Caraïbes and the insurer, we are referred from services to services. The back and forth between the two companies have demonstrated one thing: neither AXA nor Air Caraïbes wish to reimburse the subscription costs of this insurance policy. No protocol in their partnership is in place in this case and the customer is ignored.
So be careful to avoid taking this insurance, especially in this period when the cancellations of flights are frequent, AXA Travel Insurance will not reimburse you and customer service is almost inexistent.
Our congratulations to AXA for her professionalism, her ethics and her solidarity with an association, working in the currently disaster field of the performing arts, in this COVID-19 crisis.</v>
      </c>
    </row>
    <row r="257" ht="15.75" customHeight="1">
      <c r="A257" s="3">
        <v>1.0</v>
      </c>
      <c r="B257" s="3" t="s">
        <v>851</v>
      </c>
      <c r="C257" s="3" t="s">
        <v>852</v>
      </c>
      <c r="D257" s="3" t="s">
        <v>97</v>
      </c>
      <c r="E257" s="3" t="s">
        <v>98</v>
      </c>
      <c r="F257" s="3" t="s">
        <v>15</v>
      </c>
      <c r="G257" s="3" t="s">
        <v>853</v>
      </c>
      <c r="H257" s="3" t="s">
        <v>854</v>
      </c>
      <c r="I257" s="3" t="str">
        <f>IFERROR(__xludf.DUMMYFUNCTION("GOOGLETRANSLATE(C257,""fr"",""en"")"),"Abusive canvassing as soon as I do a comparative study on the net. I decided to subscribe to it after reflection. I am extremely disappointed. NOT Customer Service not the salesperson. Significant failures to follow up in particular the reimbursement via "&amp;"TELE Transmission, none of my complaints via the member tab and customer service have been processed. Interminable wait on the phone. Derisory reimbursements. I advise against")</f>
        <v>Abusive canvassing as soon as I do a comparative study on the net. I decided to subscribe to it after reflection. I am extremely disappointed. NOT Customer Service not the salesperson. Significant failures to follow up in particular the reimbursement via TELE Transmission, none of my complaints via the member tab and customer service have been processed. Interminable wait on the phone. Derisory reimbursements. I advise against</v>
      </c>
    </row>
    <row r="258" ht="15.75" customHeight="1">
      <c r="A258" s="3">
        <v>1.0</v>
      </c>
      <c r="B258" s="3" t="s">
        <v>855</v>
      </c>
      <c r="C258" s="3" t="s">
        <v>856</v>
      </c>
      <c r="D258" s="3" t="s">
        <v>13</v>
      </c>
      <c r="E258" s="3" t="s">
        <v>14</v>
      </c>
      <c r="F258" s="3" t="s">
        <v>15</v>
      </c>
      <c r="G258" s="3" t="s">
        <v>857</v>
      </c>
      <c r="H258" s="3" t="s">
        <v>100</v>
      </c>
      <c r="I258" s="3" t="str">
        <f>IFERROR(__xludf.DUMMYFUNCTION("GOOGLETRANSLATE(C258,""fr"",""en"")"),"1st year attractive contribution 26% more than 250 euros in the second year without reasons justified explanation bogus Attention insurance which increases the premium from one year to the next without event.")</f>
        <v>1st year attractive contribution 26% more than 250 euros in the second year without reasons justified explanation bogus Attention insurance which increases the premium from one year to the next without event.</v>
      </c>
    </row>
    <row r="259" ht="15.75" customHeight="1">
      <c r="A259" s="3">
        <v>1.0</v>
      </c>
      <c r="B259" s="3" t="s">
        <v>858</v>
      </c>
      <c r="C259" s="3" t="s">
        <v>859</v>
      </c>
      <c r="D259" s="3" t="s">
        <v>509</v>
      </c>
      <c r="E259" s="3" t="s">
        <v>33</v>
      </c>
      <c r="F259" s="3" t="s">
        <v>15</v>
      </c>
      <c r="G259" s="3" t="s">
        <v>860</v>
      </c>
      <c r="H259" s="3" t="s">
        <v>44</v>
      </c>
      <c r="I259" s="3" t="str">
        <f>IFERROR(__xludf.DUMMYFUNCTION("GOOGLETRANSLATE(C259,""fr"",""en"")"),"I am very unsatisfied because I had a disaster fire and I am still waiting for the counter expertise to have the reimbursement to do the work I relaunch them but they do not move I start to be fed up with them I have two car insurance the mutual health An"&amp;"d home insurance The payment is made every month without problems and they are for the amount they have to reimburse who does not have huge I still expect with my husband have thought that we will change insurance if the reimbursement for our disaster is "&amp;"Too long we have planned to withdraw all our insurance because we are tired of waiting and let's call on a lawyer here")</f>
        <v>I am very unsatisfied because I had a disaster fire and I am still waiting for the counter expertise to have the reimbursement to do the work I relaunch them but they do not move I start to be fed up with them I have two car insurance the mutual health And home insurance The payment is made every month without problems and they are for the amount they have to reimburse who does not have huge I still expect with my husband have thought that we will change insurance if the reimbursement for our disaster is Too long we have planned to withdraw all our insurance because we are tired of waiting and let's call on a lawyer here</v>
      </c>
    </row>
    <row r="260" ht="15.75" customHeight="1">
      <c r="A260" s="3">
        <v>3.0</v>
      </c>
      <c r="B260" s="3" t="s">
        <v>861</v>
      </c>
      <c r="C260" s="3" t="s">
        <v>862</v>
      </c>
      <c r="D260" s="3" t="s">
        <v>32</v>
      </c>
      <c r="E260" s="3" t="s">
        <v>14</v>
      </c>
      <c r="F260" s="3" t="s">
        <v>15</v>
      </c>
      <c r="G260" s="3" t="s">
        <v>23</v>
      </c>
      <c r="H260" s="3" t="s">
        <v>23</v>
      </c>
      <c r="I260" s="3" t="str">
        <f>IFERROR(__xludf.DUMMYFUNCTION("GOOGLETRANSLATE(C260,""fr"",""en"")"),"It has been for years that I have been insured at GMF, I find it unfortunate that there is no insurance for the robot mower that I have just acquired.
So I was forced to contact another insurance company.")</f>
        <v>It has been for years that I have been insured at GMF, I find it unfortunate that there is no insurance for the robot mower that I have just acquired.
So I was forced to contact another insurance company.</v>
      </c>
    </row>
    <row r="261" ht="15.75" customHeight="1">
      <c r="A261" s="3">
        <v>1.0</v>
      </c>
      <c r="B261" s="3" t="s">
        <v>863</v>
      </c>
      <c r="C261" s="3" t="s">
        <v>864</v>
      </c>
      <c r="D261" s="3" t="s">
        <v>13</v>
      </c>
      <c r="E261" s="3" t="s">
        <v>14</v>
      </c>
      <c r="F261" s="3" t="s">
        <v>15</v>
      </c>
      <c r="G261" s="3" t="s">
        <v>865</v>
      </c>
      <c r="H261" s="3" t="s">
        <v>115</v>
      </c>
      <c r="I261" s="3" t="str">
        <f>IFERROR(__xludf.DUMMYFUNCTION("GOOGLETRANSLATE(C261,""fr"",""en"")"),"The contract is a little expensive, I do not have the same price on the website, there are 100 euros difference. We have put the same conditions and information.
Is it possible to have the reduction of 100 euros, because this is what was written on the w"&amp;"ebsite")</f>
        <v>The contract is a little expensive, I do not have the same price on the website, there are 100 euros difference. We have put the same conditions and information.
Is it possible to have the reduction of 100 euros, because this is what was written on the website</v>
      </c>
    </row>
    <row r="262" ht="15.75" customHeight="1">
      <c r="A262" s="3">
        <v>3.0</v>
      </c>
      <c r="B262" s="3" t="s">
        <v>866</v>
      </c>
      <c r="C262" s="3" t="s">
        <v>867</v>
      </c>
      <c r="D262" s="3" t="s">
        <v>13</v>
      </c>
      <c r="E262" s="3" t="s">
        <v>14</v>
      </c>
      <c r="F262" s="3" t="s">
        <v>15</v>
      </c>
      <c r="G262" s="3" t="s">
        <v>868</v>
      </c>
      <c r="H262" s="3" t="s">
        <v>253</v>
      </c>
      <c r="I262" s="3" t="str">
        <f>IFERROR(__xludf.DUMMYFUNCTION("GOOGLETRANSLATE(C262,""fr"",""en"")"),"The professionalism of advisers., Warm welcome, benevolence, efficiency, simplicity for sending and receiving documents.
I highly recommend.")</f>
        <v>The professionalism of advisers., Warm welcome, benevolence, efficiency, simplicity for sending and receiving documents.
I highly recommend.</v>
      </c>
    </row>
    <row r="263" ht="15.75" customHeight="1">
      <c r="A263" s="3">
        <v>1.0</v>
      </c>
      <c r="B263" s="3" t="s">
        <v>869</v>
      </c>
      <c r="C263" s="3" t="s">
        <v>870</v>
      </c>
      <c r="D263" s="3" t="s">
        <v>89</v>
      </c>
      <c r="E263" s="3" t="s">
        <v>14</v>
      </c>
      <c r="F263" s="3" t="s">
        <v>15</v>
      </c>
      <c r="G263" s="3" t="s">
        <v>871</v>
      </c>
      <c r="H263" s="3" t="s">
        <v>115</v>
      </c>
      <c r="I263" s="3" t="str">
        <f>IFERROR(__xludf.DUMMYFUNCTION("GOOGLETRANSLATE(C263,""fr"",""en"")"),"I subscribed to auto insurance for my daughter who had just succeeded in her license. Maif asked me in return to put my home insurance at home.
In August I decided to bring together all my insurance at La Maif: my vehicle, legal protection and my guarant"&amp;"ee accidents of life.
With my personal vehicle, I had 3 claims (snacks in parking), one of which caused by my daughter, then in accompanied driving. I declared these 3 claims and the maif applied the corresponding penalty to me ... but after 1 month I re"&amp;"ceived a call telling me that ultimately the maif could not ensure my vehicle because I had 3 sinister … While I had declared them to the subscription ... They replied that the person I had during the subscription should not have agreed to make sure! I le"&amp;"ave my insurer for the Maif, who tells me after 1 month that she cannot make sure! One of their agent makes a mistake and it is I who suffered the consequences! In addition, the MAIF did not comply with the duty of pre -contractual information: the adviso"&amp;"r should have indicated that my insurance was likely to be terminated after a month. Lack of professionalism and incompetence… to flee !!!")</f>
        <v>I subscribed to auto insurance for my daughter who had just succeeded in her license. Maif asked me in return to put my home insurance at home.
In August I decided to bring together all my insurance at La Maif: my vehicle, legal protection and my guarantee accidents of life.
With my personal vehicle, I had 3 claims (snacks in parking), one of which caused by my daughter, then in accompanied driving. I declared these 3 claims and the maif applied the corresponding penalty to me ... but after 1 month I received a call telling me that ultimately the maif could not ensure my vehicle because I had 3 sinister … While I had declared them to the subscription ... They replied that the person I had during the subscription should not have agreed to make sure! I leave my insurer for the Maif, who tells me after 1 month that she cannot make sure! One of their agent makes a mistake and it is I who suffered the consequences! In addition, the MAIF did not comply with the duty of pre -contractual information: the advisor should have indicated that my insurance was likely to be terminated after a month. Lack of professionalism and incompetence… to flee !!!</v>
      </c>
    </row>
    <row r="264" ht="15.75" customHeight="1">
      <c r="A264" s="3">
        <v>3.0</v>
      </c>
      <c r="B264" s="3" t="s">
        <v>872</v>
      </c>
      <c r="C264" s="3" t="s">
        <v>873</v>
      </c>
      <c r="D264" s="3" t="s">
        <v>466</v>
      </c>
      <c r="E264" s="3" t="s">
        <v>33</v>
      </c>
      <c r="F264" s="3" t="s">
        <v>15</v>
      </c>
      <c r="G264" s="3" t="s">
        <v>874</v>
      </c>
      <c r="H264" s="3" t="s">
        <v>854</v>
      </c>
      <c r="I264" s="3" t="str">
        <f>IFERROR(__xludf.DUMMYFUNCTION("GOOGLETRANSLATE(C264,""fr"",""en"")"),"Victim of a flight recognized by the opposing party and whose damage has been quantified and accepted my agency says it does not have access to my file and can do nothing. Is this a desire not to reimburse your members? Or a lack of competence of its empl"&amp;"oyees?")</f>
        <v>Victim of a flight recognized by the opposing party and whose damage has been quantified and accepted my agency says it does not have access to my file and can do nothing. Is this a desire not to reimburse your members? Or a lack of competence of its employees?</v>
      </c>
    </row>
    <row r="265" ht="15.75" customHeight="1">
      <c r="A265" s="3">
        <v>1.0</v>
      </c>
      <c r="B265" s="3" t="s">
        <v>875</v>
      </c>
      <c r="C265" s="3" t="s">
        <v>876</v>
      </c>
      <c r="D265" s="3" t="s">
        <v>42</v>
      </c>
      <c r="E265" s="3" t="s">
        <v>14</v>
      </c>
      <c r="F265" s="3" t="s">
        <v>15</v>
      </c>
      <c r="G265" s="3" t="s">
        <v>877</v>
      </c>
      <c r="H265" s="3" t="s">
        <v>86</v>
      </c>
      <c r="I265" s="3" t="str">
        <f>IFERROR(__xludf.DUMMYFUNCTION("GOOGLETRANSLATE(C265,""fr"",""en"")"),"Very unsatisfied, whether prices or customer service
Very superior price compared to the competing and abroad customer service which does not respond to my requests. I had a problem of termination, they sent me an email to tell me that I was well resille"&amp;"d then seeing that I still did not reimburse I call them and tell me that the termination was not taken into account and that the email who confirms my termination and makes an error on their part I am relieved to be not chew them and live the maif who fo"&amp;"und me a solution")</f>
        <v>Very unsatisfied, whether prices or customer service
Very superior price compared to the competing and abroad customer service which does not respond to my requests. I had a problem of termination, they sent me an email to tell me that I was well resilled then seeing that I still did not reimburse I call them and tell me that the termination was not taken into account and that the email who confirms my termination and makes an error on their part I am relieved to be not chew them and live the maif who found me a solution</v>
      </c>
    </row>
    <row r="266" ht="15.75" customHeight="1">
      <c r="A266" s="3">
        <v>4.0</v>
      </c>
      <c r="B266" s="3" t="s">
        <v>878</v>
      </c>
      <c r="C266" s="3" t="s">
        <v>879</v>
      </c>
      <c r="D266" s="3" t="s">
        <v>140</v>
      </c>
      <c r="E266" s="3" t="s">
        <v>98</v>
      </c>
      <c r="F266" s="3" t="s">
        <v>15</v>
      </c>
      <c r="G266" s="3" t="s">
        <v>880</v>
      </c>
      <c r="H266" s="3" t="s">
        <v>660</v>
      </c>
      <c r="I266" s="3" t="str">
        <f>IFERROR(__xludf.DUMMYFUNCTION("GOOGLETRANSLATE(C266,""fr"",""en"")"),"Good explanations and availability. Adapts to needs and requests.")</f>
        <v>Good explanations and availability. Adapts to needs and requests.</v>
      </c>
    </row>
    <row r="267" ht="15.75" customHeight="1">
      <c r="A267" s="3">
        <v>1.0</v>
      </c>
      <c r="B267" s="3" t="s">
        <v>881</v>
      </c>
      <c r="C267" s="3" t="s">
        <v>882</v>
      </c>
      <c r="D267" s="3" t="s">
        <v>246</v>
      </c>
      <c r="E267" s="3" t="s">
        <v>27</v>
      </c>
      <c r="F267" s="3" t="s">
        <v>15</v>
      </c>
      <c r="G267" s="3" t="s">
        <v>883</v>
      </c>
      <c r="H267" s="3" t="s">
        <v>100</v>
      </c>
      <c r="I267" s="3" t="str">
        <f>IFERROR(__xludf.DUMMYFUNCTION("GOOGLETRANSLATE(C267,""fr"",""en"")"),"I have really been axa for long profitability disappointing time of payment long bad advice in placement")</f>
        <v>I have really been axa for long profitability disappointing time of payment long bad advice in placement</v>
      </c>
    </row>
    <row r="268" ht="15.75" customHeight="1">
      <c r="A268" s="3">
        <v>4.0</v>
      </c>
      <c r="B268" s="3" t="s">
        <v>884</v>
      </c>
      <c r="C268" s="3" t="s">
        <v>885</v>
      </c>
      <c r="D268" s="3" t="s">
        <v>13</v>
      </c>
      <c r="E268" s="3" t="s">
        <v>14</v>
      </c>
      <c r="F268" s="3" t="s">
        <v>15</v>
      </c>
      <c r="G268" s="3" t="s">
        <v>886</v>
      </c>
      <c r="H268" s="3" t="s">
        <v>165</v>
      </c>
      <c r="I268" s="3" t="str">
        <f>IFERROR(__xludf.DUMMYFUNCTION("GOOGLETRANSLATE(C268,""fr"",""en"")"),"I am very satisfied with the olive car insurance service. Simple, fast and practical with correct prices. I recommend multi-auto insurance which is advantageous.")</f>
        <v>I am very satisfied with the olive car insurance service. Simple, fast and practical with correct prices. I recommend multi-auto insurance which is advantageous.</v>
      </c>
    </row>
    <row r="269" ht="15.75" customHeight="1">
      <c r="A269" s="3">
        <v>5.0</v>
      </c>
      <c r="B269" s="3" t="s">
        <v>887</v>
      </c>
      <c r="C269" s="3" t="s">
        <v>888</v>
      </c>
      <c r="D269" s="3" t="s">
        <v>13</v>
      </c>
      <c r="E269" s="3" t="s">
        <v>14</v>
      </c>
      <c r="F269" s="3" t="s">
        <v>15</v>
      </c>
      <c r="G269" s="3" t="s">
        <v>596</v>
      </c>
      <c r="H269" s="3" t="s">
        <v>100</v>
      </c>
      <c r="I269" s="3" t="str">
        <f>IFERROR(__xludf.DUMMYFUNCTION("GOOGLETRANSLATE(C269,""fr"",""en"")"),"An ease to subscribe in 24 hours!")</f>
        <v>An ease to subscribe in 24 hours!</v>
      </c>
    </row>
    <row r="270" ht="15.75" customHeight="1">
      <c r="A270" s="3">
        <v>3.0</v>
      </c>
      <c r="B270" s="3" t="s">
        <v>889</v>
      </c>
      <c r="C270" s="3" t="s">
        <v>890</v>
      </c>
      <c r="D270" s="3" t="s">
        <v>140</v>
      </c>
      <c r="E270" s="3" t="s">
        <v>98</v>
      </c>
      <c r="F270" s="3" t="s">
        <v>15</v>
      </c>
      <c r="G270" s="3" t="s">
        <v>891</v>
      </c>
      <c r="H270" s="3" t="s">
        <v>534</v>
      </c>
      <c r="I270" s="3" t="str">
        <f>IFERROR(__xludf.DUMMYFUNCTION("GOOGLETRANSLATE(C270,""fr"",""en"")"),"very fast to find an attractive mutual.")</f>
        <v>very fast to find an attractive mutual.</v>
      </c>
    </row>
    <row r="271" ht="15.75" customHeight="1">
      <c r="A271" s="3">
        <v>2.0</v>
      </c>
      <c r="B271" s="3" t="s">
        <v>892</v>
      </c>
      <c r="C271" s="3" t="s">
        <v>893</v>
      </c>
      <c r="D271" s="3" t="s">
        <v>42</v>
      </c>
      <c r="E271" s="3" t="s">
        <v>14</v>
      </c>
      <c r="F271" s="3" t="s">
        <v>15</v>
      </c>
      <c r="G271" s="3" t="s">
        <v>894</v>
      </c>
      <c r="H271" s="3" t="s">
        <v>56</v>
      </c>
      <c r="I271" s="3" t="str">
        <f>IFERROR(__xludf.DUMMYFUNCTION("GOOGLETRANSLATE(C271,""fr"",""en"")"),"Direct Insurance did not take into account my acknowledgment of receipt with my termination request including the vehicle cessation certificate. They started prosecution for non-payment of the new annuity !!")</f>
        <v>Direct Insurance did not take into account my acknowledgment of receipt with my termination request including the vehicle cessation certificate. They started prosecution for non-payment of the new annuity !!</v>
      </c>
    </row>
    <row r="272" ht="15.75" customHeight="1">
      <c r="A272" s="3">
        <v>1.0</v>
      </c>
      <c r="B272" s="3" t="s">
        <v>895</v>
      </c>
      <c r="C272" s="3" t="s">
        <v>896</v>
      </c>
      <c r="D272" s="3" t="s">
        <v>78</v>
      </c>
      <c r="E272" s="3" t="s">
        <v>33</v>
      </c>
      <c r="F272" s="3" t="s">
        <v>15</v>
      </c>
      <c r="G272" s="3" t="s">
        <v>897</v>
      </c>
      <c r="H272" s="3" t="s">
        <v>898</v>
      </c>
      <c r="I272" s="3" t="str">
        <f>IFERROR(__xludf.DUMMYFUNCTION("GOOGLETRANSLATE(C272,""fr"",""en"")"),"abusive direct debits without any mandate equal to criminal
Refusal of termination equal ACPR complaint, ORIAS, AFUB, DGCCRF
And unhappy experience sharing with business networks, social networks, local media etc
")</f>
        <v>abusive direct debits without any mandate equal to criminal
Refusal of termination equal ACPR complaint, ORIAS, AFUB, DGCCRF
And unhappy experience sharing with business networks, social networks, local media etc
</v>
      </c>
    </row>
    <row r="273" ht="15.75" customHeight="1">
      <c r="A273" s="3">
        <v>2.0</v>
      </c>
      <c r="B273" s="3" t="s">
        <v>899</v>
      </c>
      <c r="C273" s="3" t="s">
        <v>900</v>
      </c>
      <c r="D273" s="3" t="s">
        <v>108</v>
      </c>
      <c r="E273" s="3" t="s">
        <v>109</v>
      </c>
      <c r="F273" s="3" t="s">
        <v>15</v>
      </c>
      <c r="G273" s="3" t="s">
        <v>286</v>
      </c>
      <c r="H273" s="3" t="s">
        <v>287</v>
      </c>
      <c r="I273" s="3" t="str">
        <f>IFERROR(__xludf.DUMMYFUNCTION("GOOGLETRANSLATE(C273,""fr"",""en"")"),"I have been assured for almost a year and it has been more than six months since I fight with their services concerning a double contract for the same animal. Having a category 2 dog we have a permit and this permit is in the name and first name of my wif"&amp;"e out when we took the insurance I had put it in my name and surname except that the permit being the first name of my wife he had to change and this is where their strategy works well: no problem sir, a new contract in the first name of your wife and we "&amp;"will take care of your contract. Except that it has lasted for more than six months when we pay two contracts despite my emails and calls. Suddenly I have just terminated the two contracts by registered letter. Following the next episode.")</f>
        <v>I have been assured for almost a year and it has been more than six months since I fight with their services concerning a double contract for the same animal. Having a category 2 dog we have a permit and this permit is in the name and first name of my wife out when we took the insurance I had put it in my name and surname except that the permit being the first name of my wife he had to change and this is where their strategy works well: no problem sir, a new contract in the first name of your wife and we will take care of your contract. Except that it has lasted for more than six months when we pay two contracts despite my emails and calls. Suddenly I have just terminated the two contracts by registered letter. Following the next episode.</v>
      </c>
    </row>
    <row r="274" ht="15.75" customHeight="1">
      <c r="A274" s="3">
        <v>3.0</v>
      </c>
      <c r="B274" s="3" t="s">
        <v>901</v>
      </c>
      <c r="C274" s="3" t="s">
        <v>902</v>
      </c>
      <c r="D274" s="3" t="s">
        <v>81</v>
      </c>
      <c r="E274" s="3" t="s">
        <v>14</v>
      </c>
      <c r="F274" s="3" t="s">
        <v>15</v>
      </c>
      <c r="G274" s="3" t="s">
        <v>903</v>
      </c>
      <c r="H274" s="3" t="s">
        <v>337</v>
      </c>
      <c r="I274" s="3" t="str">
        <f>IFERROR(__xludf.DUMMYFUNCTION("GOOGLETRANSLATE(C274,""fr"",""en"")"),"To run away absolutely
If you need nothing they are perfect
No response to complaints, arbitrations by a beautiful parlialer who does not respect her commitments
Ask for writings of everything that is verbally exchanged")</f>
        <v>To run away absolutely
If you need nothing they are perfect
No response to complaints, arbitrations by a beautiful parlialer who does not respect her commitments
Ask for writings of everything that is verbally exchanged</v>
      </c>
    </row>
    <row r="275" ht="15.75" customHeight="1">
      <c r="A275" s="3">
        <v>3.0</v>
      </c>
      <c r="B275" s="3" t="s">
        <v>904</v>
      </c>
      <c r="C275" s="3" t="s">
        <v>905</v>
      </c>
      <c r="D275" s="3" t="s">
        <v>20</v>
      </c>
      <c r="E275" s="3" t="s">
        <v>21</v>
      </c>
      <c r="F275" s="3" t="s">
        <v>15</v>
      </c>
      <c r="G275" s="3" t="s">
        <v>165</v>
      </c>
      <c r="H275" s="3" t="s">
        <v>165</v>
      </c>
      <c r="I275" s="3" t="str">
        <f>IFERROR(__xludf.DUMMYFUNCTION("GOOGLETRANSLATE(C275,""fr"",""en"")"),"The service is nevertheless I cannot make sure at all risk at the moment and I find its not normal when I see that some competition accepts it")</f>
        <v>The service is nevertheless I cannot make sure at all risk at the moment and I find its not normal when I see that some competition accepts it</v>
      </c>
    </row>
    <row r="276" ht="15.75" customHeight="1">
      <c r="A276" s="3">
        <v>3.0</v>
      </c>
      <c r="B276" s="3" t="s">
        <v>906</v>
      </c>
      <c r="C276" s="3" t="s">
        <v>907</v>
      </c>
      <c r="D276" s="3" t="s">
        <v>42</v>
      </c>
      <c r="E276" s="3" t="s">
        <v>14</v>
      </c>
      <c r="F276" s="3" t="s">
        <v>15</v>
      </c>
      <c r="G276" s="3" t="s">
        <v>908</v>
      </c>
      <c r="H276" s="3" t="s">
        <v>75</v>
      </c>
      <c r="I276" s="3" t="str">
        <f>IFERROR(__xludf.DUMMYFUNCTION("GOOGLETRANSLATE(C276,""fr"",""en"")"),"Very well at the start ais the prices evolve faster towards the increase otherwise nothing else to add I hope that my opinion will make things evolve in the right direction that is to say the best constant")</f>
        <v>Very well at the start ais the prices evolve faster towards the increase otherwise nothing else to add I hope that my opinion will make things evolve in the right direction that is to say the best constant</v>
      </c>
    </row>
    <row r="277" ht="15.75" customHeight="1">
      <c r="A277" s="3">
        <v>5.0</v>
      </c>
      <c r="B277" s="3" t="s">
        <v>909</v>
      </c>
      <c r="C277" s="3" t="s">
        <v>910</v>
      </c>
      <c r="D277" s="3" t="s">
        <v>32</v>
      </c>
      <c r="E277" s="3" t="s">
        <v>14</v>
      </c>
      <c r="F277" s="3" t="s">
        <v>15</v>
      </c>
      <c r="G277" s="3" t="s">
        <v>43</v>
      </c>
      <c r="H277" s="3" t="s">
        <v>44</v>
      </c>
      <c r="I277" s="3" t="str">
        <f>IFERROR(__xludf.DUMMYFUNCTION("GOOGLETRANSLATE(C277,""fr"",""en"")"),"Alright . I am completely satisfied with GMF, both by their listening quality and by their services. The people you can have by phone are very competent and pleasant.")</f>
        <v>Alright . I am completely satisfied with GMF, both by their listening quality and by their services. The people you can have by phone are very competent and pleasant.</v>
      </c>
    </row>
    <row r="278" ht="15.75" customHeight="1">
      <c r="A278" s="3">
        <v>4.0</v>
      </c>
      <c r="B278" s="3" t="s">
        <v>911</v>
      </c>
      <c r="C278" s="3" t="s">
        <v>912</v>
      </c>
      <c r="D278" s="3" t="s">
        <v>310</v>
      </c>
      <c r="E278" s="3" t="s">
        <v>311</v>
      </c>
      <c r="F278" s="3" t="s">
        <v>15</v>
      </c>
      <c r="G278" s="3" t="s">
        <v>774</v>
      </c>
      <c r="H278" s="3" t="s">
        <v>75</v>
      </c>
      <c r="I278" s="3" t="str">
        <f>IFERROR(__xludf.DUMMYFUNCTION("GOOGLETRANSLATE(C278,""fr"",""en"")"),"Satisfied with the service, the advisor is very responsive to requests made by email and easily reachable by phone. Hoping that monitoring is so effective if one day we have to play insurance")</f>
        <v>Satisfied with the service, the advisor is very responsive to requests made by email and easily reachable by phone. Hoping that monitoring is so effective if one day we have to play insurance</v>
      </c>
    </row>
    <row r="279" ht="15.75" customHeight="1">
      <c r="A279" s="3">
        <v>2.0</v>
      </c>
      <c r="B279" s="3" t="s">
        <v>913</v>
      </c>
      <c r="C279" s="3" t="s">
        <v>914</v>
      </c>
      <c r="D279" s="3" t="s">
        <v>384</v>
      </c>
      <c r="E279" s="3" t="s">
        <v>21</v>
      </c>
      <c r="F279" s="3" t="s">
        <v>15</v>
      </c>
      <c r="G279" s="3" t="s">
        <v>915</v>
      </c>
      <c r="H279" s="3" t="s">
        <v>253</v>
      </c>
      <c r="I279" s="3" t="str">
        <f>IFERROR(__xludf.DUMMYFUNCTION("GOOGLETRANSLATE(C279,""fr"",""en"")"),"Insured on 05/26/2020 for a 125, pay by transfer for the first 3 months, all the documents send but no green card despite the threads to the customer services and ""do not worry this is being treatment ... Covid and Blabla!), On July 20 an email is sinkin"&amp;"g to my insurance cancellation because of not receiving parts requested .... to flee !!!!")</f>
        <v>Insured on 05/26/2020 for a 125, pay by transfer for the first 3 months, all the documents send but no green card despite the threads to the customer services and "do not worry this is being treatment ... Covid and Blabla!), On July 20 an email is sinking to my insurance cancellation because of not receiving parts requested .... to flee !!!!</v>
      </c>
    </row>
    <row r="280" ht="15.75" customHeight="1">
      <c r="A280" s="3">
        <v>2.0</v>
      </c>
      <c r="B280" s="3" t="s">
        <v>916</v>
      </c>
      <c r="C280" s="3" t="s">
        <v>917</v>
      </c>
      <c r="D280" s="3" t="s">
        <v>81</v>
      </c>
      <c r="E280" s="3" t="s">
        <v>14</v>
      </c>
      <c r="F280" s="3" t="s">
        <v>15</v>
      </c>
      <c r="G280" s="3" t="s">
        <v>918</v>
      </c>
      <c r="H280" s="3" t="s">
        <v>517</v>
      </c>
      <c r="I280" s="3" t="str">
        <f>IFERROR(__xludf.DUMMYFUNCTION("GOOGLETRANSLATE(C280,""fr"",""en"")"),"After having terminated the Macif in March 2017 my bank having made an offer .ma Banque took care of the termination of the I was taken care of by my bank 1 month at the April 29, the Macif despite everything continued to take me May June July despite my "&amp;"phone calls I even had the right to an advisor who spoke very badly telling me that it is like that and not otherwise the resistance is not good while my bank C à M has shown well the proofs of contrary so they once again enchanted its evidence requested "&amp;"by the Macif so in June which continued in July to take me new phone call and unfortunately affect this rude man who said to me and well s'ém Refund you three months they only have to withdraw is still a little strong at the end of July Tjrs unhappy I rec"&amp;"alled once the Macif finally I have a very correct woman online to whom I explain the situation that I found myself paid 2 ass Urances for a same vehicle she says to me do not leave I check your file and responds to me everything is up to date I report to"&amp;" the service concerned so that we reimburse you three months that we have taken you by mistake. Receive a letter in August 2017 and there I fall from the clouds instead of my reimbursement of 140.04 or three samples of 46.68. I am answered you have us by "&amp;"mail asked for the termination of your C3 which ends therefore on 04/28/2017 Okay, the date is good apart from that it is not me who is captivated a letter for termination but my Bank which was responsible for this termination Pacifica Crédit Agricole but"&amp;" let's go and we continue to tell me you keep your contract guaranteed death accident or there is literally there no I have not kept anything as guaranteed With them since with my new insurance I have all this so instead of my 140 .04 that I must perceive"&amp;" they punctuate me on the sum which owes me they announce to me that I still have to perceive the sum of 44.82 instead From 140.04 or the Macif steals me from 95.22 bravo I admit that I had a good opinion of them good I terminated because it is made a mor"&amp;"e advantageous offer but there I am therefore disgusting mistrust if you have to terminate the Macif insurance that does not accelerate Not that its customers can terminate so I will see with the Pacifica lawyer service can have a defense guarantee to rec"&amp;"over this more sum being adherent as to choose I will submit this problem to them I just lost my husband 8 months ago I Have only a small retirement and I will have liked not to have to bear all his inconveniences in addition")</f>
        <v>After having terminated the Macif in March 2017 my bank having made an offer .ma Banque took care of the termination of the I was taken care of by my bank 1 month at the April 29, the Macif despite everything continued to take me May June July despite my phone calls I even had the right to an advisor who spoke very badly telling me that it is like that and not otherwise the resistance is not good while my bank C à M has shown well the proofs of contrary so they once again enchanted its evidence requested by the Macif so in June which continued in July to take me new phone call and unfortunately affect this rude man who said to me and well s'ém Refund you three months they only have to withdraw is still a little strong at the end of July Tjrs unhappy I recalled once the Macif finally I have a very correct woman online to whom I explain the situation that I found myself paid 2 ass Urances for a same vehicle she says to me do not leave I check your file and responds to me everything is up to date I report to the service concerned so that we reimburse you three months that we have taken you by mistake. Receive a letter in August 2017 and there I fall from the clouds instead of my reimbursement of 140.04 or three samples of 46.68. I am answered you have us by mail asked for the termination of your C3 which ends therefore on 04/28/2017 Okay, the date is good apart from that it is not me who is captivated a letter for termination but my Bank which was responsible for this termination Pacifica Crédit Agricole but let's go and we continue to tell me you keep your contract guaranteed death accident or there is literally there no I have not kept anything as guaranteed With them since with my new insurance I have all this so instead of my 140 .04 that I must perceive they punctuate me on the sum which owes me they announce to me that I still have to perceive the sum of 44.82 instead From 140.04 or the Macif steals me from 95.22 bravo I admit that I had a good opinion of them good I terminated because it is made a more advantageous offer but there I am therefore disgusting mistrust if you have to terminate the Macif insurance that does not accelerate Not that its customers can terminate so I will see with the Pacifica lawyer service can have a defense guarantee to recover this more sum being adherent as to choose I will submit this problem to them I just lost my husband 8 months ago I Have only a small retirement and I will have liked not to have to bear all his inconveniences in addition</v>
      </c>
    </row>
    <row r="281" ht="15.75" customHeight="1">
      <c r="A281" s="3">
        <v>3.0</v>
      </c>
      <c r="B281" s="3" t="s">
        <v>919</v>
      </c>
      <c r="C281" s="3" t="s">
        <v>920</v>
      </c>
      <c r="D281" s="3" t="s">
        <v>32</v>
      </c>
      <c r="E281" s="3" t="s">
        <v>14</v>
      </c>
      <c r="F281" s="3" t="s">
        <v>15</v>
      </c>
      <c r="G281" s="3" t="s">
        <v>921</v>
      </c>
      <c r="H281" s="3" t="s">
        <v>165</v>
      </c>
      <c r="I281" s="3" t="str">
        <f>IFERROR(__xludf.DUMMYFUNCTION("GOOGLETRANSLATE(C281,""fr"",""en"")"),"I am satisfied with your service ... The price seems to me a little excessive insofar as I no longer circulate with my vehicle ...
Cordially
S.Georges")</f>
        <v>I am satisfied with your service ... The price seems to me a little excessive insofar as I no longer circulate with my vehicle ...
Cordially
S.Georges</v>
      </c>
    </row>
    <row r="282" ht="15.75" customHeight="1">
      <c r="A282" s="3">
        <v>4.0</v>
      </c>
      <c r="B282" s="3" t="s">
        <v>922</v>
      </c>
      <c r="C282" s="3" t="s">
        <v>923</v>
      </c>
      <c r="D282" s="3" t="s">
        <v>20</v>
      </c>
      <c r="E282" s="3" t="s">
        <v>21</v>
      </c>
      <c r="F282" s="3" t="s">
        <v>15</v>
      </c>
      <c r="G282" s="3" t="s">
        <v>924</v>
      </c>
      <c r="H282" s="3" t="s">
        <v>165</v>
      </c>
      <c r="I282" s="3" t="str">
        <f>IFERROR(__xludf.DUMMYFUNCTION("GOOGLETRANSLATE(C282,""fr"",""en"")"),"The quotes are fast and clear. The prices are modular and reasonable. I will see if insurance is effective when I encounter a problem")</f>
        <v>The quotes are fast and clear. The prices are modular and reasonable. I will see if insurance is effective when I encounter a problem</v>
      </c>
    </row>
    <row r="283" ht="15.75" customHeight="1">
      <c r="A283" s="3">
        <v>1.0</v>
      </c>
      <c r="B283" s="3" t="s">
        <v>925</v>
      </c>
      <c r="C283" s="3" t="s">
        <v>926</v>
      </c>
      <c r="D283" s="3" t="s">
        <v>448</v>
      </c>
      <c r="E283" s="3" t="s">
        <v>33</v>
      </c>
      <c r="F283" s="3" t="s">
        <v>15</v>
      </c>
      <c r="G283" s="3" t="s">
        <v>927</v>
      </c>
      <c r="H283" s="3" t="s">
        <v>439</v>
      </c>
      <c r="I283" s="3" t="str">
        <f>IFERROR(__xludf.DUMMYFUNCTION("GOOGLETRANSLATE(C283,""fr"",""en"")"),"At Groupama Ensure it is psychic the period or you do not have a disaster you think to be protecting but the day you need your contract nothing is going and that you realize that you pay to pay salaries Groupama employers")</f>
        <v>At Groupama Ensure it is psychic the period or you do not have a disaster you think to be protecting but the day you need your contract nothing is going and that you realize that you pay to pay salaries Groupama employers</v>
      </c>
    </row>
    <row r="284" ht="15.75" customHeight="1">
      <c r="A284" s="3">
        <v>3.0</v>
      </c>
      <c r="B284" s="3" t="s">
        <v>928</v>
      </c>
      <c r="C284" s="3" t="s">
        <v>929</v>
      </c>
      <c r="D284" s="3" t="s">
        <v>97</v>
      </c>
      <c r="E284" s="3" t="s">
        <v>98</v>
      </c>
      <c r="F284" s="3" t="s">
        <v>15</v>
      </c>
      <c r="G284" s="3" t="s">
        <v>930</v>
      </c>
      <c r="H284" s="3" t="s">
        <v>229</v>
      </c>
      <c r="I284" s="3" t="str">
        <f>IFERROR(__xludf.DUMMYFUNCTION("GOOGLETRANSLATE(C284,""fr"",""en"")"),"Emilie informed me very well, to create my new email address and for support for my rehabilitation following an operation")</f>
        <v>Emilie informed me very well, to create my new email address and for support for my rehabilitation following an operation</v>
      </c>
    </row>
    <row r="285" ht="15.75" customHeight="1">
      <c r="A285" s="3">
        <v>5.0</v>
      </c>
      <c r="B285" s="3" t="s">
        <v>931</v>
      </c>
      <c r="C285" s="3" t="s">
        <v>932</v>
      </c>
      <c r="D285" s="3" t="s">
        <v>42</v>
      </c>
      <c r="E285" s="3" t="s">
        <v>14</v>
      </c>
      <c r="F285" s="3" t="s">
        <v>15</v>
      </c>
      <c r="G285" s="3" t="s">
        <v>933</v>
      </c>
      <c r="H285" s="3" t="s">
        <v>165</v>
      </c>
      <c r="I285" s="3" t="str">
        <f>IFERROR(__xludf.DUMMYFUNCTION("GOOGLETRANSLATE(C285,""fr"",""en"")"),"Unhappy with the relationship with the LCL, I decided to change insurer. In addition your prices are attractive. Hoping that our relationship is better.")</f>
        <v>Unhappy with the relationship with the LCL, I decided to change insurer. In addition your prices are attractive. Hoping that our relationship is better.</v>
      </c>
    </row>
    <row r="286" ht="15.75" customHeight="1">
      <c r="A286" s="3">
        <v>5.0</v>
      </c>
      <c r="B286" s="3" t="s">
        <v>934</v>
      </c>
      <c r="C286" s="3" t="s">
        <v>935</v>
      </c>
      <c r="D286" s="3" t="s">
        <v>42</v>
      </c>
      <c r="E286" s="3" t="s">
        <v>14</v>
      </c>
      <c r="F286" s="3" t="s">
        <v>15</v>
      </c>
      <c r="G286" s="3" t="s">
        <v>708</v>
      </c>
      <c r="H286" s="3" t="s">
        <v>115</v>
      </c>
      <c r="I286" s="3" t="str">
        <f>IFERROR(__xludf.DUMMYFUNCTION("GOOGLETRANSLATE(C286,""fr"",""en"")"),"Very satisfied. Very interesting price. I highly recommend this insurance. Speed ​​and efficiency.
Without any worries and ease of use.")</f>
        <v>Very satisfied. Very interesting price. I highly recommend this insurance. Speed ​​and efficiency.
Without any worries and ease of use.</v>
      </c>
    </row>
    <row r="287" ht="15.75" customHeight="1">
      <c r="A287" s="3">
        <v>5.0</v>
      </c>
      <c r="B287" s="3" t="s">
        <v>936</v>
      </c>
      <c r="C287" s="3" t="s">
        <v>937</v>
      </c>
      <c r="D287" s="3" t="s">
        <v>20</v>
      </c>
      <c r="E287" s="3" t="s">
        <v>21</v>
      </c>
      <c r="F287" s="3" t="s">
        <v>15</v>
      </c>
      <c r="G287" s="3" t="s">
        <v>938</v>
      </c>
      <c r="H287" s="3" t="s">
        <v>165</v>
      </c>
      <c r="I287" s="3" t="str">
        <f>IFERROR(__xludf.DUMMYFUNCTION("GOOGLETRANSLATE(C287,""fr"",""en"")"),"I am very satisfied with your online motorcycle insurance service! It is impeccable at all levels.! Bravo and change nothing! it's perfect.! Cordially!")</f>
        <v>I am very satisfied with your online motorcycle insurance service! It is impeccable at all levels.! Bravo and change nothing! it's perfect.! Cordially!</v>
      </c>
    </row>
    <row r="288" ht="15.75" customHeight="1">
      <c r="A288" s="3">
        <v>5.0</v>
      </c>
      <c r="B288" s="3" t="s">
        <v>939</v>
      </c>
      <c r="C288" s="3" t="s">
        <v>940</v>
      </c>
      <c r="D288" s="3" t="s">
        <v>97</v>
      </c>
      <c r="E288" s="3" t="s">
        <v>98</v>
      </c>
      <c r="F288" s="3" t="s">
        <v>15</v>
      </c>
      <c r="G288" s="3" t="s">
        <v>941</v>
      </c>
      <c r="H288" s="3" t="s">
        <v>56</v>
      </c>
      <c r="I288" s="3" t="str">
        <f>IFERROR(__xludf.DUMMYFUNCTION("GOOGLETRANSLATE(C288,""fr"",""en"")"),"I am satisfied with the customer officer by the clarity of the dialogue which allowed me to opte all to change the formula and mutual which offered me the guarantees that I wanted")</f>
        <v>I am satisfied with the customer officer by the clarity of the dialogue which allowed me to opte all to change the formula and mutual which offered me the guarantees that I wanted</v>
      </c>
    </row>
    <row r="289" ht="15.75" customHeight="1">
      <c r="A289" s="3">
        <v>5.0</v>
      </c>
      <c r="B289" s="3" t="s">
        <v>942</v>
      </c>
      <c r="C289" s="3" t="s">
        <v>943</v>
      </c>
      <c r="D289" s="3" t="s">
        <v>42</v>
      </c>
      <c r="E289" s="3" t="s">
        <v>14</v>
      </c>
      <c r="F289" s="3" t="s">
        <v>15</v>
      </c>
      <c r="G289" s="3" t="s">
        <v>944</v>
      </c>
      <c r="H289" s="3" t="s">
        <v>86</v>
      </c>
      <c r="I289" s="3" t="str">
        <f>IFERROR(__xludf.DUMMYFUNCTION("GOOGLETRANSLATE(C289,""fr"",""en"")"),"I am very satisfied with the customer service with clear and efficient information.
I hope it will remain so positive in time!
WELL DONE!
Thank you")</f>
        <v>I am very satisfied with the customer service with clear and efficient information.
I hope it will remain so positive in time!
WELL DONE!
Thank you</v>
      </c>
    </row>
    <row r="290" ht="15.75" customHeight="1">
      <c r="A290" s="3">
        <v>3.0</v>
      </c>
      <c r="B290" s="3" t="s">
        <v>945</v>
      </c>
      <c r="C290" s="3" t="s">
        <v>946</v>
      </c>
      <c r="D290" s="3" t="s">
        <v>42</v>
      </c>
      <c r="E290" s="3" t="s">
        <v>14</v>
      </c>
      <c r="F290" s="3" t="s">
        <v>15</v>
      </c>
      <c r="G290" s="3" t="s">
        <v>947</v>
      </c>
      <c r="H290" s="3" t="s">
        <v>86</v>
      </c>
      <c r="I290" s="3" t="str">
        <f>IFERROR(__xludf.DUMMYFUNCTION("GOOGLETRANSLATE(C290,""fr"",""en"")"),"a little high price given the context, use of our two cars reduced by half in 2020 because teleworking on one side and work accident on the other")</f>
        <v>a little high price given the context, use of our two cars reduced by half in 2020 because teleworking on one side and work accident on the other</v>
      </c>
    </row>
    <row r="291" ht="15.75" customHeight="1">
      <c r="A291" s="3">
        <v>3.0</v>
      </c>
      <c r="B291" s="3" t="s">
        <v>948</v>
      </c>
      <c r="C291" s="3" t="s">
        <v>949</v>
      </c>
      <c r="D291" s="3" t="s">
        <v>97</v>
      </c>
      <c r="E291" s="3" t="s">
        <v>98</v>
      </c>
      <c r="F291" s="3" t="s">
        <v>15</v>
      </c>
      <c r="G291" s="3" t="s">
        <v>950</v>
      </c>
      <c r="H291" s="3" t="s">
        <v>898</v>
      </c>
      <c r="I291" s="3" t="str">
        <f>IFERROR(__xludf.DUMMYFUNCTION("GOOGLETRANSLATE(C291,""fr"",""en"")"),"I am not yet a client but for the moment availability of the advisor and listening to the latter")</f>
        <v>I am not yet a client but for the moment availability of the advisor and listening to the latter</v>
      </c>
    </row>
    <row r="292" ht="15.75" customHeight="1">
      <c r="A292" s="3">
        <v>4.0</v>
      </c>
      <c r="B292" s="3" t="s">
        <v>951</v>
      </c>
      <c r="C292" s="3" t="s">
        <v>952</v>
      </c>
      <c r="D292" s="3" t="s">
        <v>140</v>
      </c>
      <c r="E292" s="3" t="s">
        <v>98</v>
      </c>
      <c r="F292" s="3" t="s">
        <v>15</v>
      </c>
      <c r="G292" s="3" t="s">
        <v>953</v>
      </c>
      <c r="H292" s="3" t="s">
        <v>236</v>
      </c>
      <c r="I292" s="3" t="str">
        <f>IFERROR(__xludf.DUMMYFUNCTION("GOOGLETRANSLATE(C292,""fr"",""en"")"),"Price quality
Effective, they are good tips for the mutual.
We compared the mutual insurance company!
")</f>
        <v>Price quality
Effective, they are good tips for the mutual.
We compared the mutual insurance company!
</v>
      </c>
    </row>
    <row r="293" ht="15.75" customHeight="1">
      <c r="A293" s="3">
        <v>3.0</v>
      </c>
      <c r="B293" s="3" t="s">
        <v>954</v>
      </c>
      <c r="C293" s="3" t="s">
        <v>955</v>
      </c>
      <c r="D293" s="3" t="s">
        <v>956</v>
      </c>
      <c r="E293" s="3" t="s">
        <v>21</v>
      </c>
      <c r="F293" s="3" t="s">
        <v>15</v>
      </c>
      <c r="G293" s="3" t="s">
        <v>957</v>
      </c>
      <c r="H293" s="3" t="s">
        <v>191</v>
      </c>
      <c r="I293" s="3" t="str">
        <f>IFERROR(__xludf.DUMMYFUNCTION("GOOGLETRANSLATE(C293,""fr"",""en"")"),"Recently had a problem with a refund.
Fortunately, your advisor accompanied me in the efforts for an easy refund.")</f>
        <v>Recently had a problem with a refund.
Fortunately, your advisor accompanied me in the efforts for an easy refund.</v>
      </c>
    </row>
    <row r="294" ht="15.75" customHeight="1">
      <c r="A294" s="3">
        <v>2.0</v>
      </c>
      <c r="B294" s="3" t="s">
        <v>958</v>
      </c>
      <c r="C294" s="3" t="s">
        <v>959</v>
      </c>
      <c r="D294" s="3" t="s">
        <v>614</v>
      </c>
      <c r="E294" s="3" t="s">
        <v>109</v>
      </c>
      <c r="F294" s="3" t="s">
        <v>15</v>
      </c>
      <c r="G294" s="3" t="s">
        <v>960</v>
      </c>
      <c r="H294" s="3" t="s">
        <v>429</v>
      </c>
      <c r="I294" s="3" t="str">
        <f>IFERROR(__xludf.DUMMYFUNCTION("GOOGLETRANSLATE(C294,""fr"",""en"")"),"At the beginning delighted to have taken out a contract with this insurer because good reception with an agent of this insurance that I did not know before, I quickly realized that, once the contract is taken out and despite the fact that the agent M ' I "&amp;"notified that I could contact him for any questions and that he was following my contract, he was no longer reachable.
The telephone reception is not very pleasant and dry in tone. You are poorly welcomed when you want to talk to your agent. You are told"&amp;" the phone that the agent in question no longer follows my contract and that they cannot leave him a message; What I find absurd and really anti-commercial with regard to the customer.
This is why I decided to change insurer for my animals.")</f>
        <v>At the beginning delighted to have taken out a contract with this insurer because good reception with an agent of this insurance that I did not know before, I quickly realized that, once the contract is taken out and despite the fact that the agent M ' I notified that I could contact him for any questions and that he was following my contract, he was no longer reachable.
The telephone reception is not very pleasant and dry in tone. You are poorly welcomed when you want to talk to your agent. You are told the phone that the agent in question no longer follows my contract and that they cannot leave him a message; What I find absurd and really anti-commercial with regard to the customer.
This is why I decided to change insurer for my animals.</v>
      </c>
    </row>
    <row r="295" ht="15.75" customHeight="1">
      <c r="A295" s="3">
        <v>5.0</v>
      </c>
      <c r="B295" s="3" t="s">
        <v>961</v>
      </c>
      <c r="C295" s="3" t="s">
        <v>962</v>
      </c>
      <c r="D295" s="3" t="s">
        <v>13</v>
      </c>
      <c r="E295" s="3" t="s">
        <v>14</v>
      </c>
      <c r="F295" s="3" t="s">
        <v>15</v>
      </c>
      <c r="G295" s="3" t="s">
        <v>963</v>
      </c>
      <c r="H295" s="3" t="s">
        <v>115</v>
      </c>
      <c r="I295" s="3" t="str">
        <f>IFERROR(__xludf.DUMMYFUNCTION("GOOGLETRANSLATE(C295,""fr"",""en"")"),"Very satisfied with this insurance and I recommend this insurance to all personal fashion to your listening and ready to answer all your questions")</f>
        <v>Very satisfied with this insurance and I recommend this insurance to all personal fashion to your listening and ready to answer all your questions</v>
      </c>
    </row>
    <row r="296" ht="15.75" customHeight="1">
      <c r="A296" s="3">
        <v>3.0</v>
      </c>
      <c r="B296" s="3" t="s">
        <v>964</v>
      </c>
      <c r="C296" s="3" t="s">
        <v>965</v>
      </c>
      <c r="D296" s="3" t="s">
        <v>246</v>
      </c>
      <c r="E296" s="3" t="s">
        <v>27</v>
      </c>
      <c r="F296" s="3" t="s">
        <v>15</v>
      </c>
      <c r="G296" s="3" t="s">
        <v>966</v>
      </c>
      <c r="H296" s="3" t="s">
        <v>345</v>
      </c>
      <c r="I296" s="3" t="str">
        <f>IFERROR(__xludf.DUMMYFUNCTION("GOOGLETRANSLATE(C296,""fr"",""en"")"),"I have a problem for a year with an excelium contract or it puts impossible to make the slightest withdrawal, however, a depot has no worries that has been 5 times that the agents of Axa move supposedly for the problem but each time it is is only to modif"&amp;"y a contract or make you open another certain are at the limit of the correct !!!")</f>
        <v>I have a problem for a year with an excelium contract or it puts impossible to make the slightest withdrawal, however, a depot has no worries that has been 5 times that the agents of Axa move supposedly for the problem but each time it is is only to modify a contract or make you open another certain are at the limit of the correct !!!</v>
      </c>
    </row>
    <row r="297" ht="15.75" customHeight="1">
      <c r="A297" s="3">
        <v>2.0</v>
      </c>
      <c r="B297" s="3" t="s">
        <v>967</v>
      </c>
      <c r="C297" s="3" t="s">
        <v>968</v>
      </c>
      <c r="D297" s="3" t="s">
        <v>108</v>
      </c>
      <c r="E297" s="3" t="s">
        <v>109</v>
      </c>
      <c r="F297" s="3" t="s">
        <v>15</v>
      </c>
      <c r="G297" s="3" t="s">
        <v>969</v>
      </c>
      <c r="H297" s="3" t="s">
        <v>17</v>
      </c>
      <c r="I297" s="3" t="str">
        <f>IFERROR(__xludf.DUMMYFUNCTION("GOOGLETRANSLATE(C297,""fr"",""en"")"),"Insurance which seems at first glance very well .... but alas, at the time of reimbursements nothing corresponds to the guarantee subscribed .... disappointing J awaits the end of the year to go see elsewhere.")</f>
        <v>Insurance which seems at first glance very well .... but alas, at the time of reimbursements nothing corresponds to the guarantee subscribed .... disappointing J awaits the end of the year to go see elsewhere.</v>
      </c>
    </row>
    <row r="298" ht="15.75" customHeight="1">
      <c r="A298" s="3">
        <v>5.0</v>
      </c>
      <c r="B298" s="3" t="s">
        <v>970</v>
      </c>
      <c r="C298" s="3" t="s">
        <v>971</v>
      </c>
      <c r="D298" s="3" t="s">
        <v>13</v>
      </c>
      <c r="E298" s="3" t="s">
        <v>14</v>
      </c>
      <c r="F298" s="3" t="s">
        <v>15</v>
      </c>
      <c r="G298" s="3" t="s">
        <v>972</v>
      </c>
      <c r="H298" s="3" t="s">
        <v>165</v>
      </c>
      <c r="I298" s="3" t="str">
        <f>IFERROR(__xludf.DUMMYFUNCTION("GOOGLETRANSLATE(C298,""fr"",""en"")"),"Very satisfied by the responsiveness of employees and monitoring my contract. I recommend the olive tree to my entourage as insurance. Congratulations to the teams during this special period.")</f>
        <v>Very satisfied by the responsiveness of employees and monitoring my contract. I recommend the olive tree to my entourage as insurance. Congratulations to the teams during this special period.</v>
      </c>
    </row>
    <row r="299" ht="15.75" customHeight="1">
      <c r="A299" s="3">
        <v>3.0</v>
      </c>
      <c r="B299" s="3" t="s">
        <v>973</v>
      </c>
      <c r="C299" s="3" t="s">
        <v>974</v>
      </c>
      <c r="D299" s="3" t="s">
        <v>42</v>
      </c>
      <c r="E299" s="3" t="s">
        <v>14</v>
      </c>
      <c r="F299" s="3" t="s">
        <v>15</v>
      </c>
      <c r="G299" s="3" t="s">
        <v>528</v>
      </c>
      <c r="H299" s="3" t="s">
        <v>86</v>
      </c>
      <c r="I299" s="3" t="str">
        <f>IFERROR(__xludf.DUMMYFUNCTION("GOOGLETRANSLATE(C299,""fr"",""en"")"),"Site for quote only works through the Furêts, not live
The prices have lair interesting, we will see when the time comes for the guarantees and their consideration :)")</f>
        <v>Site for quote only works through the Furêts, not live
The prices have lair interesting, we will see when the time comes for the guarantees and their consideration :)</v>
      </c>
    </row>
    <row r="300" ht="15.75" customHeight="1">
      <c r="A300" s="3">
        <v>1.0</v>
      </c>
      <c r="B300" s="3" t="s">
        <v>975</v>
      </c>
      <c r="C300" s="3" t="s">
        <v>976</v>
      </c>
      <c r="D300" s="3" t="s">
        <v>97</v>
      </c>
      <c r="E300" s="3" t="s">
        <v>98</v>
      </c>
      <c r="F300" s="3" t="s">
        <v>15</v>
      </c>
      <c r="G300" s="3" t="s">
        <v>977</v>
      </c>
      <c r="H300" s="3" t="s">
        <v>71</v>
      </c>
      <c r="I300" s="3" t="str">
        <f>IFERROR(__xludf.DUMMYFUNCTION("GOOGLETRANSLATE(C300,""fr"",""en"")"),"Following an abusive canvassing by an outdoor broker, I do not wish to follow up.
I do not question your services, but the means implemented to hang new customers, who seem (almost) fraudulent.
On the other hand, telephone exchanges with ""Khadija"" to "&amp;"cancel this contract, were most pleasant, clear and relevant.
Pending a good outcome ....")</f>
        <v>Following an abusive canvassing by an outdoor broker, I do not wish to follow up.
I do not question your services, but the means implemented to hang new customers, who seem (almost) fraudulent.
On the other hand, telephone exchanges with "Khadija" to cancel this contract, were most pleasant, clear and relevant.
Pending a good outcome ....</v>
      </c>
    </row>
    <row r="301" ht="15.75" customHeight="1">
      <c r="A301" s="3">
        <v>5.0</v>
      </c>
      <c r="B301" s="3" t="s">
        <v>978</v>
      </c>
      <c r="C301" s="3" t="s">
        <v>979</v>
      </c>
      <c r="D301" s="3" t="s">
        <v>13</v>
      </c>
      <c r="E301" s="3" t="s">
        <v>14</v>
      </c>
      <c r="F301" s="3" t="s">
        <v>15</v>
      </c>
      <c r="G301" s="3" t="s">
        <v>980</v>
      </c>
      <c r="H301" s="3" t="s">
        <v>165</v>
      </c>
      <c r="I301" s="3" t="str">
        <f>IFERROR(__xludf.DUMMYFUNCTION("GOOGLETRANSLATE(C301,""fr"",""en"")"),"Satisfied but impossible to be remembered by the agents to seek advice before subscription to the contract which makes things relatively complicated.")</f>
        <v>Satisfied but impossible to be remembered by the agents to seek advice before subscription to the contract which makes things relatively complicated.</v>
      </c>
    </row>
    <row r="302" ht="15.75" customHeight="1">
      <c r="A302" s="3">
        <v>5.0</v>
      </c>
      <c r="B302" s="3" t="s">
        <v>981</v>
      </c>
      <c r="C302" s="3" t="s">
        <v>982</v>
      </c>
      <c r="D302" s="3" t="s">
        <v>97</v>
      </c>
      <c r="E302" s="3" t="s">
        <v>98</v>
      </c>
      <c r="F302" s="3" t="s">
        <v>15</v>
      </c>
      <c r="G302" s="3" t="s">
        <v>983</v>
      </c>
      <c r="H302" s="3" t="s">
        <v>898</v>
      </c>
      <c r="I302" s="3" t="str">
        <f>IFERROR(__xludf.DUMMYFUNCTION("GOOGLETRANSLATE(C302,""fr"",""en"")"),"Very clear and precise aceuil very nice mutual andpersonal very steep thank you")</f>
        <v>Very clear and precise aceuil very nice mutual andpersonal very steep thank you</v>
      </c>
    </row>
    <row r="303" ht="15.75" customHeight="1">
      <c r="A303" s="3">
        <v>3.0</v>
      </c>
      <c r="B303" s="3" t="s">
        <v>984</v>
      </c>
      <c r="C303" s="3" t="s">
        <v>985</v>
      </c>
      <c r="D303" s="3" t="s">
        <v>42</v>
      </c>
      <c r="E303" s="3" t="s">
        <v>33</v>
      </c>
      <c r="F303" s="3" t="s">
        <v>15</v>
      </c>
      <c r="G303" s="3" t="s">
        <v>986</v>
      </c>
      <c r="H303" s="3" t="s">
        <v>35</v>
      </c>
      <c r="I303" s="3" t="str">
        <f>IFERROR(__xludf.DUMMYFUNCTION("GOOGLETRANSLATE(C303,""fr"",""en"")"),"Incompetent customer service, faced with problems during the subscription: recipient error of the termination mail, Number of Adherent, unable to terminate within the framework of the Hamùon law after 3 months")</f>
        <v>Incompetent customer service, faced with problems during the subscription: recipient error of the termination mail, Number of Adherent, unable to terminate within the framework of the Hamùon law after 3 months</v>
      </c>
    </row>
    <row r="304" ht="15.75" customHeight="1">
      <c r="A304" s="3">
        <v>4.0</v>
      </c>
      <c r="B304" s="3" t="s">
        <v>987</v>
      </c>
      <c r="C304" s="3" t="s">
        <v>988</v>
      </c>
      <c r="D304" s="3" t="s">
        <v>13</v>
      </c>
      <c r="E304" s="3" t="s">
        <v>14</v>
      </c>
      <c r="F304" s="3" t="s">
        <v>15</v>
      </c>
      <c r="G304" s="3" t="s">
        <v>908</v>
      </c>
      <c r="H304" s="3" t="s">
        <v>75</v>
      </c>
      <c r="I304" s="3" t="str">
        <f>IFERROR(__xludf.DUMMYFUNCTION("GOOGLETRANSLATE(C304,""fr"",""en"")"),"Correct prices, good subscription telephone assistance, clear guarantees, pleasant interface, good sponsorship and promotions of all kinds")</f>
        <v>Correct prices, good subscription telephone assistance, clear guarantees, pleasant interface, good sponsorship and promotions of all kinds</v>
      </c>
    </row>
    <row r="305" ht="15.75" customHeight="1">
      <c r="A305" s="3">
        <v>3.0</v>
      </c>
      <c r="B305" s="3" t="s">
        <v>989</v>
      </c>
      <c r="C305" s="3" t="s">
        <v>990</v>
      </c>
      <c r="D305" s="3" t="s">
        <v>13</v>
      </c>
      <c r="E305" s="3" t="s">
        <v>14</v>
      </c>
      <c r="F305" s="3" t="s">
        <v>15</v>
      </c>
      <c r="G305" s="3" t="s">
        <v>991</v>
      </c>
      <c r="H305" s="3" t="s">
        <v>274</v>
      </c>
      <c r="I305" s="3" t="str">
        <f>IFERROR(__xludf.DUMMYFUNCTION("GOOGLETRANSLATE(C305,""fr"",""en"")"),"The cheapest on the market ... Once you have a breakdown or accident incident you will realize that you have paid for a green card no more.
I broke down on Friday, and they found me a rental car on Monday only. I had to go back on foot with my 6 -year -o"&amp;"ld son, doing 10 km on foot, while I am assured of any risk + all options available. For them it's the weekend, so no taxi available and no car either.
It is practical to guarantee a non -rolling car.")</f>
        <v>The cheapest on the market ... Once you have a breakdown or accident incident you will realize that you have paid for a green card no more.
I broke down on Friday, and they found me a rental car on Monday only. I had to go back on foot with my 6 -year -old son, doing 10 km on foot, while I am assured of any risk + all options available. For them it's the weekend, so no taxi available and no car either.
It is practical to guarantee a non -rolling car.</v>
      </c>
    </row>
    <row r="306" ht="15.75" customHeight="1">
      <c r="A306" s="3">
        <v>1.0</v>
      </c>
      <c r="B306" s="3" t="s">
        <v>992</v>
      </c>
      <c r="C306" s="3" t="s">
        <v>993</v>
      </c>
      <c r="D306" s="3" t="s">
        <v>716</v>
      </c>
      <c r="E306" s="3" t="s">
        <v>98</v>
      </c>
      <c r="F306" s="3" t="s">
        <v>15</v>
      </c>
      <c r="G306" s="3" t="s">
        <v>994</v>
      </c>
      <c r="H306" s="3" t="s">
        <v>211</v>
      </c>
      <c r="I306" s="3" t="str">
        <f>IFERROR(__xludf.DUMMYFUNCTION("GOOGLETRANSLATE(C306,""fr"",""en"")"),"I pay 95 euros per month (compulsory business insurance), exorbitant knowing that this is only the employee share. The guarantees are not particularly better than elsewhere, I continue to pay the overruns. It's been 2 months since I expect the reimburseme"&amp;"nt of my glasses, still nothing despite many calls ...")</f>
        <v>I pay 95 euros per month (compulsory business insurance), exorbitant knowing that this is only the employee share. The guarantees are not particularly better than elsewhere, I continue to pay the overruns. It's been 2 months since I expect the reimbursement of my glasses, still nothing despite many calls ...</v>
      </c>
    </row>
    <row r="307" ht="15.75" customHeight="1">
      <c r="A307" s="3">
        <v>1.0</v>
      </c>
      <c r="B307" s="3" t="s">
        <v>995</v>
      </c>
      <c r="C307" s="3" t="s">
        <v>996</v>
      </c>
      <c r="D307" s="3" t="s">
        <v>421</v>
      </c>
      <c r="E307" s="3" t="s">
        <v>98</v>
      </c>
      <c r="F307" s="3" t="s">
        <v>15</v>
      </c>
      <c r="G307" s="3" t="s">
        <v>997</v>
      </c>
      <c r="H307" s="3" t="s">
        <v>854</v>
      </c>
      <c r="I307" s="3" t="str">
        <f>IFERROR(__xludf.DUMMYFUNCTION("GOOGLETRANSLATE(C307,""fr"",""en"")"),"I wanted to alert as many people as possible on health generation practices.
I found myself between two jobs for a month and therefore without a compulsory mutual.
I subscribed a mutual for this period to cover my children in the event of a problem duri"&amp;"ng this month.
For having been slow to transmit the compulsory affiliation certificate generation refuses to terminate my contract and take me more than 140th per month.
Generation has proof that I will not spend anything on them since they have a certi"&amp;"ficate from my compulsory new mutual but refuse to terminate and oblige to pay for 12 months.
To put my children in safety for a month I find myself paying more than 1700th and generation does not want to hear anything. This practice is shameful.")</f>
        <v>I wanted to alert as many people as possible on health generation practices.
I found myself between two jobs for a month and therefore without a compulsory mutual.
I subscribed a mutual for this period to cover my children in the event of a problem during this month.
For having been slow to transmit the compulsory affiliation certificate generation refuses to terminate my contract and take me more than 140th per month.
Generation has proof that I will not spend anything on them since they have a certificate from my compulsory new mutual but refuse to terminate and oblige to pay for 12 months.
To put my children in safety for a month I find myself paying more than 1700th and generation does not want to hear anything. This practice is shameful.</v>
      </c>
    </row>
    <row r="308" ht="15.75" customHeight="1">
      <c r="A308" s="3">
        <v>4.0</v>
      </c>
      <c r="B308" s="3" t="s">
        <v>998</v>
      </c>
      <c r="C308" s="3" t="s">
        <v>999</v>
      </c>
      <c r="D308" s="3" t="s">
        <v>384</v>
      </c>
      <c r="E308" s="3" t="s">
        <v>21</v>
      </c>
      <c r="F308" s="3" t="s">
        <v>15</v>
      </c>
      <c r="G308" s="3" t="s">
        <v>1000</v>
      </c>
      <c r="H308" s="3" t="s">
        <v>66</v>
      </c>
      <c r="I308" s="3" t="str">
        <f>IFERROR(__xludf.DUMMYFUNCTION("GOOGLETRANSLATE(C308,""fr"",""en"")"),"Always quickly assured at the right price and never concern.
I have owned several motorcycle, quad style and I have always trusted AMV.
I have never had flight or accident, hence a file until then without problem.
AMV's responses are always very fast a"&amp;"nd clear.
If next motorcycle, I will be insured again at AMV.")</f>
        <v>Always quickly assured at the right price and never concern.
I have owned several motorcycle, quad style and I have always trusted AMV.
I have never had flight or accident, hence a file until then without problem.
AMV's responses are always very fast and clear.
If next motorcycle, I will be insured again at AMV.</v>
      </c>
    </row>
    <row r="309" ht="15.75" customHeight="1">
      <c r="A309" s="3">
        <v>1.0</v>
      </c>
      <c r="B309" s="3" t="s">
        <v>1001</v>
      </c>
      <c r="C309" s="3" t="s">
        <v>1002</v>
      </c>
      <c r="D309" s="3" t="s">
        <v>246</v>
      </c>
      <c r="E309" s="3" t="s">
        <v>14</v>
      </c>
      <c r="F309" s="3" t="s">
        <v>15</v>
      </c>
      <c r="G309" s="3" t="s">
        <v>1003</v>
      </c>
      <c r="H309" s="3" t="s">
        <v>253</v>
      </c>
      <c r="I309" s="3" t="str">
        <f>IFERROR(__xludf.DUMMYFUNCTION("GOOGLETRANSLATE(C309,""fr"",""en"")"),"This insurance dropped completely is customers not to say (faithful customers +12 years) under the pretext of being insured to third party for a non -responsible equipment. I've been waiting for the green light for 6 months to have my vehicle repaired and"&amp;" the insurer for weekly weekly.")</f>
        <v>This insurance dropped completely is customers not to say (faithful customers +12 years) under the pretext of being insured to third party for a non -responsible equipment. I've been waiting for the green light for 6 months to have my vehicle repaired and the insurer for weekly weekly.</v>
      </c>
    </row>
    <row r="310" ht="15.75" customHeight="1">
      <c r="A310" s="3">
        <v>1.0</v>
      </c>
      <c r="B310" s="3" t="s">
        <v>1004</v>
      </c>
      <c r="C310" s="3" t="s">
        <v>1005</v>
      </c>
      <c r="D310" s="3" t="s">
        <v>214</v>
      </c>
      <c r="E310" s="3" t="s">
        <v>98</v>
      </c>
      <c r="F310" s="3" t="s">
        <v>15</v>
      </c>
      <c r="G310" s="3" t="s">
        <v>1006</v>
      </c>
      <c r="H310" s="3" t="s">
        <v>29</v>
      </c>
      <c r="I310" s="3" t="str">
        <f>IFERROR(__xludf.DUMMYFUNCTION("GOOGLETRANSLATE(C310,""fr"",""en"")"),"Catastrophic, I have only had problems since I was at home.
Latest, they do everything so that I cannot terminate my mutual contract.
At the end of August I had two different advice on the phone who both told me to send my new registered employment cont"&amp;"ract to terminate my contract (I was even told to reach my plane tickets because I Started abroad, anything!).
I sent everything and now I receive a letter in which I am told that it is missing documents!
I call customer service (which is really deplora"&amp;"ble), apparently they only received a letter in my name and not my contract and the ""advisor"" said to me: ""In addition you sent it by registered mail""! It is time as they '' harmonize ""at Harmonie!
New speech: I have to send them a nominative certif"&amp;"icate, signed by my employer, but directly on my personal space.
Ah yes and customer service who cannot recall people when the communication is cut, it is practical to fall back on the advisor with whom we were in communication.")</f>
        <v>Catastrophic, I have only had problems since I was at home.
Latest, they do everything so that I cannot terminate my mutual contract.
At the end of August I had two different advice on the phone who both told me to send my new registered employment contract to terminate my contract (I was even told to reach my plane tickets because I Started abroad, anything!).
I sent everything and now I receive a letter in which I am told that it is missing documents!
I call customer service (which is really deplorable), apparently they only received a letter in my name and not my contract and the "advisor" said to me: "In addition you sent it by registered mail"! It is time as they '' harmonize "at Harmonie!
New speech: I have to send them a nominative certificate, signed by my employer, but directly on my personal space.
Ah yes and customer service who cannot recall people when the communication is cut, it is practical to fall back on the advisor with whom we were in communication.</v>
      </c>
    </row>
    <row r="311" ht="15.75" customHeight="1">
      <c r="A311" s="3">
        <v>4.0</v>
      </c>
      <c r="B311" s="3" t="s">
        <v>1007</v>
      </c>
      <c r="C311" s="3" t="s">
        <v>1008</v>
      </c>
      <c r="D311" s="3" t="s">
        <v>20</v>
      </c>
      <c r="E311" s="3" t="s">
        <v>21</v>
      </c>
      <c r="F311" s="3" t="s">
        <v>15</v>
      </c>
      <c r="G311" s="3" t="s">
        <v>1009</v>
      </c>
      <c r="H311" s="3" t="s">
        <v>23</v>
      </c>
      <c r="I311" s="3" t="str">
        <f>IFERROR(__xludf.DUMMYFUNCTION("GOOGLETRANSLATE(C311,""fr"",""en"")"),"Everything has been simple and quick. Competitive prix after multiple quotes with other insurances. I will recommend you if necessary.")</f>
        <v>Everything has been simple and quick. Competitive prix after multiple quotes with other insurances. I will recommend you if necessary.</v>
      </c>
    </row>
    <row r="312" ht="15.75" customHeight="1">
      <c r="A312" s="3">
        <v>4.0</v>
      </c>
      <c r="B312" s="3" t="s">
        <v>1010</v>
      </c>
      <c r="C312" s="3" t="s">
        <v>1011</v>
      </c>
      <c r="D312" s="3" t="s">
        <v>13</v>
      </c>
      <c r="E312" s="3" t="s">
        <v>14</v>
      </c>
      <c r="F312" s="3" t="s">
        <v>15</v>
      </c>
      <c r="G312" s="3" t="s">
        <v>1012</v>
      </c>
      <c r="H312" s="3" t="s">
        <v>17</v>
      </c>
      <c r="I312" s="3" t="str">
        <f>IFERROR(__xludf.DUMMYFUNCTION("GOOGLETRANSLATE(C312,""fr"",""en"")"),"I am satisfied,
Fast, efficient, and very clear.
Correct prices.
I will have 2 other vehicles to be insured at home and why not more if necessary.
Thank you.
")</f>
        <v>I am satisfied,
Fast, efficient, and very clear.
Correct prices.
I will have 2 other vehicles to be insured at home and why not more if necessary.
Thank you.
</v>
      </c>
    </row>
    <row r="313" ht="15.75" customHeight="1">
      <c r="A313" s="3">
        <v>1.0</v>
      </c>
      <c r="B313" s="3" t="s">
        <v>1013</v>
      </c>
      <c r="C313" s="3" t="s">
        <v>1014</v>
      </c>
      <c r="D313" s="3" t="s">
        <v>42</v>
      </c>
      <c r="E313" s="3" t="s">
        <v>33</v>
      </c>
      <c r="F313" s="3" t="s">
        <v>15</v>
      </c>
      <c r="G313" s="3" t="s">
        <v>1015</v>
      </c>
      <c r="H313" s="3" t="s">
        <v>191</v>
      </c>
      <c r="I313" s="3" t="str">
        <f>IFERROR(__xludf.DUMMYFUNCTION("GOOGLETRANSLATE(C313,""fr"",""en"")"),"To flee !!!!!!!!!!!!!")</f>
        <v>To flee !!!!!!!!!!!!!</v>
      </c>
    </row>
    <row r="314" ht="15.75" customHeight="1">
      <c r="A314" s="3">
        <v>1.0</v>
      </c>
      <c r="B314" s="3" t="s">
        <v>1016</v>
      </c>
      <c r="C314" s="3" t="s">
        <v>1017</v>
      </c>
      <c r="D314" s="3" t="s">
        <v>42</v>
      </c>
      <c r="E314" s="3" t="s">
        <v>14</v>
      </c>
      <c r="F314" s="3" t="s">
        <v>15</v>
      </c>
      <c r="G314" s="3" t="s">
        <v>1018</v>
      </c>
      <c r="H314" s="3" t="s">
        <v>86</v>
      </c>
      <c r="I314" s="3" t="str">
        <f>IFERROR(__xludf.DUMMYFUNCTION("GOOGLETRANSLATE(C314,""fr"",""en"")"),"The cost of contracts increases from one year to the next without any justification.
No care to date, Direct Insurance still finds a clause so as not to honor the contract.")</f>
        <v>The cost of contracts increases from one year to the next without any justification.
No care to date, Direct Insurance still finds a clause so as not to honor the contract.</v>
      </c>
    </row>
    <row r="315" ht="15.75" customHeight="1">
      <c r="A315" s="3">
        <v>5.0</v>
      </c>
      <c r="B315" s="3" t="s">
        <v>1019</v>
      </c>
      <c r="C315" s="3" t="s">
        <v>1020</v>
      </c>
      <c r="D315" s="3" t="s">
        <v>421</v>
      </c>
      <c r="E315" s="3" t="s">
        <v>98</v>
      </c>
      <c r="F315" s="3" t="s">
        <v>15</v>
      </c>
      <c r="G315" s="3" t="s">
        <v>669</v>
      </c>
      <c r="H315" s="3" t="s">
        <v>29</v>
      </c>
      <c r="I315" s="3" t="str">
        <f>IFERROR(__xludf.DUMMYFUNCTION("GOOGLETRANSLATE(C315,""fr"",""en"")"),"Very responsive. Fortunately, we do not solicit it too often but as soon as necessary, they are available to remind us of what is planned in our contract.")</f>
        <v>Very responsive. Fortunately, we do not solicit it too often but as soon as necessary, they are available to remind us of what is planned in our contract.</v>
      </c>
    </row>
    <row r="316" ht="15.75" customHeight="1">
      <c r="A316" s="3">
        <v>4.0</v>
      </c>
      <c r="B316" s="3" t="s">
        <v>1021</v>
      </c>
      <c r="C316" s="3" t="s">
        <v>1022</v>
      </c>
      <c r="D316" s="3" t="s">
        <v>89</v>
      </c>
      <c r="E316" s="3" t="s">
        <v>14</v>
      </c>
      <c r="F316" s="3" t="s">
        <v>15</v>
      </c>
      <c r="G316" s="3" t="s">
        <v>75</v>
      </c>
      <c r="H316" s="3" t="s">
        <v>75</v>
      </c>
      <c r="I316" s="3" t="str">
        <f>IFERROR(__xludf.DUMMYFUNCTION("GOOGLETRANSLATE(C316,""fr"",""en"")"),"Always satisfied with the MAIF services, I made the mistake of going to competition for a 30% cheaper rate ... In the end I pay almost as expensive (hidden costs, revealed after contract) and the service of the competition is zero.")</f>
        <v>Always satisfied with the MAIF services, I made the mistake of going to competition for a 30% cheaper rate ... In the end I pay almost as expensive (hidden costs, revealed after contract) and the service of the competition is zero.</v>
      </c>
    </row>
    <row r="317" ht="15.75" customHeight="1">
      <c r="A317" s="3">
        <v>3.0</v>
      </c>
      <c r="B317" s="3" t="s">
        <v>1023</v>
      </c>
      <c r="C317" s="3" t="s">
        <v>1024</v>
      </c>
      <c r="D317" s="3" t="s">
        <v>20</v>
      </c>
      <c r="E317" s="3" t="s">
        <v>21</v>
      </c>
      <c r="F317" s="3" t="s">
        <v>15</v>
      </c>
      <c r="G317" s="3" t="s">
        <v>1025</v>
      </c>
      <c r="H317" s="3" t="s">
        <v>224</v>
      </c>
      <c r="I317" s="3" t="str">
        <f>IFERROR(__xludf.DUMMYFUNCTION("GOOGLETRANSLATE(C317,""fr"",""en"")"),"Satisfied with prices and internet service, but insurance today are more and more expensive, I find that there is still a specialized section for all-terrain motorcycles.")</f>
        <v>Satisfied with prices and internet service, but insurance today are more and more expensive, I find that there is still a specialized section for all-terrain motorcycles.</v>
      </c>
    </row>
    <row r="318" ht="15.75" customHeight="1">
      <c r="A318" s="3">
        <v>4.0</v>
      </c>
      <c r="B318" s="3" t="s">
        <v>1026</v>
      </c>
      <c r="C318" s="3" t="s">
        <v>1027</v>
      </c>
      <c r="D318" s="3" t="s">
        <v>32</v>
      </c>
      <c r="E318" s="3" t="s">
        <v>33</v>
      </c>
      <c r="F318" s="3" t="s">
        <v>15</v>
      </c>
      <c r="G318" s="3" t="s">
        <v>699</v>
      </c>
      <c r="H318" s="3" t="s">
        <v>44</v>
      </c>
      <c r="I318" s="3" t="str">
        <f>IFERROR(__xludf.DUMMYFUNCTION("GOOGLETRANSLATE(C318,""fr"",""en"")"),"An opinion to say thank you to the GMF.
My pool pump over 2 years old was accidentally flooded while it was in operation, circuit lessons .... and impossible to operate after opening, drying long minutes, sun exposure .....
A call to the GMF, yes I was "&amp;"insured but not in replacement in new device, obsolete of the pump 178 euros (out of 439 new prices) at my expense. The operating work (it was necessary to modify the 2 arrivals in 1 so modify location of the valves, with change .... so lower water level "&amp;"in the pool) were fully taken care of, I still have that the 10 m3 of water that I lost ... the reimbursement amounts to 611 euros.
Question at GMF, why go through an expertise cabinet for a little claim like mine ?????
In addition, the staff at the rec"&amp;"eption, I had 2 different people very pleasant as well as the person in the settlement of claims, thank you all.")</f>
        <v>An opinion to say thank you to the GMF.
My pool pump over 2 years old was accidentally flooded while it was in operation, circuit lessons .... and impossible to operate after opening, drying long minutes, sun exposure .....
A call to the GMF, yes I was insured but not in replacement in new device, obsolete of the pump 178 euros (out of 439 new prices) at my expense. The operating work (it was necessary to modify the 2 arrivals in 1 so modify location of the valves, with change .... so lower water level in the pool) were fully taken care of, I still have that the 10 m3 of water that I lost ... the reimbursement amounts to 611 euros.
Question at GMF, why go through an expertise cabinet for a little claim like mine ?????
In addition, the staff at the reception, I had 2 different people very pleasant as well as the person in the settlement of claims, thank you all.</v>
      </c>
    </row>
    <row r="319" ht="15.75" customHeight="1">
      <c r="A319" s="3">
        <v>2.0</v>
      </c>
      <c r="B319" s="3" t="s">
        <v>1028</v>
      </c>
      <c r="C319" s="3" t="s">
        <v>1029</v>
      </c>
      <c r="D319" s="3" t="s">
        <v>103</v>
      </c>
      <c r="E319" s="3" t="s">
        <v>98</v>
      </c>
      <c r="F319" s="3" t="s">
        <v>15</v>
      </c>
      <c r="G319" s="3" t="s">
        <v>1030</v>
      </c>
      <c r="H319" s="3" t="s">
        <v>86</v>
      </c>
      <c r="I319" s="3" t="str">
        <f>IFERROR(__xludf.DUMMYFUNCTION("GOOGLETRANSLATE(C319,""fr"",""en"")"),"Far too expensive compared to competition at the same level of guarantees and services.
I am currently looking for an alternative, 226 euros per month is no longer tenable.
40 years spent at the MGP, it is time to move on to a better quality/price ratio"&amp;", especially since I was surprised to go back, having to pay the advance, then fill and send the sheets .
Shame !")</f>
        <v>Far too expensive compared to competition at the same level of guarantees and services.
I am currently looking for an alternative, 226 euros per month is no longer tenable.
40 years spent at the MGP, it is time to move on to a better quality/price ratio, especially since I was surprised to go back, having to pay the advance, then fill and send the sheets .
Shame !</v>
      </c>
    </row>
    <row r="320" ht="15.75" customHeight="1">
      <c r="A320" s="3">
        <v>3.0</v>
      </c>
      <c r="B320" s="3" t="s">
        <v>1031</v>
      </c>
      <c r="C320" s="3" t="s">
        <v>1032</v>
      </c>
      <c r="D320" s="3" t="s">
        <v>42</v>
      </c>
      <c r="E320" s="3" t="s">
        <v>14</v>
      </c>
      <c r="F320" s="3" t="s">
        <v>15</v>
      </c>
      <c r="G320" s="3" t="s">
        <v>1033</v>
      </c>
      <c r="H320" s="3" t="s">
        <v>75</v>
      </c>
      <c r="I320" s="3" t="str">
        <f>IFERROR(__xludf.DUMMYFUNCTION("GOOGLETRANSLATE(C320,""fr"",""en"")"),"Clean and easy to access site. The prices are rather good with regard to the competitors and the mobile application is efficient. I will test the responsiveness in the event of modification of the contract.
Only reproach on the mobile site not all the po"&amp;"ssibilities.")</f>
        <v>Clean and easy to access site. The prices are rather good with regard to the competitors and the mobile application is efficient. I will test the responsiveness in the event of modification of the contract.
Only reproach on the mobile site not all the possibilities.</v>
      </c>
    </row>
    <row r="321" ht="15.75" customHeight="1">
      <c r="A321" s="3">
        <v>1.0</v>
      </c>
      <c r="B321" s="3" t="s">
        <v>1034</v>
      </c>
      <c r="C321" s="3" t="s">
        <v>1035</v>
      </c>
      <c r="D321" s="3" t="s">
        <v>47</v>
      </c>
      <c r="E321" s="3" t="s">
        <v>33</v>
      </c>
      <c r="F321" s="3" t="s">
        <v>15</v>
      </c>
      <c r="G321" s="3" t="s">
        <v>1036</v>
      </c>
      <c r="H321" s="3" t="s">
        <v>236</v>
      </c>
      <c r="I321" s="3" t="str">
        <f>IFERROR(__xludf.DUMMYFUNCTION("GOOGLETRANSLATE(C321,""fr"",""en"")"),"Pacifica home insurance is very deceiving. No defense in short you have to manage and go and ask for help elsewhere. I would not say more so, fortunately that there are other insurances.")</f>
        <v>Pacifica home insurance is very deceiving. No defense in short you have to manage and go and ask for help elsewhere. I would not say more so, fortunately that there are other insurances.</v>
      </c>
    </row>
    <row r="322" ht="15.75" customHeight="1">
      <c r="A322" s="3">
        <v>5.0</v>
      </c>
      <c r="B322" s="3" t="s">
        <v>1037</v>
      </c>
      <c r="C322" s="3" t="s">
        <v>1038</v>
      </c>
      <c r="D322" s="3" t="s">
        <v>384</v>
      </c>
      <c r="E322" s="3" t="s">
        <v>21</v>
      </c>
      <c r="F322" s="3" t="s">
        <v>15</v>
      </c>
      <c r="G322" s="3" t="s">
        <v>195</v>
      </c>
      <c r="H322" s="3" t="s">
        <v>115</v>
      </c>
      <c r="I322" s="3" t="str">
        <f>IFERROR(__xludf.DUMMYFUNCTION("GOOGLETRANSLATE(C322,""fr"",""en"")"),"Fast and simple
All in line greatly simplifies the steps.
A price proposed for an à la carte contract, with a price corresponding to my expectations")</f>
        <v>Fast and simple
All in line greatly simplifies the steps.
A price proposed for an à la carte contract, with a price corresponding to my expectations</v>
      </c>
    </row>
    <row r="323" ht="15.75" customHeight="1">
      <c r="A323" s="3">
        <v>1.0</v>
      </c>
      <c r="B323" s="3" t="s">
        <v>1039</v>
      </c>
      <c r="C323" s="3" t="s">
        <v>1040</v>
      </c>
      <c r="D323" s="3" t="s">
        <v>78</v>
      </c>
      <c r="E323" s="3" t="s">
        <v>14</v>
      </c>
      <c r="F323" s="3" t="s">
        <v>15</v>
      </c>
      <c r="G323" s="3" t="s">
        <v>835</v>
      </c>
      <c r="H323" s="3" t="s">
        <v>86</v>
      </c>
      <c r="I323" s="3" t="str">
        <f>IFERROR(__xludf.DUMMYFUNCTION("GOOGLETRANSLATE(C323,""fr"",""en"")"),"Allianz's sinister customer service are incompetent and have implemented more than doubtful response procedures. Indeed, as soon as my phone number is displayed they cut the communication. I have of course tried with other numbers to properly confirm the "&amp;"deception and there as if by magic we can have an interlocutor. It's been 3 months since we gave the vehicle to the company after a traffic accident and still no compensation. The recommended letters written by my lawyer also remained unanswered. 22 years"&amp;" that I am a client (before Allianz, AGF) as well as the whole family. I am very very disappointed and I think I leave the company.")</f>
        <v>Allianz's sinister customer service are incompetent and have implemented more than doubtful response procedures. Indeed, as soon as my phone number is displayed they cut the communication. I have of course tried with other numbers to properly confirm the deception and there as if by magic we can have an interlocutor. It's been 3 months since we gave the vehicle to the company after a traffic accident and still no compensation. The recommended letters written by my lawyer also remained unanswered. 22 years that I am a client (before Allianz, AGF) as well as the whole family. I am very very disappointed and I think I leave the company.</v>
      </c>
    </row>
    <row r="324" ht="15.75" customHeight="1">
      <c r="A324" s="3">
        <v>1.0</v>
      </c>
      <c r="B324" s="3" t="s">
        <v>1041</v>
      </c>
      <c r="C324" s="3" t="s">
        <v>1042</v>
      </c>
      <c r="D324" s="3" t="s">
        <v>78</v>
      </c>
      <c r="E324" s="3" t="s">
        <v>33</v>
      </c>
      <c r="F324" s="3" t="s">
        <v>15</v>
      </c>
      <c r="G324" s="3" t="s">
        <v>418</v>
      </c>
      <c r="H324" s="3" t="s">
        <v>115</v>
      </c>
      <c r="I324" s="3" t="str">
        <f>IFERROR(__xludf.DUMMYFUNCTION("GOOGLETRANSLATE(C324,""fr"",""en"")"),"I am a non -occupying co -owner on the 6th floor of a building. Water damage occurred in the apartment in hot and cold water pipes that are not accessible passing through the flooding of the 6th on the 2nd floor of the building. After impossibility of loc"&amp;"ating the leak without destroying the slab randomly it was decided in an emergency (the apartment being no longer habitable) to put the hot and cold water pipes apparently. Allianz refused to pay the costs on the pretext that they only paid for destructiv"&amp;"e research.
In total: if you don't need anything, you can count on Allianz!")</f>
        <v>I am a non -occupying co -owner on the 6th floor of a building. Water damage occurred in the apartment in hot and cold water pipes that are not accessible passing through the flooding of the 6th on the 2nd floor of the building. After impossibility of locating the leak without destroying the slab randomly it was decided in an emergency (the apartment being no longer habitable) to put the hot and cold water pipes apparently. Allianz refused to pay the costs on the pretext that they only paid for destructive research.
In total: if you don't need anything, you can count on Allianz!</v>
      </c>
    </row>
    <row r="325" ht="15.75" customHeight="1">
      <c r="A325" s="3">
        <v>1.0</v>
      </c>
      <c r="B325" s="3" t="s">
        <v>1043</v>
      </c>
      <c r="C325" s="3" t="s">
        <v>1044</v>
      </c>
      <c r="D325" s="3" t="s">
        <v>182</v>
      </c>
      <c r="E325" s="3" t="s">
        <v>98</v>
      </c>
      <c r="F325" s="3" t="s">
        <v>15</v>
      </c>
      <c r="G325" s="3" t="s">
        <v>1045</v>
      </c>
      <c r="H325" s="3" t="s">
        <v>100</v>
      </c>
      <c r="I325" s="3" t="str">
        <f>IFERROR(__xludf.DUMMYFUNCTION("GOOGLETRANSLATE(C325,""fr"",""en"")"),"Breach of trust and forced sales ...
Mutual to flee.
MGET member, I passed MGEN at 1/1/2016. Finding the contribution too high for my retirement, I prospected with other mutuals in order to leave MGEN at the end of 2016. A basic contribution is around 4"&amp;"0.00 euros instead of almost 80 at MGEN. Coincidence (or not) 1 to 2 months later my samples go to 40 euros? I am waiting for the end of 2016 and there I receive a schedule for 2017 at 40 euros monthly until December 2017. The contribution being correct I"&amp;" therefore remain at Mgen.
    That it is not my surprise when at the end of 2017 I receive a letter informing me that my subscription since January 2016 is not 40 but more than 75 euros, by asking me for a retroactive payment. Obviously I disputed immed"&amp;"iately and leave Mgen, but since then it is harassment to force me to pay around 700 euros.
    Moreover in December I was taken from my bank account of 254 euros without any authorization on my part.
    I did not expect this kind of procedures from a "&amp;"mutual. It is simply breach of trust and forced sales.")</f>
        <v>Breach of trust and forced sales ...
Mutual to flee.
MGET member, I passed MGEN at 1/1/2016. Finding the contribution too high for my retirement, I prospected with other mutuals in order to leave MGEN at the end of 2016. A basic contribution is around 40.00 euros instead of almost 80 at MGEN. Coincidence (or not) 1 to 2 months later my samples go to 40 euros? I am waiting for the end of 2016 and there I receive a schedule for 2017 at 40 euros monthly until December 2017. The contribution being correct I therefore remain at Mgen.
    That it is not my surprise when at the end of 2017 I receive a letter informing me that my subscription since January 2016 is not 40 but more than 75 euros, by asking me for a retroactive payment. Obviously I disputed immediately and leave Mgen, but since then it is harassment to force me to pay around 700 euros.
    Moreover in December I was taken from my bank account of 254 euros without any authorization on my part.
    I did not expect this kind of procedures from a mutual. It is simply breach of trust and forced sales.</v>
      </c>
    </row>
    <row r="326" ht="15.75" customHeight="1">
      <c r="A326" s="3">
        <v>3.0</v>
      </c>
      <c r="B326" s="3" t="s">
        <v>1046</v>
      </c>
      <c r="C326" s="3" t="s">
        <v>1047</v>
      </c>
      <c r="D326" s="3" t="s">
        <v>246</v>
      </c>
      <c r="E326" s="3" t="s">
        <v>33</v>
      </c>
      <c r="F326" s="3" t="s">
        <v>15</v>
      </c>
      <c r="G326" s="3" t="s">
        <v>1048</v>
      </c>
      <c r="H326" s="3" t="s">
        <v>105</v>
      </c>
      <c r="I326" s="3" t="str">
        <f>IFERROR(__xludf.DUMMYFUNCTION("GOOGLETRANSLATE(C326,""fr"",""en"")"),"Very kind and attentive correspondent. I had very good reports as a result of a fire The damage was well assessed. I also have a group mutual, no problem for supplements of social security reimbursements, but a little expensive.")</f>
        <v>Very kind and attentive correspondent. I had very good reports as a result of a fire The damage was well assessed. I also have a group mutual, no problem for supplements of social security reimbursements, but a little expensive.</v>
      </c>
    </row>
    <row r="327" ht="15.75" customHeight="1">
      <c r="A327" s="3">
        <v>3.0</v>
      </c>
      <c r="B327" s="3" t="s">
        <v>1049</v>
      </c>
      <c r="C327" s="3" t="s">
        <v>1050</v>
      </c>
      <c r="D327" s="3" t="s">
        <v>13</v>
      </c>
      <c r="E327" s="3" t="s">
        <v>14</v>
      </c>
      <c r="F327" s="3" t="s">
        <v>15</v>
      </c>
      <c r="G327" s="3" t="s">
        <v>713</v>
      </c>
      <c r="H327" s="3" t="s">
        <v>115</v>
      </c>
      <c r="I327" s="3" t="str">
        <f>IFERROR(__xludf.DUMMYFUNCTION("GOOGLETRANSLATE(C327,""fr"",""en"")"),"My opinion and that the Olivier Insurance satisfied with the service and satisfied with the price of the Olivier Insurance, very fast and very efficient courteous of the advisers,")</f>
        <v>My opinion and that the Olivier Insurance satisfied with the service and satisfied with the price of the Olivier Insurance, very fast and very efficient courteous of the advisers,</v>
      </c>
    </row>
    <row r="328" ht="15.75" customHeight="1">
      <c r="A328" s="3">
        <v>2.0</v>
      </c>
      <c r="B328" s="3" t="s">
        <v>1051</v>
      </c>
      <c r="C328" s="3" t="s">
        <v>1052</v>
      </c>
      <c r="D328" s="3" t="s">
        <v>32</v>
      </c>
      <c r="E328" s="3" t="s">
        <v>14</v>
      </c>
      <c r="F328" s="3" t="s">
        <v>15</v>
      </c>
      <c r="G328" s="3" t="s">
        <v>681</v>
      </c>
      <c r="H328" s="3" t="s">
        <v>115</v>
      </c>
      <c r="I328" s="3" t="str">
        <f>IFERROR(__xludf.DUMMYFUNCTION("GOOGLETRANSLATE(C328,""fr"",""en"")"),"I am not satisfied with guarantees offered in my contracts it does not cover all the risks to which my home is subject.
No solutions have not been offered your services")</f>
        <v>I am not satisfied with guarantees offered in my contracts it does not cover all the risks to which my home is subject.
No solutions have not been offered your services</v>
      </c>
    </row>
    <row r="329" ht="15.75" customHeight="1">
      <c r="A329" s="3">
        <v>5.0</v>
      </c>
      <c r="B329" s="3" t="s">
        <v>1053</v>
      </c>
      <c r="C329" s="3" t="s">
        <v>1054</v>
      </c>
      <c r="D329" s="3" t="s">
        <v>13</v>
      </c>
      <c r="E329" s="3" t="s">
        <v>14</v>
      </c>
      <c r="F329" s="3" t="s">
        <v>15</v>
      </c>
      <c r="G329" s="3" t="s">
        <v>730</v>
      </c>
      <c r="H329" s="3" t="s">
        <v>86</v>
      </c>
      <c r="I329" s="3" t="str">
        <f>IFERROR(__xludf.DUMMYFUNCTION("GOOGLETRANSLATE(C329,""fr"",""en"")"),"Satisfied +++, fast simple and efficient, I strongly recommend, to see later for the follow -up of this insurance. complicated to give an opinion now")</f>
        <v>Satisfied +++, fast simple and efficient, I strongly recommend, to see later for the follow -up of this insurance. complicated to give an opinion now</v>
      </c>
    </row>
    <row r="330" ht="15.75" customHeight="1">
      <c r="A330" s="3">
        <v>1.0</v>
      </c>
      <c r="B330" s="3" t="s">
        <v>1055</v>
      </c>
      <c r="C330" s="3" t="s">
        <v>1056</v>
      </c>
      <c r="D330" s="3" t="s">
        <v>13</v>
      </c>
      <c r="E330" s="3" t="s">
        <v>14</v>
      </c>
      <c r="F330" s="3" t="s">
        <v>15</v>
      </c>
      <c r="G330" s="3" t="s">
        <v>1057</v>
      </c>
      <c r="H330" s="3" t="s">
        <v>360</v>
      </c>
      <c r="I330" s="3" t="str">
        <f>IFERROR(__xludf.DUMMYFUNCTION("GOOGLETRANSLATE(C330,""fr"",""en"")"),"To proscribe increase in insane contributions
Insured in 2016, without problems, 2017 contribution + 23% in 2018 Deadlines + 32%
In 2 years + 65%. Or are they taking me for an American? Or do they don't care about customers?
Thank you for confidence "&amp;"and loyalty")</f>
        <v>To proscribe increase in insane contributions
Insured in 2016, without problems, 2017 contribution + 23% in 2018 Deadlines + 32%
In 2 years + 65%. Or are they taking me for an American? Or do they don't care about customers?
Thank you for confidence and loyalty</v>
      </c>
    </row>
    <row r="331" ht="15.75" customHeight="1">
      <c r="A331" s="3">
        <v>1.0</v>
      </c>
      <c r="B331" s="3" t="s">
        <v>1058</v>
      </c>
      <c r="C331" s="3" t="s">
        <v>1059</v>
      </c>
      <c r="D331" s="3" t="s">
        <v>13</v>
      </c>
      <c r="E331" s="3" t="s">
        <v>14</v>
      </c>
      <c r="F331" s="3" t="s">
        <v>15</v>
      </c>
      <c r="G331" s="3" t="s">
        <v>886</v>
      </c>
      <c r="H331" s="3" t="s">
        <v>165</v>
      </c>
      <c r="I331" s="3" t="str">
        <f>IFERROR(__xludf.DUMMYFUNCTION("GOOGLETRANSLATE(C331,""fr"",""en"")"),"Morning
I wish to lower the guarantee on my Peugeot 208 contract to go from a whole risk to a third party
Your advisor told me that the price will drop to five hundred and some euros
I made a quote 2282154913 and it's 275 euros ??????????
I'm really f"&amp;"ed up with this price for the price and still differ ......
The advisor tells me that by what it is a new subscription !!!
I do not agree: the product remains the same the costs can be deverse but the product itself to know how to ensure the 208 and the"&amp;" same so I do not understand
Add to that she send me the quote for the drop in warranty and basically you went back to me to reimburse me 6.75 € !!!!!!! Which means I lower my guarantee but I stay at the same price !!!!!! it is bullshit
Please settl"&amp;"e my concern in emergency and to lower my price at the same time as I lower my warranty
Otherwise this time if I would really file the DGCCRF complaints
It is not normal for a price to be the same alor that he offers the same service
In addition I "&amp;"am a customer !!!! And I don't understand Prq you tax me more than a new customer
This is how you treat your Fidel customers
")</f>
        <v>Morning
I wish to lower the guarantee on my Peugeot 208 contract to go from a whole risk to a third party
Your advisor told me that the price will drop to five hundred and some euros
I made a quote 2282154913 and it's 275 euros ??????????
I'm really fed up with this price for the price and still differ ......
The advisor tells me that by what it is a new subscription !!!
I do not agree: the product remains the same the costs can be deverse but the product itself to know how to ensure the 208 and the same so I do not understand
Add to that she send me the quote for the drop in warranty and basically you went back to me to reimburse me 6.75 € !!!!!!! Which means I lower my guarantee but I stay at the same price !!!!!! it is bullshit
Please settle my concern in emergency and to lower my price at the same time as I lower my warranty
Otherwise this time if I would really file the DGCCRF complaints
It is not normal for a price to be the same alor that he offers the same service
In addition I am a customer !!!! And I don't understand Prq you tax me more than a new customer
This is how you treat your Fidel customers
</v>
      </c>
    </row>
    <row r="332" ht="15.75" customHeight="1">
      <c r="A332" s="3">
        <v>3.0</v>
      </c>
      <c r="B332" s="3" t="s">
        <v>1060</v>
      </c>
      <c r="C332" s="3" t="s">
        <v>1061</v>
      </c>
      <c r="D332" s="3" t="s">
        <v>20</v>
      </c>
      <c r="E332" s="3" t="s">
        <v>21</v>
      </c>
      <c r="F332" s="3" t="s">
        <v>15</v>
      </c>
      <c r="G332" s="3" t="s">
        <v>1025</v>
      </c>
      <c r="H332" s="3" t="s">
        <v>224</v>
      </c>
      <c r="I332" s="3" t="str">
        <f>IFERROR(__xludf.DUMMYFUNCTION("GOOGLETRANSLATE(C332,""fr"",""en"")"),"Quick service, fairly clear now to see in time when there is a problem, see their availability. Correct price for a 50cc cordially")</f>
        <v>Quick service, fairly clear now to see in time when there is a problem, see their availability. Correct price for a 50cc cordially</v>
      </c>
    </row>
    <row r="333" ht="15.75" customHeight="1">
      <c r="A333" s="3">
        <v>3.0</v>
      </c>
      <c r="B333" s="3" t="s">
        <v>1062</v>
      </c>
      <c r="C333" s="3" t="s">
        <v>1063</v>
      </c>
      <c r="D333" s="3" t="s">
        <v>55</v>
      </c>
      <c r="E333" s="3" t="s">
        <v>14</v>
      </c>
      <c r="F333" s="3" t="s">
        <v>15</v>
      </c>
      <c r="G333" s="3" t="s">
        <v>1064</v>
      </c>
      <c r="H333" s="3" t="s">
        <v>216</v>
      </c>
      <c r="I333" s="3" t="str">
        <f>IFERROR(__xludf.DUMMYFUNCTION("GOOGLETRANSLATE(C333,""fr"",""en"")"),"Customer 315159. I subscribed to them after seeing all the comments. I send all the documents in email. I have called customer service twice that confirmed to me having received everything and this morning I receive an email telling me that they are still"&amp;" waiting for my documents. Indeed I am starting to be a little afraid ....")</f>
        <v>Customer 315159. I subscribed to them after seeing all the comments. I send all the documents in email. I have called customer service twice that confirmed to me having received everything and this morning I receive an email telling me that they are still waiting for my documents. Indeed I am starting to be a little afraid ....</v>
      </c>
    </row>
    <row r="334" ht="15.75" customHeight="1">
      <c r="A334" s="3">
        <v>5.0</v>
      </c>
      <c r="B334" s="3" t="s">
        <v>1065</v>
      </c>
      <c r="C334" s="3" t="s">
        <v>1066</v>
      </c>
      <c r="D334" s="3" t="s">
        <v>89</v>
      </c>
      <c r="E334" s="3" t="s">
        <v>33</v>
      </c>
      <c r="F334" s="3" t="s">
        <v>15</v>
      </c>
      <c r="G334" s="3" t="s">
        <v>1067</v>
      </c>
      <c r="H334" s="3" t="s">
        <v>321</v>
      </c>
      <c r="I334" s="3" t="str">
        <f>IFERROR(__xludf.DUMMYFUNCTION("GOOGLETRANSLATE(C334,""fr"",""en"")"),"For more than 40 years at MAIF, fully satisfied in all areas: housing, vehicles, etc.")</f>
        <v>For more than 40 years at MAIF, fully satisfied in all areas: housing, vehicles, etc.</v>
      </c>
    </row>
    <row r="335" ht="15.75" customHeight="1">
      <c r="A335" s="3">
        <v>4.0</v>
      </c>
      <c r="B335" s="3" t="s">
        <v>1068</v>
      </c>
      <c r="C335" s="3" t="s">
        <v>1069</v>
      </c>
      <c r="D335" s="3" t="s">
        <v>32</v>
      </c>
      <c r="E335" s="3" t="s">
        <v>14</v>
      </c>
      <c r="F335" s="3" t="s">
        <v>15</v>
      </c>
      <c r="G335" s="3" t="s">
        <v>1070</v>
      </c>
      <c r="H335" s="3" t="s">
        <v>165</v>
      </c>
      <c r="I335" s="3" t="str">
        <f>IFERROR(__xludf.DUMMYFUNCTION("GOOGLETRANSLATE(C335,""fr"",""en"")"),"Satisfied on home and automotive insurance
Legal protection insurance, life accidents do not meet my expectations ...
")</f>
        <v>Satisfied on home and automotive insurance
Legal protection insurance, life accidents do not meet my expectations ...
</v>
      </c>
    </row>
    <row r="336" ht="15.75" customHeight="1">
      <c r="A336" s="3">
        <v>2.0</v>
      </c>
      <c r="B336" s="3" t="s">
        <v>1071</v>
      </c>
      <c r="C336" s="3" t="s">
        <v>1072</v>
      </c>
      <c r="D336" s="3" t="s">
        <v>509</v>
      </c>
      <c r="E336" s="3" t="s">
        <v>14</v>
      </c>
      <c r="F336" s="3" t="s">
        <v>15</v>
      </c>
      <c r="G336" s="3" t="s">
        <v>1015</v>
      </c>
      <c r="H336" s="3" t="s">
        <v>191</v>
      </c>
      <c r="I336" s="3" t="str">
        <f>IFERROR(__xludf.DUMMYFUNCTION("GOOGLETRANSLATE(C336,""fr"",""en"")"),"No qualms about getting rid of customers who do not bring them enough. Apparently I am far from being the only one to have been thanked after an accident (even if I had none of it the ten years before, but that they don't care). In short, I strongly advis"&amp;"e against.")</f>
        <v>No qualms about getting rid of customers who do not bring them enough. Apparently I am far from being the only one to have been thanked after an accident (even if I had none of it the ten years before, but that they don't care). In short, I strongly advise against.</v>
      </c>
    </row>
    <row r="337" ht="15.75" customHeight="1">
      <c r="A337" s="3">
        <v>1.0</v>
      </c>
      <c r="B337" s="3" t="s">
        <v>1073</v>
      </c>
      <c r="C337" s="3" t="s">
        <v>1074</v>
      </c>
      <c r="D337" s="3" t="s">
        <v>108</v>
      </c>
      <c r="E337" s="3" t="s">
        <v>109</v>
      </c>
      <c r="F337" s="3" t="s">
        <v>15</v>
      </c>
      <c r="G337" s="3" t="s">
        <v>1075</v>
      </c>
      <c r="H337" s="3" t="s">
        <v>236</v>
      </c>
      <c r="I337" s="3" t="str">
        <f>IFERROR(__xludf.DUMMYFUNCTION("GOOGLETRANSLATE(C337,""fr"",""en"")"),"Unreachable and dear see very dear exceeding fees not taken care of. . Absolutely avoid")</f>
        <v>Unreachable and dear see very dear exceeding fees not taken care of. . Absolutely avoid</v>
      </c>
    </row>
    <row r="338" ht="15.75" customHeight="1">
      <c r="A338" s="3">
        <v>1.0</v>
      </c>
      <c r="B338" s="3" t="s">
        <v>1076</v>
      </c>
      <c r="C338" s="3" t="s">
        <v>1077</v>
      </c>
      <c r="D338" s="3" t="s">
        <v>42</v>
      </c>
      <c r="E338" s="3" t="s">
        <v>14</v>
      </c>
      <c r="F338" s="3" t="s">
        <v>15</v>
      </c>
      <c r="G338" s="3" t="s">
        <v>155</v>
      </c>
      <c r="H338" s="3" t="s">
        <v>39</v>
      </c>
      <c r="I338" s="3" t="str">
        <f>IFERROR(__xludf.DUMMYFUNCTION("GOOGLETRANSLATE(C338,""fr"",""en"")"),"Insured at home for several years with 50% of bonuses no claim, it does not stop increased contributions each year instead of the decrease, I change insurance")</f>
        <v>Insured at home for several years with 50% of bonuses no claim, it does not stop increased contributions each year instead of the decrease, I change insurance</v>
      </c>
    </row>
    <row r="339" ht="15.75" customHeight="1">
      <c r="A339" s="3">
        <v>2.0</v>
      </c>
      <c r="B339" s="3" t="s">
        <v>1078</v>
      </c>
      <c r="C339" s="3" t="s">
        <v>1079</v>
      </c>
      <c r="D339" s="3" t="s">
        <v>42</v>
      </c>
      <c r="E339" s="3" t="s">
        <v>14</v>
      </c>
      <c r="F339" s="3" t="s">
        <v>15</v>
      </c>
      <c r="G339" s="3" t="s">
        <v>699</v>
      </c>
      <c r="H339" s="3" t="s">
        <v>44</v>
      </c>
      <c r="I339" s="3" t="str">
        <f>IFERROR(__xludf.DUMMYFUNCTION("GOOGLETRANSLATE(C339,""fr"",""en"")"),"The prices increase rather quickly + from € 80 of increase on the contract of our C4 in 2 years when we had no claim, I find it a little exaggerated ....")</f>
        <v>The prices increase rather quickly + from € 80 of increase on the contract of our C4 in 2 years when we had no claim, I find it a little exaggerated ....</v>
      </c>
    </row>
    <row r="340" ht="15.75" customHeight="1">
      <c r="A340" s="3">
        <v>1.0</v>
      </c>
      <c r="B340" s="3" t="s">
        <v>1080</v>
      </c>
      <c r="C340" s="3" t="s">
        <v>1081</v>
      </c>
      <c r="D340" s="3" t="s">
        <v>42</v>
      </c>
      <c r="E340" s="3" t="s">
        <v>14</v>
      </c>
      <c r="F340" s="3" t="s">
        <v>15</v>
      </c>
      <c r="G340" s="3" t="s">
        <v>388</v>
      </c>
      <c r="H340" s="3" t="s">
        <v>165</v>
      </c>
      <c r="I340" s="3" t="str">
        <f>IFERROR(__xludf.DUMMYFUNCTION("GOOGLETRANSLATE(C340,""fr"",""en"")"),"Price that increases without reason, it is no longer the direct insurance of the other times ..... Pretext of the bogus patterns to justify the increases .....")</f>
        <v>Price that increases without reason, it is no longer the direct insurance of the other times ..... Pretext of the bogus patterns to justify the increases .....</v>
      </c>
    </row>
    <row r="341" ht="15.75" customHeight="1">
      <c r="A341" s="3">
        <v>5.0</v>
      </c>
      <c r="B341" s="3" t="s">
        <v>1082</v>
      </c>
      <c r="C341" s="3" t="s">
        <v>1083</v>
      </c>
      <c r="D341" s="3" t="s">
        <v>42</v>
      </c>
      <c r="E341" s="3" t="s">
        <v>14</v>
      </c>
      <c r="F341" s="3" t="s">
        <v>15</v>
      </c>
      <c r="G341" s="3" t="s">
        <v>372</v>
      </c>
      <c r="H341" s="3" t="s">
        <v>115</v>
      </c>
      <c r="I341" s="3" t="str">
        <f>IFERROR(__xludf.DUMMYFUNCTION("GOOGLETRANSLATE(C341,""fr"",""en"")"),"I am completely satisfied, thank you direct insurance, top service, I have nothing to say.
Everything was easy, the contract subscription form was clear and easy to understand, I really recommend direct insurance !!!")</f>
        <v>I am completely satisfied, thank you direct insurance, top service, I have nothing to say.
Everything was easy, the contract subscription form was clear and easy to understand, I really recommend direct insurance !!!</v>
      </c>
    </row>
    <row r="342" ht="15.75" customHeight="1">
      <c r="A342" s="3">
        <v>1.0</v>
      </c>
      <c r="B342" s="3" t="s">
        <v>1084</v>
      </c>
      <c r="C342" s="3" t="s">
        <v>1085</v>
      </c>
      <c r="D342" s="3" t="s">
        <v>81</v>
      </c>
      <c r="E342" s="3" t="s">
        <v>14</v>
      </c>
      <c r="F342" s="3" t="s">
        <v>15</v>
      </c>
      <c r="G342" s="3" t="s">
        <v>1086</v>
      </c>
      <c r="H342" s="3" t="s">
        <v>534</v>
      </c>
      <c r="I342" s="3" t="str">
        <f>IFERROR(__xludf.DUMMYFUNCTION("GOOGLETRANSLATE(C342,""fr"",""en"")"),"Macif member for more than 20 years with Zero sinister has my credit (apartment, car, motorcycle). I got fractured the window of my car and stole everything there was inside (2500 euros in equipment). The Macif tells me that I did not take the personal ef"&amp;"fect option. I didn't even know that it existed. But 20 years customer, bonus 50% motorcycle car, no claim. It's a bit hard to swallow. Loyalty is useless. It's sad.")</f>
        <v>Macif member for more than 20 years with Zero sinister has my credit (apartment, car, motorcycle). I got fractured the window of my car and stole everything there was inside (2500 euros in equipment). The Macif tells me that I did not take the personal effect option. I didn't even know that it existed. But 20 years customer, bonus 50% motorcycle car, no claim. It's a bit hard to swallow. Loyalty is useless. It's sad.</v>
      </c>
    </row>
    <row r="343" ht="15.75" customHeight="1">
      <c r="A343" s="3">
        <v>2.0</v>
      </c>
      <c r="B343" s="3" t="s">
        <v>1087</v>
      </c>
      <c r="C343" s="3" t="s">
        <v>1088</v>
      </c>
      <c r="D343" s="3" t="s">
        <v>42</v>
      </c>
      <c r="E343" s="3" t="s">
        <v>14</v>
      </c>
      <c r="F343" s="3" t="s">
        <v>15</v>
      </c>
      <c r="G343" s="3" t="s">
        <v>1089</v>
      </c>
      <c r="H343" s="3" t="s">
        <v>337</v>
      </c>
      <c r="I343" s="3" t="str">
        <f>IFERROR(__xludf.DUMMYFUNCTION("GOOGLETRANSLATE(C343,""fr"",""en"")"),"I will not give an opinion on the loss regulations since not had the opportunity to ""test"".
On the other hand, systematic increases of 10% per year are not acceptable given my profile (no claim, few km, bonus max 50% for years and years.): From 280th t"&amp;"o more than 380th 3 years later. .. In short search for a new insurer in progress!")</f>
        <v>I will not give an opinion on the loss regulations since not had the opportunity to "test".
On the other hand, systematic increases of 10% per year are not acceptable given my profile (no claim, few km, bonus max 50% for years and years.): From 280th to more than 380th 3 years later. .. In short search for a new insurer in progress!</v>
      </c>
    </row>
    <row r="344" ht="15.75" customHeight="1">
      <c r="A344" s="3">
        <v>1.0</v>
      </c>
      <c r="B344" s="3" t="s">
        <v>1090</v>
      </c>
      <c r="C344" s="3" t="s">
        <v>1091</v>
      </c>
      <c r="D344" s="3" t="s">
        <v>42</v>
      </c>
      <c r="E344" s="3" t="s">
        <v>14</v>
      </c>
      <c r="F344" s="3" t="s">
        <v>15</v>
      </c>
      <c r="G344" s="3" t="s">
        <v>605</v>
      </c>
      <c r="H344" s="3" t="s">
        <v>517</v>
      </c>
      <c r="I344" s="3" t="str">
        <f>IFERROR(__xludf.DUMMYFUNCTION("GOOGLETRANSLATE(C344,""fr"",""en"")"),"I have been assured at Direct Insurance for 2 years and the prices are still so expensive, at the beginning in 2015 I accepted under the pretext of the young driver, and after 2 years I pay practically the same sum, despite that I am without sinister and "&amp;"bonus in positive evolution. What I find really a shame, that new customers benefit from a much cheaper rate, I am at 56 euros per month and I make a quote as a new customer and there surprise, 42 euros for the same maximum options. I call customer servic"&amp;"e to request a commercial gesture and the agent answers me in a dry way it's like that sir we can do nothing for you. In short if no positive response I terminate, the competitors offer good prices.")</f>
        <v>I have been assured at Direct Insurance for 2 years and the prices are still so expensive, at the beginning in 2015 I accepted under the pretext of the young driver, and after 2 years I pay practically the same sum, despite that I am without sinister and bonus in positive evolution. What I find really a shame, that new customers benefit from a much cheaper rate, I am at 56 euros per month and I make a quote as a new customer and there surprise, 42 euros for the same maximum options. I call customer service to request a commercial gesture and the agent answers me in a dry way it's like that sir we can do nothing for you. In short if no positive response I terminate, the competitors offer good prices.</v>
      </c>
    </row>
    <row r="345" ht="15.75" customHeight="1">
      <c r="A345" s="3">
        <v>5.0</v>
      </c>
      <c r="B345" s="3" t="s">
        <v>1092</v>
      </c>
      <c r="C345" s="3" t="s">
        <v>1093</v>
      </c>
      <c r="D345" s="3" t="s">
        <v>13</v>
      </c>
      <c r="E345" s="3" t="s">
        <v>14</v>
      </c>
      <c r="F345" s="3" t="s">
        <v>15</v>
      </c>
      <c r="G345" s="3" t="s">
        <v>1094</v>
      </c>
      <c r="H345" s="3" t="s">
        <v>345</v>
      </c>
      <c r="I345" s="3" t="str">
        <f>IFERROR(__xludf.DUMMYFUNCTION("GOOGLETRANSLATE(C345,""fr"",""en"")"),"I changed insurer and I saved 10 euros per month for exactly the same guarantees, the advisor was very available to answer my questions")</f>
        <v>I changed insurer and I saved 10 euros per month for exactly the same guarantees, the advisor was very available to answer my questions</v>
      </c>
    </row>
    <row r="346" ht="15.75" customHeight="1">
      <c r="A346" s="3">
        <v>2.0</v>
      </c>
      <c r="B346" s="3" t="s">
        <v>1095</v>
      </c>
      <c r="C346" s="3" t="s">
        <v>1096</v>
      </c>
      <c r="D346" s="3" t="s">
        <v>47</v>
      </c>
      <c r="E346" s="3" t="s">
        <v>14</v>
      </c>
      <c r="F346" s="3" t="s">
        <v>15</v>
      </c>
      <c r="G346" s="3" t="s">
        <v>1097</v>
      </c>
      <c r="H346" s="3" t="s">
        <v>274</v>
      </c>
      <c r="I346" s="3" t="str">
        <f>IFERROR(__xludf.DUMMYFUNCTION("GOOGLETRANSLATE(C346,""fr"",""en"")"),"I asked to lower the price of my insurance this is not possible for the difference I keep my insurance for the moment before finding cheaper insurance !!!")</f>
        <v>I asked to lower the price of my insurance this is not possible for the difference I keep my insurance for the moment before finding cheaper insurance !!!</v>
      </c>
    </row>
    <row r="347" ht="15.75" customHeight="1">
      <c r="A347" s="3">
        <v>1.0</v>
      </c>
      <c r="B347" s="3" t="s">
        <v>1098</v>
      </c>
      <c r="C347" s="3" t="s">
        <v>1099</v>
      </c>
      <c r="D347" s="3" t="s">
        <v>89</v>
      </c>
      <c r="E347" s="3" t="s">
        <v>33</v>
      </c>
      <c r="F347" s="3" t="s">
        <v>15</v>
      </c>
      <c r="G347" s="3" t="s">
        <v>1100</v>
      </c>
      <c r="H347" s="3" t="s">
        <v>52</v>
      </c>
      <c r="I347" s="3" t="str">
        <f>IFERROR(__xludf.DUMMYFUNCTION("GOOGLETRANSLATE(C347,""fr"",""en"")"),"Catastrophic - Flee !!
Insurance which after more than 20 years without claim, decides to terminate you because for the year 2019 had been deemed too expensive! A shame! Likewise, for several months more than doubtful management, missing information, int"&amp;"erlocutors without skills or involvement ...")</f>
        <v>Catastrophic - Flee !!
Insurance which after more than 20 years without claim, decides to terminate you because for the year 2019 had been deemed too expensive! A shame! Likewise, for several months more than doubtful management, missing information, interlocutors without skills or involvement ...</v>
      </c>
    </row>
    <row r="348" ht="15.75" customHeight="1">
      <c r="A348" s="3">
        <v>5.0</v>
      </c>
      <c r="B348" s="3" t="s">
        <v>1101</v>
      </c>
      <c r="C348" s="3" t="s">
        <v>1102</v>
      </c>
      <c r="D348" s="3" t="s">
        <v>20</v>
      </c>
      <c r="E348" s="3" t="s">
        <v>21</v>
      </c>
      <c r="F348" s="3" t="s">
        <v>15</v>
      </c>
      <c r="G348" s="3" t="s">
        <v>1103</v>
      </c>
      <c r="H348" s="3" t="s">
        <v>165</v>
      </c>
      <c r="I348" s="3" t="str">
        <f>IFERROR(__xludf.DUMMYFUNCTION("GOOGLETRANSLATE(C348,""fr"",""en"")"),"Fast, simple and efficient. Being able to do this online makes things even easier. The prices are more than well, and be based in France with French employees, what more could you ask for.")</f>
        <v>Fast, simple and efficient. Being able to do this online makes things even easier. The prices are more than well, and be based in France with French employees, what more could you ask for.</v>
      </c>
    </row>
    <row r="349" ht="15.75" customHeight="1">
      <c r="A349" s="3">
        <v>1.0</v>
      </c>
      <c r="B349" s="3" t="s">
        <v>1104</v>
      </c>
      <c r="C349" s="3" t="s">
        <v>1105</v>
      </c>
      <c r="D349" s="3" t="s">
        <v>32</v>
      </c>
      <c r="E349" s="3" t="s">
        <v>14</v>
      </c>
      <c r="F349" s="3" t="s">
        <v>15</v>
      </c>
      <c r="G349" s="3" t="s">
        <v>1106</v>
      </c>
      <c r="H349" s="3" t="s">
        <v>165</v>
      </c>
      <c r="I349" s="3" t="str">
        <f>IFERROR(__xludf.DUMMYFUNCTION("GOOGLETRANSLATE(C349,""fr"",""en"")"),"Hello,
I have defined at them to all risk eco insurance. One day, I have an accident in a standing parking lot and I was not in the vehicle + no identified third party. So I asked for my insurance by thinking that he was going to take care of but no .."&amp;".. because all -risk eco insurance supports that traffic accidents.
So I called customer service by telling them that what he had offered to me was OAS all risk insurance since it does not support 40 - 50 % of all risks. So it's a deceptive title!
I s"&amp;"hould have read my contract better because the advisor had spoken to me only about an important dissemination for the windshield. I will not have taken this insurance which is not all risks insurance. It's marketing.
So I should have read but it is my "&amp;"fault because I signed. Therefore :
- Never take their eco -risk formula which is useless and which should not be called all risks
- The council was very limited during the sossecript
In addition, I therefore put back my dissatisfaction via my GM"&amp;"F space. He reminded me more than a week after via a person from the Enghien agency Les Bains who listened to me without offering anything (she seemed lost) ..... and who sent me a Commercial proposal (without gesture) via an automatic email. They are ema"&amp;"ils sent to prospects as well.
So the customer treatment is also very light. In any case, he does not try to retain. I'm currently looking to leave and yet making new papers to change, don't delight me!
Cordially,
Laurent Le Provost")</f>
        <v>Hello,
I have defined at them to all risk eco insurance. One day, I have an accident in a standing parking lot and I was not in the vehicle + no identified third party. So I asked for my insurance by thinking that he was going to take care of but no .... because all -risk eco insurance supports that traffic accidents.
So I called customer service by telling them that what he had offered to me was OAS all risk insurance since it does not support 40 - 50 % of all risks. So it's a deceptive title!
I should have read my contract better because the advisor had spoken to me only about an important dissemination for the windshield. I will not have taken this insurance which is not all risks insurance. It's marketing.
So I should have read but it is my fault because I signed. Therefore :
- Never take their eco -risk formula which is useless and which should not be called all risks
- The council was very limited during the sossecript
In addition, I therefore put back my dissatisfaction via my GMF space. He reminded me more than a week after via a person from the Enghien agency Les Bains who listened to me without offering anything (she seemed lost) ..... and who sent me a Commercial proposal (without gesture) via an automatic email. They are emails sent to prospects as well.
So the customer treatment is also very light. In any case, he does not try to retain. I'm currently looking to leave and yet making new papers to change, don't delight me!
Cordially,
Laurent Le Provost</v>
      </c>
    </row>
    <row r="350" ht="15.75" customHeight="1">
      <c r="A350" s="3">
        <v>5.0</v>
      </c>
      <c r="B350" s="3" t="s">
        <v>1107</v>
      </c>
      <c r="C350" s="3" t="s">
        <v>1108</v>
      </c>
      <c r="D350" s="3" t="s">
        <v>42</v>
      </c>
      <c r="E350" s="3" t="s">
        <v>14</v>
      </c>
      <c r="F350" s="3" t="s">
        <v>15</v>
      </c>
      <c r="G350" s="3" t="s">
        <v>74</v>
      </c>
      <c r="H350" s="3" t="s">
        <v>75</v>
      </c>
      <c r="I350" s="3" t="str">
        <f>IFERROR(__xludf.DUMMYFUNCTION("GOOGLETRANSLATE(C350,""fr"",""en"")"),"The very simple price to understand
Online quote facility
I even recommend young drivers
:-))
Super site easy to use practical")</f>
        <v>The very simple price to understand
Online quote facility
I even recommend young drivers
:-))
Super site easy to use practical</v>
      </c>
    </row>
    <row r="351" ht="15.75" customHeight="1">
      <c r="A351" s="3">
        <v>2.0</v>
      </c>
      <c r="B351" s="3" t="s">
        <v>1109</v>
      </c>
      <c r="C351" s="3" t="s">
        <v>1110</v>
      </c>
      <c r="D351" s="3" t="s">
        <v>42</v>
      </c>
      <c r="E351" s="3" t="s">
        <v>14</v>
      </c>
      <c r="F351" s="3" t="s">
        <v>15</v>
      </c>
      <c r="G351" s="3" t="s">
        <v>1111</v>
      </c>
      <c r="H351" s="3" t="s">
        <v>71</v>
      </c>
      <c r="I351" s="3" t="str">
        <f>IFERROR(__xludf.DUMMYFUNCTION("GOOGLETRANSLATE(C351,""fr"",""en"")"),"Insurer to flee! Without sinister everything is going well, easy.
I was stolen my vehicle at the end of August, we are in December ... still not compensated ... scandalous!
All the reasons are good for this insurer to try to reduce compensation: from th"&amp;"e start, a pseudo expert gives a highly underestimated value and it is necessary to fight so that an approved car expert takes up the file and coast the vehicle at its fair value.
In short to flee ... Even for a few euros less per year the game is not wo"&amp;"rth the candle !!!!")</f>
        <v>Insurer to flee! Without sinister everything is going well, easy.
I was stolen my vehicle at the end of August, we are in December ... still not compensated ... scandalous!
All the reasons are good for this insurer to try to reduce compensation: from the start, a pseudo expert gives a highly underestimated value and it is necessary to fight so that an approved car expert takes up the file and coast the vehicle at its fair value.
In short to flee ... Even for a few euros less per year the game is not worth the candle !!!!</v>
      </c>
    </row>
    <row r="352" ht="15.75" customHeight="1">
      <c r="A352" s="3">
        <v>3.0</v>
      </c>
      <c r="B352" s="3" t="s">
        <v>1112</v>
      </c>
      <c r="C352" s="3" t="s">
        <v>1113</v>
      </c>
      <c r="D352" s="3" t="s">
        <v>42</v>
      </c>
      <c r="E352" s="3" t="s">
        <v>14</v>
      </c>
      <c r="F352" s="3" t="s">
        <v>15</v>
      </c>
      <c r="G352" s="3" t="s">
        <v>442</v>
      </c>
      <c r="H352" s="3" t="s">
        <v>105</v>
      </c>
      <c r="I352" s="3" t="str">
        <f>IFERROR(__xludf.DUMMYFUNCTION("GOOGLETRANSLATE(C352,""fr"",""en"")"),"Despite the number of years of insurance in your home without any accident it increases from year to year which does what time I am looking for another insurance")</f>
        <v>Despite the number of years of insurance in your home without any accident it increases from year to year which does what time I am looking for another insurance</v>
      </c>
    </row>
    <row r="353" ht="15.75" customHeight="1">
      <c r="A353" s="3">
        <v>5.0</v>
      </c>
      <c r="B353" s="3" t="s">
        <v>1114</v>
      </c>
      <c r="C353" s="3" t="s">
        <v>1115</v>
      </c>
      <c r="D353" s="3" t="s">
        <v>42</v>
      </c>
      <c r="E353" s="3" t="s">
        <v>14</v>
      </c>
      <c r="F353" s="3" t="s">
        <v>15</v>
      </c>
      <c r="G353" s="3" t="s">
        <v>158</v>
      </c>
      <c r="H353" s="3" t="s">
        <v>39</v>
      </c>
      <c r="I353" s="3" t="str">
        <f>IFERROR(__xludf.DUMMYFUNCTION("GOOGLETRANSLATE(C353,""fr"",""en"")"),"I needed to make sure during the day, thanks to the Direct Insurance site I was able to do it simply on my phone. I am very satisfied with the speed of the service and the correct price.")</f>
        <v>I needed to make sure during the day, thanks to the Direct Insurance site I was able to do it simply on my phone. I am very satisfied with the speed of the service and the correct price.</v>
      </c>
    </row>
    <row r="354" ht="15.75" customHeight="1">
      <c r="A354" s="3">
        <v>1.0</v>
      </c>
      <c r="B354" s="3" t="s">
        <v>1116</v>
      </c>
      <c r="C354" s="3" t="s">
        <v>1117</v>
      </c>
      <c r="D354" s="3" t="s">
        <v>140</v>
      </c>
      <c r="E354" s="3" t="s">
        <v>98</v>
      </c>
      <c r="F354" s="3" t="s">
        <v>15</v>
      </c>
      <c r="G354" s="3" t="s">
        <v>1118</v>
      </c>
      <c r="H354" s="3" t="s">
        <v>56</v>
      </c>
      <c r="I354" s="3" t="str">
        <f>IFERROR(__xludf.DUMMYFUNCTION("GOOGLETRANSLATE(C354,""fr"",""en"")"),"Please it is a mutual to take. It's just anything. Am very disappointed with Santiane. Not the possibility of making a termination")</f>
        <v>Please it is a mutual to take. It's just anything. Am very disappointed with Santiane. Not the possibility of making a termination</v>
      </c>
    </row>
    <row r="355" ht="15.75" customHeight="1">
      <c r="A355" s="3">
        <v>4.0</v>
      </c>
      <c r="B355" s="3" t="s">
        <v>1119</v>
      </c>
      <c r="C355" s="3" t="s">
        <v>1120</v>
      </c>
      <c r="D355" s="3" t="s">
        <v>97</v>
      </c>
      <c r="E355" s="3" t="s">
        <v>98</v>
      </c>
      <c r="F355" s="3" t="s">
        <v>15</v>
      </c>
      <c r="G355" s="3" t="s">
        <v>1121</v>
      </c>
      <c r="H355" s="3" t="s">
        <v>898</v>
      </c>
      <c r="I355" s="3" t="str">
        <f>IFERROR(__xludf.DUMMYFUNCTION("GOOGLETRANSLATE(C355,""fr"",""en"")"),"Client for 3 years, I am satisfied with this mutual, the prices are competitive, the reimbursements fast! The customer services is pleasant and responds satisfactably although the waiting time on the phone is quite long! The only downside is to send a let"&amp;"ter: we do not always know who to do it (Santiane or Mutua Gestion or Neoliane!) The site is clear and easy except for quotes where we must call the manager by phone, Too bad! An internet quote would be easier!")</f>
        <v>Client for 3 years, I am satisfied with this mutual, the prices are competitive, the reimbursements fast! The customer services is pleasant and responds satisfactably although the waiting time on the phone is quite long! The only downside is to send a letter: we do not always know who to do it (Santiane or Mutua Gestion or Neoliane!) The site is clear and easy except for quotes where we must call the manager by phone, Too bad! An internet quote would be easier!</v>
      </c>
    </row>
    <row r="356" ht="15.75" customHeight="1">
      <c r="A356" s="3">
        <v>3.0</v>
      </c>
      <c r="B356" s="3" t="s">
        <v>1122</v>
      </c>
      <c r="C356" s="3" t="s">
        <v>1123</v>
      </c>
      <c r="D356" s="3" t="s">
        <v>42</v>
      </c>
      <c r="E356" s="3" t="s">
        <v>14</v>
      </c>
      <c r="F356" s="3" t="s">
        <v>15</v>
      </c>
      <c r="G356" s="3" t="s">
        <v>796</v>
      </c>
      <c r="H356" s="3" t="s">
        <v>115</v>
      </c>
      <c r="I356" s="3" t="str">
        <f>IFERROR(__xludf.DUMMYFUNCTION("GOOGLETRANSLATE(C356,""fr"",""en"")"),"Fairly high price
Given the services and services
Fairly clear telephone advice
A little waiting on the phone
Payment connection problem")</f>
        <v>Fairly high price
Given the services and services
Fairly clear telephone advice
A little waiting on the phone
Payment connection problem</v>
      </c>
    </row>
    <row r="357" ht="15.75" customHeight="1">
      <c r="A357" s="3">
        <v>2.0</v>
      </c>
      <c r="B357" s="3" t="s">
        <v>1124</v>
      </c>
      <c r="C357" s="3" t="s">
        <v>1125</v>
      </c>
      <c r="D357" s="3" t="s">
        <v>13</v>
      </c>
      <c r="E357" s="3" t="s">
        <v>14</v>
      </c>
      <c r="F357" s="3" t="s">
        <v>15</v>
      </c>
      <c r="G357" s="3" t="s">
        <v>656</v>
      </c>
      <c r="H357" s="3" t="s">
        <v>165</v>
      </c>
      <c r="I357" s="3" t="str">
        <f>IFERROR(__xludf.DUMMYFUNCTION("GOOGLETRANSLATE(C357,""fr"",""en"")"),"I am not satisfied with the multi-auto offer, it should be possible to provide different contact details for the various vehicles provided by the 1st subscriber, the same person rarely having several vehicles in his possession.")</f>
        <v>I am not satisfied with the multi-auto offer, it should be possible to provide different contact details for the various vehicles provided by the 1st subscriber, the same person rarely having several vehicles in his possession.</v>
      </c>
    </row>
    <row r="358" ht="15.75" customHeight="1">
      <c r="A358" s="3">
        <v>4.0</v>
      </c>
      <c r="B358" s="3" t="s">
        <v>1126</v>
      </c>
      <c r="C358" s="3" t="s">
        <v>1127</v>
      </c>
      <c r="D358" s="3" t="s">
        <v>81</v>
      </c>
      <c r="E358" s="3" t="s">
        <v>14</v>
      </c>
      <c r="F358" s="3" t="s">
        <v>15</v>
      </c>
      <c r="G358" s="3" t="s">
        <v>1128</v>
      </c>
      <c r="H358" s="3" t="s">
        <v>23</v>
      </c>
      <c r="I358" s="3" t="str">
        <f>IFERROR(__xludf.DUMMYFUNCTION("GOOGLETRANSLATE(C358,""fr"",""en"")"),"I had to use assistance for my broken down vehicle. The vehicle towing was very fast and the car was brought to my usual mechanic in the afternoon. The next day around 11 a.m., my vehicle was repaired. I thank the Macif for having been very fast for the i"&amp;"ntervention and the person I had on the phone was very kind.")</f>
        <v>I had to use assistance for my broken down vehicle. The vehicle towing was very fast and the car was brought to my usual mechanic in the afternoon. The next day around 11 a.m., my vehicle was repaired. I thank the Macif for having been very fast for the intervention and the person I had on the phone was very kind.</v>
      </c>
    </row>
    <row r="359" ht="15.75" customHeight="1">
      <c r="A359" s="3">
        <v>1.0</v>
      </c>
      <c r="B359" s="3" t="s">
        <v>1129</v>
      </c>
      <c r="C359" s="3" t="s">
        <v>1130</v>
      </c>
      <c r="D359" s="3" t="s">
        <v>246</v>
      </c>
      <c r="E359" s="3" t="s">
        <v>33</v>
      </c>
      <c r="F359" s="3" t="s">
        <v>15</v>
      </c>
      <c r="G359" s="3" t="s">
        <v>1131</v>
      </c>
      <c r="H359" s="3" t="s">
        <v>207</v>
      </c>
      <c r="I359" s="3" t="str">
        <f>IFERROR(__xludf.DUMMYFUNCTION("GOOGLETRANSLATE(C359,""fr"",""en"")"),"Very dissatisfied after a disaster the very arrogant expert
come without even the quote
And ultimately no compensation,
After contesting, charge it as reluctant as the so -called expert sends me a letter by email by relying on the expert's report, inde"&amp;"ed not to pay everything is good, I leave Axa with all my contracts and good luck")</f>
        <v>Very dissatisfied after a disaster the very arrogant expert
come without even the quote
And ultimately no compensation,
After contesting, charge it as reluctant as the so -called expert sends me a letter by email by relying on the expert's report, indeed not to pay everything is good, I leave Axa with all my contracts and good luck</v>
      </c>
    </row>
    <row r="360" ht="15.75" customHeight="1">
      <c r="A360" s="3">
        <v>4.0</v>
      </c>
      <c r="B360" s="3" t="s">
        <v>1132</v>
      </c>
      <c r="C360" s="3" t="s">
        <v>1133</v>
      </c>
      <c r="D360" s="3" t="s">
        <v>13</v>
      </c>
      <c r="E360" s="3" t="s">
        <v>14</v>
      </c>
      <c r="F360" s="3" t="s">
        <v>15</v>
      </c>
      <c r="G360" s="3" t="s">
        <v>1134</v>
      </c>
      <c r="H360" s="3" t="s">
        <v>86</v>
      </c>
      <c r="I360" s="3" t="str">
        <f>IFERROR(__xludf.DUMMYFUNCTION("GOOGLETRANSLATE(C360,""fr"",""en"")"),"For the moment, everything is fine, I am satisfied. The online quote was carried out without worries despite the fact that I had some difficulties with my email which was poorly informed")</f>
        <v>For the moment, everything is fine, I am satisfied. The online quote was carried out without worries despite the fact that I had some difficulties with my email which was poorly informed</v>
      </c>
    </row>
    <row r="361" ht="15.75" customHeight="1">
      <c r="A361" s="3">
        <v>1.0</v>
      </c>
      <c r="B361" s="3" t="s">
        <v>1135</v>
      </c>
      <c r="C361" s="3" t="s">
        <v>1136</v>
      </c>
      <c r="D361" s="3" t="s">
        <v>55</v>
      </c>
      <c r="E361" s="3" t="s">
        <v>14</v>
      </c>
      <c r="F361" s="3" t="s">
        <v>15</v>
      </c>
      <c r="G361" s="3" t="s">
        <v>1137</v>
      </c>
      <c r="H361" s="3" t="s">
        <v>105</v>
      </c>
      <c r="I361" s="3" t="str">
        <f>IFERROR(__xludf.DUMMYFUNCTION("GOOGLETRANSLATE(C361,""fr"",""en"")"),"Do not subscribe !!! Certainly the price are slightly lower than other insurers but believe in my catastrophic experience is better paid 10 or 15 euro per month more in a trust insurer than to subscribe to them the day you have a claim even because or a t"&amp;"ermination or simply a change of vehicle it will be the fighting of combat I had a rise in tension I was hospitalized following 5 months of an almost daily relentless telephone exchange that led Nothing ... I had to call on a lawyer and I really do not re"&amp;"ally make the mistake that we and many have made in view of the comments I do not wish my worst enemy to live the Calvary that I lived with this being Disan Insurance which has only the name really")</f>
        <v>Do not subscribe !!! Certainly the price are slightly lower than other insurers but believe in my catastrophic experience is better paid 10 or 15 euro per month more in a trust insurer than to subscribe to them the day you have a claim even because or a termination or simply a change of vehicle it will be the fighting of combat I had a rise in tension I was hospitalized following 5 months of an almost daily relentless telephone exchange that led Nothing ... I had to call on a lawyer and I really do not really make the mistake that we and many have made in view of the comments I do not wish my worst enemy to live the Calvary that I lived with this being Disan Insurance which has only the name really</v>
      </c>
    </row>
    <row r="362" ht="15.75" customHeight="1">
      <c r="A362" s="3">
        <v>4.0</v>
      </c>
      <c r="B362" s="3" t="s">
        <v>1138</v>
      </c>
      <c r="C362" s="3" t="s">
        <v>1139</v>
      </c>
      <c r="D362" s="3" t="s">
        <v>466</v>
      </c>
      <c r="E362" s="3" t="s">
        <v>14</v>
      </c>
      <c r="F362" s="3" t="s">
        <v>15</v>
      </c>
      <c r="G362" s="3" t="s">
        <v>23</v>
      </c>
      <c r="H362" s="3" t="s">
        <v>23</v>
      </c>
      <c r="I362" s="3" t="str">
        <f>IFERROR(__xludf.DUMMYFUNCTION("GOOGLETRANSLATE(C362,""fr"",""en"")"),"Advantageous price for young people even with a lot of horses, to see in the event of an accident. So I cannot put all the stars as long as I have not seen their responsiveness and their competence.")</f>
        <v>Advantageous price for young people even with a lot of horses, to see in the event of an accident. So I cannot put all the stars as long as I have not seen their responsiveness and their competence.</v>
      </c>
    </row>
    <row r="363" ht="15.75" customHeight="1">
      <c r="A363" s="3">
        <v>5.0</v>
      </c>
      <c r="B363" s="3" t="s">
        <v>1140</v>
      </c>
      <c r="C363" s="3" t="s">
        <v>1141</v>
      </c>
      <c r="D363" s="3" t="s">
        <v>42</v>
      </c>
      <c r="E363" s="3" t="s">
        <v>14</v>
      </c>
      <c r="F363" s="3" t="s">
        <v>15</v>
      </c>
      <c r="G363" s="3" t="s">
        <v>1142</v>
      </c>
      <c r="H363" s="3" t="s">
        <v>115</v>
      </c>
      <c r="I363" s="3" t="str">
        <f>IFERROR(__xludf.DUMMYFUNCTION("GOOGLETRANSLATE(C363,""fr"",""en"")"),"Hello,
The price suits me I find it the cheapest on the internet market
And registration and simple and efficient
Regards Madame Chaou
")</f>
        <v>Hello,
The price suits me I find it the cheapest on the internet market
And registration and simple and efficient
Regards Madame Chaou
</v>
      </c>
    </row>
    <row r="364" ht="15.75" customHeight="1">
      <c r="A364" s="3">
        <v>5.0</v>
      </c>
      <c r="B364" s="3" t="s">
        <v>1143</v>
      </c>
      <c r="C364" s="3" t="s">
        <v>1144</v>
      </c>
      <c r="D364" s="3" t="s">
        <v>32</v>
      </c>
      <c r="E364" s="3" t="s">
        <v>14</v>
      </c>
      <c r="F364" s="3" t="s">
        <v>15</v>
      </c>
      <c r="G364" s="3" t="s">
        <v>1145</v>
      </c>
      <c r="H364" s="3" t="s">
        <v>165</v>
      </c>
      <c r="I364" s="3" t="str">
        <f>IFERROR(__xludf.DUMMYFUNCTION("GOOGLETRANSLATE(C364,""fr"",""en"")"),"I am satisfied with the GMF services. That they concern the insured, the beneficiaries, the car, the house, the work. They are very responsive. In addition, the financial products offered are very interesting.")</f>
        <v>I am satisfied with the GMF services. That they concern the insured, the beneficiaries, the car, the house, the work. They are very responsive. In addition, the financial products offered are very interesting.</v>
      </c>
    </row>
    <row r="365" ht="15.75" customHeight="1">
      <c r="A365" s="3">
        <v>4.0</v>
      </c>
      <c r="B365" s="3" t="s">
        <v>1146</v>
      </c>
      <c r="C365" s="3" t="s">
        <v>1147</v>
      </c>
      <c r="D365" s="3" t="s">
        <v>42</v>
      </c>
      <c r="E365" s="3" t="s">
        <v>14</v>
      </c>
      <c r="F365" s="3" t="s">
        <v>15</v>
      </c>
      <c r="G365" s="3" t="s">
        <v>297</v>
      </c>
      <c r="H365" s="3" t="s">
        <v>23</v>
      </c>
      <c r="I365" s="3" t="str">
        <f>IFERROR(__xludf.DUMMYFUNCTION("GOOGLETRANSLATE(C365,""fr"",""en"")"),"I am satisfied to have completed my home insurance quickly and easily with simplified requests.
I would recommend my loved ones to join your services")</f>
        <v>I am satisfied to have completed my home insurance quickly and easily with simplified requests.
I would recommend my loved ones to join your services</v>
      </c>
    </row>
    <row r="366" ht="15.75" customHeight="1">
      <c r="A366" s="3">
        <v>5.0</v>
      </c>
      <c r="B366" s="3" t="s">
        <v>1148</v>
      </c>
      <c r="C366" s="3" t="s">
        <v>1149</v>
      </c>
      <c r="D366" s="3" t="s">
        <v>140</v>
      </c>
      <c r="E366" s="3" t="s">
        <v>98</v>
      </c>
      <c r="F366" s="3" t="s">
        <v>15</v>
      </c>
      <c r="G366" s="3" t="s">
        <v>473</v>
      </c>
      <c r="H366" s="3" t="s">
        <v>39</v>
      </c>
      <c r="I366" s="3" t="str">
        <f>IFERROR(__xludf.DUMMYFUNCTION("GOOGLETRANSLATE(C366,""fr"",""en"")"),"I thank Rawane for his kindness and for having informed me about a banking change. Thank you very much for the information that offered to do.")</f>
        <v>I thank Rawane for his kindness and for having informed me about a banking change. Thank you very much for the information that offered to do.</v>
      </c>
    </row>
    <row r="367" ht="15.75" customHeight="1">
      <c r="A367" s="3">
        <v>1.0</v>
      </c>
      <c r="B367" s="3" t="s">
        <v>1150</v>
      </c>
      <c r="C367" s="3" t="s">
        <v>1151</v>
      </c>
      <c r="D367" s="3" t="s">
        <v>42</v>
      </c>
      <c r="E367" s="3" t="s">
        <v>14</v>
      </c>
      <c r="F367" s="3" t="s">
        <v>15</v>
      </c>
      <c r="G367" s="3" t="s">
        <v>1152</v>
      </c>
      <c r="H367" s="3" t="s">
        <v>86</v>
      </c>
      <c r="I367" s="3" t="str">
        <f>IFERROR(__xludf.DUMMYFUNCTION("GOOGLETRANSLATE(C367,""fr"",""en"")"),"'I had an extremely bad experience I share with Google and Facebook trying to insure my car with your business.
I asked for 4 times if my certificate of 15 years of non-recovery for 55% of my current Spanish insurers was acceptable for the same discoun"&amp;"t with you.
Each time, I was told yes. So I did and paid&gt; February 4, 2021 Payment by mapdirectassurance suresnes 23/02-452.58 €
You then decided that the Spanish declaration was not acceptable and levied 388.72 euros additional from my account - wi"&amp;"thout requesting my authorization, so I canceled the insurance by mail and by email.
I was told that you would reimburse 388.72 but not 452.58!
You have also written today -
Indeed, we deduced from your annual subscription the sum of 14.66 euros co"&amp;"rresponding to the insurance period from 02/24/2021 to 05/03/2021, to which are added 43.30 euros of management fees and 5.90 euros of tax attack.
We remain at your disposal.
Thank you for your understanding.
Cordially,
Fatima zahra
Direct Customer S"&amp;"ervice Insurance
Are you happy with this?
Can I understand the request of 14.66 but the rest? Is that how a renowned company behaves when she made errors on the phone with a potential client?
")</f>
        <v>'I had an extremely bad experience I share with Google and Facebook trying to insure my car with your business.
I asked for 4 times if my certificate of 15 years of non-recovery for 55% of my current Spanish insurers was acceptable for the same discount with you.
Each time, I was told yes. So I did and paid&gt; February 4, 2021 Payment by mapdirectassurance suresnes 23/02-452.58 €
You then decided that the Spanish declaration was not acceptable and levied 388.72 euros additional from my account - without requesting my authorization, so I canceled the insurance by mail and by email.
I was told that you would reimburse 388.72 but not 452.58!
You have also written today -
Indeed, we deduced from your annual subscription the sum of 14.66 euros corresponding to the insurance period from 02/24/2021 to 05/03/2021, to which are added 43.30 euros of management fees and 5.90 euros of tax attack.
We remain at your disposal.
Thank you for your understanding.
Cordially,
Fatima zahra
Direct Customer Service Insurance
Are you happy with this?
Can I understand the request of 14.66 but the rest? Is that how a renowned company behaves when she made errors on the phone with a potential client?
</v>
      </c>
    </row>
    <row r="368" ht="15.75" customHeight="1">
      <c r="A368" s="3">
        <v>1.0</v>
      </c>
      <c r="B368" s="3" t="s">
        <v>1153</v>
      </c>
      <c r="C368" s="3" t="s">
        <v>1154</v>
      </c>
      <c r="D368" s="3" t="s">
        <v>13</v>
      </c>
      <c r="E368" s="3" t="s">
        <v>14</v>
      </c>
      <c r="F368" s="3" t="s">
        <v>15</v>
      </c>
      <c r="G368" s="3" t="s">
        <v>1155</v>
      </c>
      <c r="H368" s="3" t="s">
        <v>1156</v>
      </c>
      <c r="I368" s="3" t="str">
        <f>IFERROR(__xludf.DUMMYFUNCTION("GOOGLETRANSLATE(C368,""fr"",""en"")"),"Hello, I leave a telephone call with the olive assurance. It's scandalous. I explain: I received confirmation from my insurance termination. However, today, a direct debit was requested by the olive assurance from my account. The person I have at the end "&amp;"of the line at the olive tree tells me the termination is well taken into account but we sent the request for direct debit at the beginning of March. At the beginning of March, no but frankly, I received my deadline at the end of March with a big increase"&amp;" without reason because I did not have an accident. I made the termination in time but they asked for the direct debit before even sending me the mail and the person on the phone replies that they can do nothing. I demand the reimbursement of all money wi"&amp;"thin a maximum week otherwise I will file an appeal. Cordially
")</f>
        <v>Hello, I leave a telephone call with the olive assurance. It's scandalous. I explain: I received confirmation from my insurance termination. However, today, a direct debit was requested by the olive assurance from my account. The person I have at the end of the line at the olive tree tells me the termination is well taken into account but we sent the request for direct debit at the beginning of March. At the beginning of March, no but frankly, I received my deadline at the end of March with a big increase without reason because I did not have an accident. I made the termination in time but they asked for the direct debit before even sending me the mail and the person on the phone replies that they can do nothing. I demand the reimbursement of all money within a maximum week otherwise I will file an appeal. Cordially
</v>
      </c>
    </row>
    <row r="369" ht="15.75" customHeight="1">
      <c r="A369" s="3">
        <v>1.0</v>
      </c>
      <c r="B369" s="3" t="s">
        <v>1157</v>
      </c>
      <c r="C369" s="3" t="s">
        <v>1158</v>
      </c>
      <c r="D369" s="3" t="s">
        <v>251</v>
      </c>
      <c r="E369" s="3" t="s">
        <v>27</v>
      </c>
      <c r="F369" s="3" t="s">
        <v>15</v>
      </c>
      <c r="G369" s="3" t="s">
        <v>1159</v>
      </c>
      <c r="H369" s="3" t="s">
        <v>253</v>
      </c>
      <c r="I369" s="3" t="str">
        <f>IFERROR(__xludf.DUMMYFUNCTION("GOOGLETRANSLATE(C369,""fr"",""en"")"),"WHERE IS MY MONEY????
I am the benefit of cardif life insurance subscribed by my mother (BNP Paribas Multiplacements 2 N ° 01469721.0001). In January 2020 the file was complete and some of my brothers received their share. After several emails asking for"&amp;" explanations, here is that on June 21 they answer me that ""after verifications, I note that our dedicated service had initiated the transfer in your favor, on January 10, 2020. That being, the operation did not could succeed and I am sorry.
The success"&amp;"ion service has regularized. Also, a transfer of an amount of X € was sent to you on June 11, integrating the revaluation and the interests of delay due "". Finally, I said to myself, victory !! Hahahaha, no ... always Nothing received, I send another ema"&amp;"il back ... and big surprise with their answer: ""We do everything to study your request and answer you within 30 days. If the study of the file required more time, we will inform you by email of its progress and the additional time required ""
Study my "&amp;"request ??? (As if nothing was done). A period of 30 days to answer me ??? A necessary additional time ???
I do not understand!!! Until when they are going to continue to make fun of us ???
A shame!!! Lamentable !!!
Someone can advise a lawyer to ini"&amp;"tiate the Juduciares Demaches against this band of VO .....?")</f>
        <v>WHERE IS MY MONEY????
I am the benefit of cardif life insurance subscribed by my mother (BNP Paribas Multiplacements 2 N ° 01469721.0001). In January 2020 the file was complete and some of my brothers received their share. After several emails asking for explanations, here is that on June 21 they answer me that "after verifications, I note that our dedicated service had initiated the transfer in your favor, on January 10, 2020. That being, the operation did not could succeed and I am sorry.
The succession service has regularized. Also, a transfer of an amount of X € was sent to you on June 11, integrating the revaluation and the interests of delay due ". Finally, I said to myself, victory !! Hahahaha, no ... always Nothing received, I send another email back ... and big surprise with their answer: "We do everything to study your request and answer you within 30 days. If the study of the file required more time, we will inform you by email of its progress and the additional time required "
Study my request ??? (As if nothing was done). A period of 30 days to answer me ??? A necessary additional time ???
I do not understand!!! Until when they are going to continue to make fun of us ???
A shame!!! Lamentable !!!
Someone can advise a lawyer to initiate the Juduciares Demaches against this band of VO .....?</v>
      </c>
    </row>
    <row r="370" ht="15.75" customHeight="1">
      <c r="A370" s="3">
        <v>4.0</v>
      </c>
      <c r="B370" s="3" t="s">
        <v>1160</v>
      </c>
      <c r="C370" s="3" t="s">
        <v>1161</v>
      </c>
      <c r="D370" s="3" t="s">
        <v>13</v>
      </c>
      <c r="E370" s="3" t="s">
        <v>14</v>
      </c>
      <c r="F370" s="3" t="s">
        <v>15</v>
      </c>
      <c r="G370" s="3" t="s">
        <v>933</v>
      </c>
      <c r="H370" s="3" t="s">
        <v>165</v>
      </c>
      <c r="I370" s="3" t="str">
        <f>IFERROR(__xludf.DUMMYFUNCTION("GOOGLETRANSLATE(C370,""fr"",""en"")"),"Ras continue as that hoping that advertising and conforming to reality
Very pleasant and available and professional welcome load good advice
well done")</f>
        <v>Ras continue as that hoping that advertising and conforming to reality
Very pleasant and available and professional welcome load good advice
well done</v>
      </c>
    </row>
    <row r="371" ht="15.75" customHeight="1">
      <c r="A371" s="3">
        <v>5.0</v>
      </c>
      <c r="B371" s="3" t="s">
        <v>1162</v>
      </c>
      <c r="C371" s="3" t="s">
        <v>1163</v>
      </c>
      <c r="D371" s="3" t="s">
        <v>42</v>
      </c>
      <c r="E371" s="3" t="s">
        <v>14</v>
      </c>
      <c r="F371" s="3" t="s">
        <v>15</v>
      </c>
      <c r="G371" s="3" t="s">
        <v>802</v>
      </c>
      <c r="H371" s="3" t="s">
        <v>115</v>
      </c>
      <c r="I371" s="3" t="str">
        <f>IFERROR(__xludf.DUMMYFUNCTION("GOOGLETRANSLATE(C371,""fr"",""en"")"),"I am satisfied with the service. The questionnaire is simple to follow, everything is well indicated. The price is modular, we can take options; Thank you")</f>
        <v>I am satisfied with the service. The questionnaire is simple to follow, everything is well indicated. The price is modular, we can take options; Thank you</v>
      </c>
    </row>
    <row r="372" ht="15.75" customHeight="1">
      <c r="A372" s="3">
        <v>5.0</v>
      </c>
      <c r="B372" s="3" t="s">
        <v>1164</v>
      </c>
      <c r="C372" s="3" t="s">
        <v>1165</v>
      </c>
      <c r="D372" s="3" t="s">
        <v>42</v>
      </c>
      <c r="E372" s="3" t="s">
        <v>14</v>
      </c>
      <c r="F372" s="3" t="s">
        <v>15</v>
      </c>
      <c r="G372" s="3" t="s">
        <v>1166</v>
      </c>
      <c r="H372" s="3" t="s">
        <v>253</v>
      </c>
      <c r="I372" s="3" t="str">
        <f>IFERROR(__xludf.DUMMYFUNCTION("GOOGLETRANSLATE(C372,""fr"",""en"")"),"I am satisfied with the online service very affordable value for money with what is necessary for the safety of others and of myself I look forward to being insured at home")</f>
        <v>I am satisfied with the online service very affordable value for money with what is necessary for the safety of others and of myself I look forward to being insured at home</v>
      </c>
    </row>
    <row r="373" ht="15.75" customHeight="1">
      <c r="A373" s="3">
        <v>3.0</v>
      </c>
      <c r="B373" s="3" t="s">
        <v>1167</v>
      </c>
      <c r="C373" s="3" t="s">
        <v>1168</v>
      </c>
      <c r="D373" s="3" t="s">
        <v>97</v>
      </c>
      <c r="E373" s="3" t="s">
        <v>98</v>
      </c>
      <c r="F373" s="3" t="s">
        <v>15</v>
      </c>
      <c r="G373" s="3" t="s">
        <v>1169</v>
      </c>
      <c r="H373" s="3" t="s">
        <v>191</v>
      </c>
      <c r="I373" s="3" t="str">
        <f>IFERROR(__xludf.DUMMYFUNCTION("GOOGLETRANSLATE(C373,""fr"",""en"")"),"New Néoliane customer I was impossible for me to contact the brokerage firm (net brokerage insurance) not at the top.
I managed to get in touch with Néoliane")</f>
        <v>New Néoliane customer I was impossible for me to contact the brokerage firm (net brokerage insurance) not at the top.
I managed to get in touch with Néoliane</v>
      </c>
    </row>
    <row r="374" ht="15.75" customHeight="1">
      <c r="A374" s="3">
        <v>1.0</v>
      </c>
      <c r="B374" s="3" t="s">
        <v>1170</v>
      </c>
      <c r="C374" s="3" t="s">
        <v>1171</v>
      </c>
      <c r="D374" s="3" t="s">
        <v>246</v>
      </c>
      <c r="E374" s="3" t="s">
        <v>33</v>
      </c>
      <c r="F374" s="3" t="s">
        <v>15</v>
      </c>
      <c r="G374" s="3" t="s">
        <v>1172</v>
      </c>
      <c r="H374" s="3" t="s">
        <v>439</v>
      </c>
      <c r="I374" s="3" t="str">
        <f>IFERROR(__xludf.DUMMYFUNCTION("GOOGLETRANSLATE(C374,""fr"",""en"")"),"Axa assistance call for a slammed door, which puts me in touch with an approved locksmith. Assistance announces a price to me, and tells me to recall Tuesday to declare the claim. Tuesday the sinister service tells me that he does not take care of the loc"&amp;"ksmith's trip for a slammed door. Why then put me with a very expensive approved locksmith ?? Since we have been at Axa nothing is going well !!")</f>
        <v>Axa assistance call for a slammed door, which puts me in touch with an approved locksmith. Assistance announces a price to me, and tells me to recall Tuesday to declare the claim. Tuesday the sinister service tells me that he does not take care of the locksmith's trip for a slammed door. Why then put me with a very expensive approved locksmith ?? Since we have been at Axa nothing is going well !!</v>
      </c>
    </row>
    <row r="375" ht="15.75" customHeight="1">
      <c r="A375" s="3">
        <v>2.0</v>
      </c>
      <c r="B375" s="3" t="s">
        <v>1173</v>
      </c>
      <c r="C375" s="3" t="s">
        <v>1174</v>
      </c>
      <c r="D375" s="3" t="s">
        <v>246</v>
      </c>
      <c r="E375" s="3" t="s">
        <v>14</v>
      </c>
      <c r="F375" s="3" t="s">
        <v>15</v>
      </c>
      <c r="G375" s="3" t="s">
        <v>1175</v>
      </c>
      <c r="H375" s="3" t="s">
        <v>240</v>
      </c>
      <c r="I375" s="3" t="str">
        <f>IFERROR(__xludf.DUMMYFUNCTION("GOOGLETRANSLATE(C375,""fr"",""en"")"),"I have been the victim of an active water damage by infiltration for 18 months. My wall is saturated with water. I have no more placo, there are molds and insects. 18 months of struggle with an AXA expert who closed the file on several occasions for capil"&amp;"lary lifts, non -guaranteed facade information. Each time I have to fight to open my file. AXA refuses to do research to find out where the water comes from. I am now asked to do work on my roof without knowing if the water comes from the roof. The sinist"&amp;"er platform in Morocco with multiple managers is completely ineffective and I am alone with my disaster. It's hell and I don't know how I'm going to get out of it.")</f>
        <v>I have been the victim of an active water damage by infiltration for 18 months. My wall is saturated with water. I have no more placo, there are molds and insects. 18 months of struggle with an AXA expert who closed the file on several occasions for capillary lifts, non -guaranteed facade information. Each time I have to fight to open my file. AXA refuses to do research to find out where the water comes from. I am now asked to do work on my roof without knowing if the water comes from the roof. The sinister platform in Morocco with multiple managers is completely ineffective and I am alone with my disaster. It's hell and I don't know how I'm going to get out of it.</v>
      </c>
    </row>
    <row r="376" ht="15.75" customHeight="1">
      <c r="A376" s="3">
        <v>1.0</v>
      </c>
      <c r="B376" s="3" t="s">
        <v>1176</v>
      </c>
      <c r="C376" s="3" t="s">
        <v>1177</v>
      </c>
      <c r="D376" s="3" t="s">
        <v>332</v>
      </c>
      <c r="E376" s="3" t="s">
        <v>194</v>
      </c>
      <c r="F376" s="3" t="s">
        <v>15</v>
      </c>
      <c r="G376" s="3" t="s">
        <v>1178</v>
      </c>
      <c r="H376" s="3" t="s">
        <v>23</v>
      </c>
      <c r="I376" s="3" t="str">
        <f>IFERROR(__xludf.DUMMYFUNCTION("GOOGLETRANSLATE(C376,""fr"",""en"")"),"Attention ! Even in a long illness, they are not regular except to harass you for medical form 2 times, I warn town hall for next tender as well as the regional council of Hauts de France.")</f>
        <v>Attention ! Even in a long illness, they are not regular except to harass you for medical form 2 times, I warn town hall for next tender as well as the regional council of Hauts de France.</v>
      </c>
    </row>
    <row r="377" ht="15.75" customHeight="1">
      <c r="A377" s="3">
        <v>4.0</v>
      </c>
      <c r="B377" s="3" t="s">
        <v>1179</v>
      </c>
      <c r="C377" s="3" t="s">
        <v>1180</v>
      </c>
      <c r="D377" s="3" t="s">
        <v>42</v>
      </c>
      <c r="E377" s="3" t="s">
        <v>14</v>
      </c>
      <c r="F377" s="3" t="s">
        <v>15</v>
      </c>
      <c r="G377" s="3" t="s">
        <v>1033</v>
      </c>
      <c r="H377" s="3" t="s">
        <v>75</v>
      </c>
      <c r="I377" s="3" t="str">
        <f>IFERROR(__xludf.DUMMYFUNCTION("GOOGLETRANSLATE(C377,""fr"",""en"")"),"Great, great price, all services are available online so accessible at any time I really recommend this insurance, I recommend it to my friends")</f>
        <v>Great, great price, all services are available online so accessible at any time I really recommend this insurance, I recommend it to my friends</v>
      </c>
    </row>
    <row r="378" ht="15.75" customHeight="1">
      <c r="A378" s="3">
        <v>3.0</v>
      </c>
      <c r="B378" s="3" t="s">
        <v>1181</v>
      </c>
      <c r="C378" s="3" t="s">
        <v>1182</v>
      </c>
      <c r="D378" s="3" t="s">
        <v>97</v>
      </c>
      <c r="E378" s="3" t="s">
        <v>98</v>
      </c>
      <c r="F378" s="3" t="s">
        <v>15</v>
      </c>
      <c r="G378" s="3" t="s">
        <v>821</v>
      </c>
      <c r="H378" s="3" t="s">
        <v>23</v>
      </c>
      <c r="I378" s="3" t="str">
        <f>IFERROR(__xludf.DUMMYFUNCTION("GOOGLETRANSLATE(C378,""fr"",""en"")"),"
I was greeted on the phone by Emeline and I am completely satisfied with the relevance of her answers and her help as well as the kindness of her words")</f>
        <v>
I was greeted on the phone by Emeline and I am completely satisfied with the relevance of her answers and her help as well as the kindness of her words</v>
      </c>
    </row>
    <row r="379" ht="15.75" customHeight="1">
      <c r="A379" s="3">
        <v>3.0</v>
      </c>
      <c r="B379" s="3" t="s">
        <v>1183</v>
      </c>
      <c r="C379" s="3" t="s">
        <v>1184</v>
      </c>
      <c r="D379" s="3" t="s">
        <v>140</v>
      </c>
      <c r="E379" s="3" t="s">
        <v>98</v>
      </c>
      <c r="F379" s="3" t="s">
        <v>15</v>
      </c>
      <c r="G379" s="3" t="s">
        <v>1185</v>
      </c>
      <c r="H379" s="3" t="s">
        <v>304</v>
      </c>
      <c r="I379" s="3" t="str">
        <f>IFERROR(__xludf.DUMMYFUNCTION("GOOGLETRANSLATE(C379,""fr"",""en"")"),"For Nadège")</f>
        <v>For Nadège</v>
      </c>
    </row>
    <row r="380" ht="15.75" customHeight="1">
      <c r="A380" s="3">
        <v>5.0</v>
      </c>
      <c r="B380" s="3" t="s">
        <v>1186</v>
      </c>
      <c r="C380" s="3" t="s">
        <v>1187</v>
      </c>
      <c r="D380" s="3" t="s">
        <v>42</v>
      </c>
      <c r="E380" s="3" t="s">
        <v>14</v>
      </c>
      <c r="F380" s="3" t="s">
        <v>15</v>
      </c>
      <c r="G380" s="3" t="s">
        <v>39</v>
      </c>
      <c r="H380" s="3" t="s">
        <v>39</v>
      </c>
      <c r="I380" s="3" t="str">
        <f>IFERROR(__xludf.DUMMYFUNCTION("GOOGLETRANSLATE(C380,""fr"",""en"")"),"I am satisfied with the service
Prices suit me
Simple and practical
I knew Direct Insurance by advertising on television channels
I am very satisfied.")</f>
        <v>I am satisfied with the service
Prices suit me
Simple and practical
I knew Direct Insurance by advertising on television channels
I am very satisfied.</v>
      </c>
    </row>
    <row r="381" ht="15.75" customHeight="1">
      <c r="A381" s="3">
        <v>1.0</v>
      </c>
      <c r="B381" s="3" t="s">
        <v>1188</v>
      </c>
      <c r="C381" s="3" t="s">
        <v>1189</v>
      </c>
      <c r="D381" s="3" t="s">
        <v>42</v>
      </c>
      <c r="E381" s="3" t="s">
        <v>14</v>
      </c>
      <c r="F381" s="3" t="s">
        <v>15</v>
      </c>
      <c r="G381" s="3" t="s">
        <v>1190</v>
      </c>
      <c r="H381" s="3" t="s">
        <v>429</v>
      </c>
      <c r="I381" s="3" t="str">
        <f>IFERROR(__xludf.DUMMYFUNCTION("GOOGLETRANSLATE(C381,""fr"",""en"")"),"The simulation does not correspond to the final price. Explanation: as I was already insured with them for another car that I sold, I could not benefit from the price announced in the simulation (call price for new customers)!
Except that this condition "&amp;"does not appear anywhere!
Result, I have to pay 20 % more!")</f>
        <v>The simulation does not correspond to the final price. Explanation: as I was already insured with them for another car that I sold, I could not benefit from the price announced in the simulation (call price for new customers)!
Except that this condition does not appear anywhere!
Result, I have to pay 20 % more!</v>
      </c>
    </row>
    <row r="382" ht="15.75" customHeight="1">
      <c r="A382" s="3">
        <v>5.0</v>
      </c>
      <c r="B382" s="3" t="s">
        <v>1191</v>
      </c>
      <c r="C382" s="3" t="s">
        <v>1192</v>
      </c>
      <c r="D382" s="3" t="s">
        <v>97</v>
      </c>
      <c r="E382" s="3" t="s">
        <v>98</v>
      </c>
      <c r="F382" s="3" t="s">
        <v>15</v>
      </c>
      <c r="G382" s="3" t="s">
        <v>540</v>
      </c>
      <c r="H382" s="3" t="s">
        <v>115</v>
      </c>
      <c r="I382" s="3" t="str">
        <f>IFERROR(__xludf.DUMMYFUNCTION("GOOGLETRANSLATE(C382,""fr"",""en"")"),"I have been insured for 3 months and, having not yet received my new card, I have called.
I was very well received by Widad who informed me about the shipment and immediately sent me the up -to -date cards of my wife and me;
Thank you")</f>
        <v>I have been insured for 3 months and, having not yet received my new card, I have called.
I was very well received by Widad who informed me about the shipment and immediately sent me the up -to -date cards of my wife and me;
Thank you</v>
      </c>
    </row>
    <row r="383" ht="15.75" customHeight="1">
      <c r="A383" s="3">
        <v>3.0</v>
      </c>
      <c r="B383" s="3" t="s">
        <v>1193</v>
      </c>
      <c r="C383" s="3" t="s">
        <v>1194</v>
      </c>
      <c r="D383" s="3" t="s">
        <v>704</v>
      </c>
      <c r="E383" s="3" t="s">
        <v>27</v>
      </c>
      <c r="F383" s="3" t="s">
        <v>15</v>
      </c>
      <c r="G383" s="3" t="s">
        <v>1195</v>
      </c>
      <c r="H383" s="3" t="s">
        <v>191</v>
      </c>
      <c r="I383" s="3" t="str">
        <f>IFERROR(__xludf.DUMMYFUNCTION("GOOGLETRANSLATE(C383,""fr"",""en"")"),"I made a payment in November 2019, we are on January 13, 2020 is still not credited on my account what to do unreachable in such")</f>
        <v>I made a payment in November 2019, we are on January 13, 2020 is still not credited on my account what to do unreachable in such</v>
      </c>
    </row>
    <row r="384" ht="15.75" customHeight="1">
      <c r="A384" s="3">
        <v>5.0</v>
      </c>
      <c r="B384" s="3" t="s">
        <v>1196</v>
      </c>
      <c r="C384" s="3" t="s">
        <v>1197</v>
      </c>
      <c r="D384" s="3" t="s">
        <v>32</v>
      </c>
      <c r="E384" s="3" t="s">
        <v>14</v>
      </c>
      <c r="F384" s="3" t="s">
        <v>15</v>
      </c>
      <c r="G384" s="3" t="s">
        <v>572</v>
      </c>
      <c r="H384" s="3" t="s">
        <v>23</v>
      </c>
      <c r="I384" s="3" t="str">
        <f>IFERROR(__xludf.DUMMYFUNCTION("GOOGLETRANSLATE(C384,""fr"",""en"")"),"Satisfied with the service and practice. Home in a pleasant agency and all the answers to the questions asked are clear. Fast service without too much waiting.")</f>
        <v>Satisfied with the service and practice. Home in a pleasant agency and all the answers to the questions asked are clear. Fast service without too much waiting.</v>
      </c>
    </row>
    <row r="385" ht="15.75" customHeight="1">
      <c r="A385" s="3">
        <v>3.0</v>
      </c>
      <c r="B385" s="3" t="s">
        <v>1198</v>
      </c>
      <c r="C385" s="3" t="s">
        <v>1199</v>
      </c>
      <c r="D385" s="3" t="s">
        <v>42</v>
      </c>
      <c r="E385" s="3" t="s">
        <v>14</v>
      </c>
      <c r="F385" s="3" t="s">
        <v>15</v>
      </c>
      <c r="G385" s="3" t="s">
        <v>39</v>
      </c>
      <c r="H385" s="3" t="s">
        <v>39</v>
      </c>
      <c r="I385" s="3" t="str">
        <f>IFERROR(__xludf.DUMMYFUNCTION("GOOGLETRANSLATE(C385,""fr"",""en"")"),"I cannot decide on the service since I have yet to benefit from anything.
As for the price. This is correct, to see if the insurance is up to par.")</f>
        <v>I cannot decide on the service since I have yet to benefit from anything.
As for the price. This is correct, to see if the insurance is up to par.</v>
      </c>
    </row>
    <row r="386" ht="15.75" customHeight="1">
      <c r="A386" s="3">
        <v>1.0</v>
      </c>
      <c r="B386" s="3" t="s">
        <v>1200</v>
      </c>
      <c r="C386" s="3" t="s">
        <v>1201</v>
      </c>
      <c r="D386" s="3" t="s">
        <v>246</v>
      </c>
      <c r="E386" s="3" t="s">
        <v>14</v>
      </c>
      <c r="F386" s="3" t="s">
        <v>15</v>
      </c>
      <c r="G386" s="3" t="s">
        <v>28</v>
      </c>
      <c r="H386" s="3" t="s">
        <v>29</v>
      </c>
      <c r="I386" s="3" t="str">
        <f>IFERROR(__xludf.DUMMYFUNCTION("GOOGLETRANSLATE(C386,""fr"",""en"")"),"The price of my auto contract grows from year to years despite a certain exemplarity on the road. I was not involved in any road accident in three years at home. So I decided to go and see elsewhere, at an insurer who offers me a half price for me.
How"&amp;"ever, Axa is clever. They delay the issuance of the information statement, essential for a suspension from said new insurer. It's been 3 weeks since I made my request.
I make my first request for the famous statement on September 24 on my customer area"&amp;", and receive confirmation that my request has been taken into account and that I will receive the information statement by mail. Good.
Two weeks pass, no information statement. I contact them by phone, the lady retorts to me that they called me on Sep"&amp;"tember 24 (the same evening of my request), to ask me if I had asked to receive an information statement and as I do not did not answer this call, they left my request in status quo ... No comment.
Either. I redo my request, she replied that my informa"&amp;"tion statement will arrive within three working days. We are a week later, nothing. Of course the quote I have made elsewhere goes on its term. Clever, clever, axa.
By searching the internet, I noticed that my situation, as for this famous information "&amp;"statement, is not isolated. Obtenur is a real cross chein.
This is all the more fun in 3 and a half years of contract, I have never called on the AXA services. It is finally when I want to go and see elsewhere that they cause me wrong and thus confirm "&amp;"my desire .. to go see elsewhere.")</f>
        <v>The price of my auto contract grows from year to years despite a certain exemplarity on the road. I was not involved in any road accident in three years at home. So I decided to go and see elsewhere, at an insurer who offers me a half price for me.
However, Axa is clever. They delay the issuance of the information statement, essential for a suspension from said new insurer. It's been 3 weeks since I made my request.
I make my first request for the famous statement on September 24 on my customer area, and receive confirmation that my request has been taken into account and that I will receive the information statement by mail. Good.
Two weeks pass, no information statement. I contact them by phone, the lady retorts to me that they called me on September 24 (the same evening of my request), to ask me if I had asked to receive an information statement and as I do not did not answer this call, they left my request in status quo ... No comment.
Either. I redo my request, she replied that my information statement will arrive within three working days. We are a week later, nothing. Of course the quote I have made elsewhere goes on its term. Clever, clever, axa.
By searching the internet, I noticed that my situation, as for this famous information statement, is not isolated. Obtenur is a real cross chein.
This is all the more fun in 3 and a half years of contract, I have never called on the AXA services. It is finally when I want to go and see elsewhere that they cause me wrong and thus confirm my desire .. to go see elsewhere.</v>
      </c>
    </row>
    <row r="387" ht="15.75" customHeight="1">
      <c r="A387" s="3">
        <v>3.0</v>
      </c>
      <c r="B387" s="3" t="s">
        <v>1202</v>
      </c>
      <c r="C387" s="3" t="s">
        <v>1203</v>
      </c>
      <c r="D387" s="3" t="s">
        <v>13</v>
      </c>
      <c r="E387" s="3" t="s">
        <v>14</v>
      </c>
      <c r="F387" s="3" t="s">
        <v>15</v>
      </c>
      <c r="G387" s="3" t="s">
        <v>1204</v>
      </c>
      <c r="H387" s="3" t="s">
        <v>115</v>
      </c>
      <c r="I387" s="3" t="str">
        <f>IFERROR(__xludf.DUMMYFUNCTION("GOOGLETRANSLATE(C387,""fr"",""en"")"),"I am satisfied with the service The price suits me simple and easy registration The documents are well readable.
But small problem in the questions for the quote")</f>
        <v>I am satisfied with the service The price suits me simple and easy registration The documents are well readable.
But small problem in the questions for the quote</v>
      </c>
    </row>
    <row r="388" ht="15.75" customHeight="1">
      <c r="A388" s="3">
        <v>1.0</v>
      </c>
      <c r="B388" s="3" t="s">
        <v>1205</v>
      </c>
      <c r="C388" s="3" t="s">
        <v>1206</v>
      </c>
      <c r="D388" s="3" t="s">
        <v>1207</v>
      </c>
      <c r="E388" s="3" t="s">
        <v>98</v>
      </c>
      <c r="F388" s="3" t="s">
        <v>15</v>
      </c>
      <c r="G388" s="3" t="s">
        <v>1208</v>
      </c>
      <c r="H388" s="3" t="s">
        <v>248</v>
      </c>
      <c r="I388" s="3" t="str">
        <f>IFERROR(__xludf.DUMMYFUNCTION("GOOGLETRANSLATE(C388,""fr"",""en"")"),"I am awaiting a refund on a glasses invoice since July 2016 !!! Despite my regular calls (almost every month) nothing advances. I tell the whole story every time I call, each time the file is transmitted to ""management"" and nothing happens. My interlocu"&amp;"tors regularly ask me for documents that I have already sent. There is no way to be related to a manager or with a person with the power to advance the file. It's scandalous.")</f>
        <v>I am awaiting a refund on a glasses invoice since July 2016 !!! Despite my regular calls (almost every month) nothing advances. I tell the whole story every time I call, each time the file is transmitted to "management" and nothing happens. My interlocutors regularly ask me for documents that I have already sent. There is no way to be related to a manager or with a person with the power to advance the file. It's scandalous.</v>
      </c>
    </row>
    <row r="389" ht="15.75" customHeight="1">
      <c r="A389" s="3">
        <v>2.0</v>
      </c>
      <c r="B389" s="3" t="s">
        <v>1209</v>
      </c>
      <c r="C389" s="3" t="s">
        <v>1210</v>
      </c>
      <c r="D389" s="3" t="s">
        <v>42</v>
      </c>
      <c r="E389" s="3" t="s">
        <v>14</v>
      </c>
      <c r="F389" s="3" t="s">
        <v>15</v>
      </c>
      <c r="G389" s="3" t="s">
        <v>422</v>
      </c>
      <c r="H389" s="3" t="s">
        <v>71</v>
      </c>
      <c r="I389" s="3" t="str">
        <f>IFERROR(__xludf.DUMMYFUNCTION("GOOGLETRANSLATE(C389,""fr"",""en"")"),"Direct Insurance takes its customers !!! Even good *bonus 50% for over 13 years *for pigeons !!! The 1st year Happy Call Price 2 years Plus 8% increase, ??? Answer give it is normal it is to attract the customer* well seen* This increase represents 4 time"&amp;"s the increase in other insurance after several complaints nothing was done !!! No commercial gesture; ashamed;;;; I take note")</f>
        <v>Direct Insurance takes its customers !!! Even good *bonus 50% for over 13 years *for pigeons !!! The 1st year Happy Call Price 2 years Plus 8% increase, ??? Answer give it is normal it is to attract the customer* well seen* This increase represents 4 times the increase in other insurance after several complaints nothing was done !!! No commercial gesture; ashamed;;;; I take note</v>
      </c>
    </row>
    <row r="390" ht="15.75" customHeight="1">
      <c r="A390" s="3">
        <v>1.0</v>
      </c>
      <c r="B390" s="3" t="s">
        <v>1211</v>
      </c>
      <c r="C390" s="3" t="s">
        <v>1212</v>
      </c>
      <c r="D390" s="3" t="s">
        <v>78</v>
      </c>
      <c r="E390" s="3" t="s">
        <v>850</v>
      </c>
      <c r="F390" s="3" t="s">
        <v>15</v>
      </c>
      <c r="G390" s="3" t="s">
        <v>1213</v>
      </c>
      <c r="H390" s="3" t="s">
        <v>165</v>
      </c>
      <c r="I390" s="3" t="str">
        <f>IFERROR(__xludf.DUMMYFUNCTION("GOOGLETRANSLATE(C390,""fr"",""en"")"),"Take your contract and save money.
I terminate my ""Association Insurance"" contract following non -response from my Allianz insurer to a contribution freezing request following the COVID. Instead of answering me she sent me a letter of formal notice. So"&amp;" I consulted the competition to find a rate 2.5 times cheaper, at Macif.
This is the 3rd contract that I go out from them for excessive tariff.")</f>
        <v>Take your contract and save money.
I terminate my "Association Insurance" contract following non -response from my Allianz insurer to a contribution freezing request following the COVID. Instead of answering me she sent me a letter of formal notice. So I consulted the competition to find a rate 2.5 times cheaper, at Macif.
This is the 3rd contract that I go out from them for excessive tariff.</v>
      </c>
    </row>
    <row r="391" ht="15.75" customHeight="1">
      <c r="A391" s="3">
        <v>5.0</v>
      </c>
      <c r="B391" s="3" t="s">
        <v>1214</v>
      </c>
      <c r="C391" s="3" t="s">
        <v>1215</v>
      </c>
      <c r="D391" s="3" t="s">
        <v>13</v>
      </c>
      <c r="E391" s="3" t="s">
        <v>14</v>
      </c>
      <c r="F391" s="3" t="s">
        <v>15</v>
      </c>
      <c r="G391" s="3" t="s">
        <v>1216</v>
      </c>
      <c r="H391" s="3" t="s">
        <v>534</v>
      </c>
      <c r="I391" s="3" t="str">
        <f>IFERROR(__xludf.DUMMYFUNCTION("GOOGLETRANSLATE(C391,""fr"",""en"")"),"Simple fast and efficient, fully satisfied with their services")</f>
        <v>Simple fast and efficient, fully satisfied with their services</v>
      </c>
    </row>
    <row r="392" ht="15.75" customHeight="1">
      <c r="A392" s="3">
        <v>2.0</v>
      </c>
      <c r="B392" s="3" t="s">
        <v>1217</v>
      </c>
      <c r="C392" s="3" t="s">
        <v>1218</v>
      </c>
      <c r="D392" s="3" t="s">
        <v>69</v>
      </c>
      <c r="E392" s="3" t="s">
        <v>14</v>
      </c>
      <c r="F392" s="3" t="s">
        <v>15</v>
      </c>
      <c r="G392" s="3" t="s">
        <v>1219</v>
      </c>
      <c r="H392" s="3" t="s">
        <v>321</v>
      </c>
      <c r="I392" s="3" t="str">
        <f>IFERROR(__xludf.DUMMYFUNCTION("GOOGLETRANSLATE(C392,""fr"",""en"")"),"VEHICLE TO THE THIRD PARTIES, took water during flooding natural disaster classes: no compensation (even if it is a priori in their law) or no commercial gesture when I have been a customer for a long time and never any claim. When it comes to compensatio"&amp;"n, there is no one anymore.")</f>
        <v>VEHICLE TO THE THIRD PARTIES, took water during flooding natural disaster classes: no compensation (even if it is a priori in their law) or no commercial gesture when I have been a customer for a long time and never any claim. When it comes to compensation, there is no one anymore.</v>
      </c>
    </row>
    <row r="393" ht="15.75" customHeight="1">
      <c r="A393" s="3">
        <v>5.0</v>
      </c>
      <c r="B393" s="3" t="s">
        <v>1220</v>
      </c>
      <c r="C393" s="3" t="s">
        <v>1221</v>
      </c>
      <c r="D393" s="3" t="s">
        <v>20</v>
      </c>
      <c r="E393" s="3" t="s">
        <v>21</v>
      </c>
      <c r="F393" s="3" t="s">
        <v>15</v>
      </c>
      <c r="G393" s="3" t="s">
        <v>1222</v>
      </c>
      <c r="H393" s="3" t="s">
        <v>165</v>
      </c>
      <c r="I393" s="3" t="str">
        <f>IFERROR(__xludf.DUMMYFUNCTION("GOOGLETRANSLATE(C393,""fr"",""en"")"),"Reasonable and very fast price to ensure, the information is very simple and quick to enter, for a first motorcycle I find the prices perfectly well.")</f>
        <v>Reasonable and very fast price to ensure, the information is very simple and quick to enter, for a first motorcycle I find the prices perfectly well.</v>
      </c>
    </row>
    <row r="394" ht="15.75" customHeight="1">
      <c r="A394" s="3">
        <v>1.0</v>
      </c>
      <c r="B394" s="3" t="s">
        <v>1223</v>
      </c>
      <c r="C394" s="3" t="s">
        <v>1224</v>
      </c>
      <c r="D394" s="3" t="s">
        <v>227</v>
      </c>
      <c r="E394" s="3" t="s">
        <v>98</v>
      </c>
      <c r="F394" s="3" t="s">
        <v>15</v>
      </c>
      <c r="G394" s="3" t="s">
        <v>1225</v>
      </c>
      <c r="H394" s="3" t="s">
        <v>44</v>
      </c>
      <c r="I394" s="3" t="str">
        <f>IFERROR(__xludf.DUMMYFUNCTION("GOOGLETRANSLATE(C394,""fr"",""en"")"),"Not happy with this mutual. No phone dropout ... never answers. And you can really see your refunds, impossible to access the table ..; And the social S in its table marks ""simply"" the information has been transmitted to your mutual ""!!!!! ....... real"&amp;"ly, I will not take over this organization. We pay the mutual healthy every month and nobody is never there to inform us .. really, it is not normal. Very unhappy.")</f>
        <v>Not happy with this mutual. No phone dropout ... never answers. And you can really see your refunds, impossible to access the table ..; And the social S in its table marks "simply" the information has been transmitted to your mutual "!!!!! ....... really, I will not take over this organization. We pay the mutual healthy every month and nobody is never there to inform us .. really, it is not normal. Very unhappy.</v>
      </c>
    </row>
    <row r="395" ht="15.75" customHeight="1">
      <c r="A395" s="3">
        <v>3.0</v>
      </c>
      <c r="B395" s="3" t="s">
        <v>1226</v>
      </c>
      <c r="C395" s="3" t="s">
        <v>1227</v>
      </c>
      <c r="D395" s="3" t="s">
        <v>32</v>
      </c>
      <c r="E395" s="3" t="s">
        <v>14</v>
      </c>
      <c r="F395" s="3" t="s">
        <v>15</v>
      </c>
      <c r="G395" s="3" t="s">
        <v>821</v>
      </c>
      <c r="H395" s="3" t="s">
        <v>23</v>
      </c>
      <c r="I395" s="3" t="str">
        <f>IFERROR(__xludf.DUMMYFUNCTION("GOOGLETRANSLATE(C395,""fr"",""en"")"),"I inform you as of now that I will move around 10/15/2021 in a residence ""Maison Helena"" located in the town of La Mézière near Rennes (35).")</f>
        <v>I inform you as of now that I will move around 10/15/2021 in a residence "Maison Helena" located in the town of La Mézière near Rennes (35).</v>
      </c>
    </row>
    <row r="396" ht="15.75" customHeight="1">
      <c r="A396" s="3">
        <v>5.0</v>
      </c>
      <c r="B396" s="3" t="s">
        <v>1228</v>
      </c>
      <c r="C396" s="3" t="s">
        <v>1229</v>
      </c>
      <c r="D396" s="3" t="s">
        <v>20</v>
      </c>
      <c r="E396" s="3" t="s">
        <v>21</v>
      </c>
      <c r="F396" s="3" t="s">
        <v>15</v>
      </c>
      <c r="G396" s="3" t="s">
        <v>717</v>
      </c>
      <c r="H396" s="3" t="s">
        <v>17</v>
      </c>
      <c r="I396" s="3" t="str">
        <f>IFERROR(__xludf.DUMMYFUNCTION("GOOGLETRANSLATE(C396,""fr"",""en"")"),"Very good insurance for monitoring of monitoring
Thank you to your team
I recommend your insurance I do not be on it by this insurer
I also have my mutual")</f>
        <v>Very good insurance for monitoring of monitoring
Thank you to your team
I recommend your insurance I do not be on it by this insurer
I also have my mutual</v>
      </c>
    </row>
    <row r="397" ht="15.75" customHeight="1">
      <c r="A397" s="3">
        <v>2.0</v>
      </c>
      <c r="B397" s="3" t="s">
        <v>1230</v>
      </c>
      <c r="C397" s="3" t="s">
        <v>1231</v>
      </c>
      <c r="D397" s="3" t="s">
        <v>42</v>
      </c>
      <c r="E397" s="3" t="s">
        <v>14</v>
      </c>
      <c r="F397" s="3" t="s">
        <v>15</v>
      </c>
      <c r="G397" s="3" t="s">
        <v>356</v>
      </c>
      <c r="H397" s="3" t="s">
        <v>44</v>
      </c>
      <c r="I397" s="3" t="str">
        <f>IFERROR(__xludf.DUMMYFUNCTION("GOOGLETRANSLATE(C397,""fr"",""en"")"),"I had an accident for which I was not responsible, but I was poorly advised by the assistants of Direct Insurance, as a result I borne all the costs")</f>
        <v>I had an accident for which I was not responsible, but I was poorly advised by the assistants of Direct Insurance, as a result I borne all the costs</v>
      </c>
    </row>
    <row r="398" ht="15.75" customHeight="1">
      <c r="A398" s="3">
        <v>3.0</v>
      </c>
      <c r="B398" s="3" t="s">
        <v>1232</v>
      </c>
      <c r="C398" s="3" t="s">
        <v>1233</v>
      </c>
      <c r="D398" s="3" t="s">
        <v>384</v>
      </c>
      <c r="E398" s="3" t="s">
        <v>21</v>
      </c>
      <c r="F398" s="3" t="s">
        <v>15</v>
      </c>
      <c r="G398" s="3" t="s">
        <v>969</v>
      </c>
      <c r="H398" s="3" t="s">
        <v>66</v>
      </c>
      <c r="I398" s="3" t="str">
        <f>IFERROR(__xludf.DUMMYFUNCTION("GOOGLETRANSLATE(C398,""fr"",""en"")"),"Do not forget that insurance is compulsory.
Therefore we have no choice.
But on prices yes
As well as on quality/price.
It seems to me that loyalty must be rewarded. As being careful.
")</f>
        <v>Do not forget that insurance is compulsory.
Therefore we have no choice.
But on prices yes
As well as on quality/price.
It seems to me that loyalty must be rewarded. As being careful.
</v>
      </c>
    </row>
    <row r="399" ht="15.75" customHeight="1">
      <c r="A399" s="3">
        <v>4.0</v>
      </c>
      <c r="B399" s="3" t="s">
        <v>1234</v>
      </c>
      <c r="C399" s="3" t="s">
        <v>1235</v>
      </c>
      <c r="D399" s="3" t="s">
        <v>175</v>
      </c>
      <c r="E399" s="3" t="s">
        <v>98</v>
      </c>
      <c r="F399" s="3" t="s">
        <v>15</v>
      </c>
      <c r="G399" s="3" t="s">
        <v>1236</v>
      </c>
      <c r="H399" s="3" t="s">
        <v>17</v>
      </c>
      <c r="I399" s="3" t="str">
        <f>IFERROR(__xludf.DUMMYFUNCTION("GOOGLETRANSLATE(C399,""fr"",""en"")"),"A very simple contract to set up, a quick implementation and competitive prices with respect to all the offers offered on different supports.
")</f>
        <v>A very simple contract to set up, a quick implementation and competitive prices with respect to all the offers offered on different supports.
</v>
      </c>
    </row>
    <row r="400" ht="15.75" customHeight="1">
      <c r="A400" s="3">
        <v>5.0</v>
      </c>
      <c r="B400" s="3" t="s">
        <v>1237</v>
      </c>
      <c r="C400" s="3" t="s">
        <v>1238</v>
      </c>
      <c r="D400" s="3" t="s">
        <v>13</v>
      </c>
      <c r="E400" s="3" t="s">
        <v>14</v>
      </c>
      <c r="F400" s="3" t="s">
        <v>15</v>
      </c>
      <c r="G400" s="3" t="s">
        <v>1236</v>
      </c>
      <c r="H400" s="3" t="s">
        <v>17</v>
      </c>
      <c r="I400" s="3" t="str">
        <f>IFERROR(__xludf.DUMMYFUNCTION("GOOGLETRANSLATE(C400,""fr"",""en"")"),"You have a good price / price ratio.
I was able to compare with my current insurance and appreciate a reduction of € 210 with the same guarantees.")</f>
        <v>You have a good price / price ratio.
I was able to compare with my current insurance and appreciate a reduction of € 210 with the same guarantees.</v>
      </c>
    </row>
    <row r="401" ht="15.75" customHeight="1">
      <c r="A401" s="3">
        <v>1.0</v>
      </c>
      <c r="B401" s="3" t="s">
        <v>1239</v>
      </c>
      <c r="C401" s="3" t="s">
        <v>1240</v>
      </c>
      <c r="D401" s="3" t="s">
        <v>13</v>
      </c>
      <c r="E401" s="3" t="s">
        <v>14</v>
      </c>
      <c r="F401" s="3" t="s">
        <v>15</v>
      </c>
      <c r="G401" s="3" t="s">
        <v>1241</v>
      </c>
      <c r="H401" s="3" t="s">
        <v>44</v>
      </c>
      <c r="I401" s="3" t="str">
        <f>IFERROR(__xludf.DUMMYFUNCTION("GOOGLETRANSLATE(C401,""fr"",""en"")"),"I do not recommend this insurance will see you over time they have not very legal practice. This abuse insurance to support consumer money")</f>
        <v>I do not recommend this insurance will see you over time they have not very legal practice. This abuse insurance to support consumer money</v>
      </c>
    </row>
    <row r="402" ht="15.75" customHeight="1">
      <c r="A402" s="3">
        <v>4.0</v>
      </c>
      <c r="B402" s="3" t="s">
        <v>1242</v>
      </c>
      <c r="C402" s="3" t="s">
        <v>1243</v>
      </c>
      <c r="D402" s="3" t="s">
        <v>332</v>
      </c>
      <c r="E402" s="3" t="s">
        <v>194</v>
      </c>
      <c r="F402" s="3" t="s">
        <v>15</v>
      </c>
      <c r="G402" s="3" t="s">
        <v>1244</v>
      </c>
      <c r="H402" s="3" t="s">
        <v>360</v>
      </c>
      <c r="I402" s="3" t="str">
        <f>IFERROR(__xludf.DUMMYFUNCTION("GOOGLETRANSLATE(C402,""fr"",""en"")"),"Police official in disability for over a year, I had opted for the wage and premium maintenance guarantee. After various complicated experiences with other insurers, I expected an obstacle course for compensation and to have an interlocutor. On the contra"&amp;"ry, I was surprised by the quality of care. So I recommend everyone")</f>
        <v>Police official in disability for over a year, I had opted for the wage and premium maintenance guarantee. After various complicated experiences with other insurers, I expected an obstacle course for compensation and to have an interlocutor. On the contrary, I was surprised by the quality of care. So I recommend everyone</v>
      </c>
    </row>
    <row r="403" ht="15.75" customHeight="1">
      <c r="A403" s="3">
        <v>3.0</v>
      </c>
      <c r="B403" s="3" t="s">
        <v>1245</v>
      </c>
      <c r="C403" s="3" t="s">
        <v>1246</v>
      </c>
      <c r="D403" s="3" t="s">
        <v>42</v>
      </c>
      <c r="E403" s="3" t="s">
        <v>14</v>
      </c>
      <c r="F403" s="3" t="s">
        <v>15</v>
      </c>
      <c r="G403" s="3" t="s">
        <v>155</v>
      </c>
      <c r="H403" s="3" t="s">
        <v>39</v>
      </c>
      <c r="I403" s="3" t="str">
        <f>IFERROR(__xludf.DUMMYFUNCTION("GOOGLETRANSLATE(C403,""fr"",""en"")"),"Hello I have no particular opinion since this is the first insurance I subscribe to. It seems correct in view of what competition offers, to be seen in time")</f>
        <v>Hello I have no particular opinion since this is the first insurance I subscribe to. It seems correct in view of what competition offers, to be seen in time</v>
      </c>
    </row>
    <row r="404" ht="15.75" customHeight="1">
      <c r="A404" s="3">
        <v>5.0</v>
      </c>
      <c r="B404" s="3" t="s">
        <v>1247</v>
      </c>
      <c r="C404" s="3" t="s">
        <v>1248</v>
      </c>
      <c r="D404" s="3" t="s">
        <v>13</v>
      </c>
      <c r="E404" s="3" t="s">
        <v>14</v>
      </c>
      <c r="F404" s="3" t="s">
        <v>15</v>
      </c>
      <c r="G404" s="3" t="s">
        <v>1249</v>
      </c>
      <c r="H404" s="3" t="s">
        <v>44</v>
      </c>
      <c r="I404" s="3" t="str">
        <f>IFERROR(__xludf.DUMMYFUNCTION("GOOGLETRANSLATE(C404,""fr"",""en"")"),"Perfect very warm welcome, with a good salesperson. The price changed a little at the end but from the modification of the contract. Well explained by the salesperson!")</f>
        <v>Perfect very warm welcome, with a good salesperson. The price changed a little at the end but from the modification of the contract. Well explained by the salesperson!</v>
      </c>
    </row>
    <row r="405" ht="15.75" customHeight="1">
      <c r="A405" s="3">
        <v>4.0</v>
      </c>
      <c r="B405" s="3" t="s">
        <v>1250</v>
      </c>
      <c r="C405" s="3" t="s">
        <v>1251</v>
      </c>
      <c r="D405" s="3" t="s">
        <v>42</v>
      </c>
      <c r="E405" s="3" t="s">
        <v>14</v>
      </c>
      <c r="F405" s="3" t="s">
        <v>15</v>
      </c>
      <c r="G405" s="3" t="s">
        <v>385</v>
      </c>
      <c r="H405" s="3" t="s">
        <v>23</v>
      </c>
      <c r="I405" s="3" t="str">
        <f>IFERROR(__xludf.DUMMYFUNCTION("GOOGLETRANSLATE(C405,""fr"",""en"")"),"I am very happy with the car rate
and very nice customer service
And they are listening to us
Internet service and very well explain and easy")</f>
        <v>I am very happy with the car rate
and very nice customer service
And they are listening to us
Internet service and very well explain and easy</v>
      </c>
    </row>
    <row r="406" ht="15.75" customHeight="1">
      <c r="A406" s="3">
        <v>1.0</v>
      </c>
      <c r="B406" s="3" t="s">
        <v>1252</v>
      </c>
      <c r="C406" s="3" t="s">
        <v>1253</v>
      </c>
      <c r="D406" s="3" t="s">
        <v>182</v>
      </c>
      <c r="E406" s="3" t="s">
        <v>98</v>
      </c>
      <c r="F406" s="3" t="s">
        <v>15</v>
      </c>
      <c r="G406" s="3" t="s">
        <v>1254</v>
      </c>
      <c r="H406" s="3" t="s">
        <v>71</v>
      </c>
      <c r="I406" s="3" t="str">
        <f>IFERROR(__xludf.DUMMYFUNCTION("GOOGLETRANSLATE(C406,""fr"",""en"")"),"The services are neither more nor no less good than elsewhere, except on all that is dental where there the reimbursements are shabby. Very expensive mutual (around 2.5% of the gross salary of a teacher). Home in a very unpleasant agency, catastrophic cus"&amp;"tomer service. And more and more errors in reimbursements (check your readings!). It is no longer the quality mutual that was shown as an example 20, 30 years or more ago. Banking now to a big consortium, it has become a mutual like the others.")</f>
        <v>The services are neither more nor no less good than elsewhere, except on all that is dental where there the reimbursements are shabby. Very expensive mutual (around 2.5% of the gross salary of a teacher). Home in a very unpleasant agency, catastrophic customer service. And more and more errors in reimbursements (check your readings!). It is no longer the quality mutual that was shown as an example 20, 30 years or more ago. Banking now to a big consortium, it has become a mutual like the others.</v>
      </c>
    </row>
    <row r="407" ht="15.75" customHeight="1">
      <c r="A407" s="3">
        <v>3.0</v>
      </c>
      <c r="B407" s="3" t="s">
        <v>1255</v>
      </c>
      <c r="C407" s="3" t="s">
        <v>1256</v>
      </c>
      <c r="D407" s="3" t="s">
        <v>97</v>
      </c>
      <c r="E407" s="3" t="s">
        <v>98</v>
      </c>
      <c r="F407" s="3" t="s">
        <v>15</v>
      </c>
      <c r="G407" s="3" t="s">
        <v>1257</v>
      </c>
      <c r="H407" s="3" t="s">
        <v>149</v>
      </c>
      <c r="I407" s="3" t="str">
        <f>IFERROR(__xludf.DUMMYFUNCTION("GOOGLETRANSLATE(C407,""fr"",""en"")"),"Very pleasant and responsive! Mélanie advised me well and guided for the choice of the complementary health contract best suited for my daughter according to her age and her needs.")</f>
        <v>Very pleasant and responsive! Mélanie advised me well and guided for the choice of the complementary health contract best suited for my daughter according to her age and her needs.</v>
      </c>
    </row>
    <row r="408" ht="15.75" customHeight="1">
      <c r="A408" s="3">
        <v>1.0</v>
      </c>
      <c r="B408" s="3" t="s">
        <v>1258</v>
      </c>
      <c r="C408" s="3" t="s">
        <v>1259</v>
      </c>
      <c r="D408" s="3" t="s">
        <v>55</v>
      </c>
      <c r="E408" s="3" t="s">
        <v>14</v>
      </c>
      <c r="F408" s="3" t="s">
        <v>15</v>
      </c>
      <c r="G408" s="3" t="s">
        <v>1260</v>
      </c>
      <c r="H408" s="3" t="s">
        <v>1261</v>
      </c>
      <c r="I408" s="3" t="str">
        <f>IFERROR(__xludf.DUMMYFUNCTION("GOOGLETRANSLATE(C408,""fr"",""en"")"),"Be careful with this insurer who is completely incompetent, who does not communicate with you and your other insurance.")</f>
        <v>Be careful with this insurer who is completely incompetent, who does not communicate with you and your other insurance.</v>
      </c>
    </row>
    <row r="409" ht="15.75" customHeight="1">
      <c r="A409" s="3">
        <v>4.0</v>
      </c>
      <c r="B409" s="3" t="s">
        <v>1262</v>
      </c>
      <c r="C409" s="3" t="s">
        <v>1263</v>
      </c>
      <c r="D409" s="3" t="s">
        <v>509</v>
      </c>
      <c r="E409" s="3" t="s">
        <v>14</v>
      </c>
      <c r="F409" s="3" t="s">
        <v>15</v>
      </c>
      <c r="G409" s="3" t="s">
        <v>550</v>
      </c>
      <c r="H409" s="3" t="s">
        <v>551</v>
      </c>
      <c r="I409" s="3" t="str">
        <f>IFERROR(__xludf.DUMMYFUNCTION("GOOGLETRANSLATE(C409,""fr"",""en"")"),"Thank you to the MAAF for making me have it from the monthly amount of my auto insurance taking into account containment for the month of May
This credit was made following my request by email")</f>
        <v>Thank you to the MAAF for making me have it from the monthly amount of my auto insurance taking into account containment for the month of May
This credit was made following my request by email</v>
      </c>
    </row>
    <row r="410" ht="15.75" customHeight="1">
      <c r="A410" s="3">
        <v>4.0</v>
      </c>
      <c r="B410" s="3" t="s">
        <v>1264</v>
      </c>
      <c r="C410" s="3" t="s">
        <v>1265</v>
      </c>
      <c r="D410" s="3" t="s">
        <v>42</v>
      </c>
      <c r="E410" s="3" t="s">
        <v>33</v>
      </c>
      <c r="F410" s="3" t="s">
        <v>15</v>
      </c>
      <c r="G410" s="3" t="s">
        <v>463</v>
      </c>
      <c r="H410" s="3" t="s">
        <v>66</v>
      </c>
      <c r="I410" s="3" t="str">
        <f>IFERROR(__xludf.DUMMYFUNCTION("GOOGLETRANSLATE(C410,""fr"",""en"")"),"I am satisfied, it is fast practical and I had an answer to what I was looking for very quickly. I advise this insurance The prices are interesting.")</f>
        <v>I am satisfied, it is fast practical and I had an answer to what I was looking for very quickly. I advise this insurance The prices are interesting.</v>
      </c>
    </row>
    <row r="411" ht="15.75" customHeight="1">
      <c r="A411" s="3">
        <v>1.0</v>
      </c>
      <c r="B411" s="3" t="s">
        <v>1266</v>
      </c>
      <c r="C411" s="3" t="s">
        <v>1267</v>
      </c>
      <c r="D411" s="3" t="s">
        <v>704</v>
      </c>
      <c r="E411" s="3" t="s">
        <v>27</v>
      </c>
      <c r="F411" s="3" t="s">
        <v>15</v>
      </c>
      <c r="G411" s="3" t="s">
        <v>1268</v>
      </c>
      <c r="H411" s="3" t="s">
        <v>100</v>
      </c>
      <c r="I411" s="3" t="str">
        <f>IFERROR(__xludf.DUMMYFUNCTION("GOOGLETRANSLATE(C411,""fr"",""en"")"),"Deplorable customer service .... more than 3 weeks that I await the release of an advance and no one answers me, despite many reminders and calls. I plan to place my money elsewhere!")</f>
        <v>Deplorable customer service .... more than 3 weeks that I await the release of an advance and no one answers me, despite many reminders and calls. I plan to place my money elsewhere!</v>
      </c>
    </row>
    <row r="412" ht="15.75" customHeight="1">
      <c r="A412" s="3">
        <v>1.0</v>
      </c>
      <c r="B412" s="3" t="s">
        <v>1269</v>
      </c>
      <c r="C412" s="3" t="s">
        <v>1270</v>
      </c>
      <c r="D412" s="3" t="s">
        <v>78</v>
      </c>
      <c r="E412" s="3" t="s">
        <v>14</v>
      </c>
      <c r="F412" s="3" t="s">
        <v>15</v>
      </c>
      <c r="G412" s="3" t="s">
        <v>1271</v>
      </c>
      <c r="H412" s="3" t="s">
        <v>39</v>
      </c>
      <c r="I412" s="3" t="str">
        <f>IFERROR(__xludf.DUMMYFUNCTION("GOOGLETRANSLATE(C412,""fr"",""en"")"),"You refuse a person who was insured with you who wants to stay with you thank you that's all I want to tell you thank you for your kind understanding")</f>
        <v>You refuse a person who was insured with you who wants to stay with you thank you that's all I want to tell you thank you for your kind understanding</v>
      </c>
    </row>
    <row r="413" ht="15.75" customHeight="1">
      <c r="A413" s="3">
        <v>2.0</v>
      </c>
      <c r="B413" s="3" t="s">
        <v>1272</v>
      </c>
      <c r="C413" s="3" t="s">
        <v>1273</v>
      </c>
      <c r="D413" s="3" t="s">
        <v>175</v>
      </c>
      <c r="E413" s="3" t="s">
        <v>98</v>
      </c>
      <c r="F413" s="3" t="s">
        <v>15</v>
      </c>
      <c r="G413" s="3" t="s">
        <v>1274</v>
      </c>
      <c r="H413" s="3" t="s">
        <v>224</v>
      </c>
      <c r="I413" s="3" t="str">
        <f>IFERROR(__xludf.DUMMYFUNCTION("GOOGLETRANSLATE(C413,""fr"",""en"")"),"The prices are expensive for a person in disability ...
But hey it was the insurance that most corresponds to my mother's needs, so no choice.")</f>
        <v>The prices are expensive for a person in disability ...
But hey it was the insurance that most corresponds to my mother's needs, so no choice.</v>
      </c>
    </row>
    <row r="414" ht="15.75" customHeight="1">
      <c r="A414" s="3">
        <v>5.0</v>
      </c>
      <c r="B414" s="3" t="s">
        <v>1275</v>
      </c>
      <c r="C414" s="3" t="s">
        <v>1276</v>
      </c>
      <c r="D414" s="3" t="s">
        <v>42</v>
      </c>
      <c r="E414" s="3" t="s">
        <v>14</v>
      </c>
      <c r="F414" s="3" t="s">
        <v>15</v>
      </c>
      <c r="G414" s="3" t="s">
        <v>38</v>
      </c>
      <c r="H414" s="3" t="s">
        <v>39</v>
      </c>
      <c r="I414" s="3" t="str">
        <f>IFERROR(__xludf.DUMMYFUNCTION("GOOGLETRANSLATE(C414,""fr"",""en"")"),"The price suits me and simple to document. I think I ensure my other vehicles (Mégane CC and Espace 3) and properties (main house, secondary house and rental apartment) at home.
Can be a little commercial gesture?")</f>
        <v>The price suits me and simple to document. I think I ensure my other vehicles (Mégane CC and Espace 3) and properties (main house, secondary house and rental apartment) at home.
Can be a little commercial gesture?</v>
      </c>
    </row>
    <row r="415" ht="15.75" customHeight="1">
      <c r="A415" s="3">
        <v>4.0</v>
      </c>
      <c r="B415" s="3" t="s">
        <v>1277</v>
      </c>
      <c r="C415" s="3" t="s">
        <v>1278</v>
      </c>
      <c r="D415" s="3" t="s">
        <v>421</v>
      </c>
      <c r="E415" s="3" t="s">
        <v>98</v>
      </c>
      <c r="F415" s="3" t="s">
        <v>15</v>
      </c>
      <c r="G415" s="3" t="s">
        <v>1279</v>
      </c>
      <c r="H415" s="3" t="s">
        <v>91</v>
      </c>
      <c r="I415" s="3" t="str">
        <f>IFERROR(__xludf.DUMMYFUNCTION("GOOGLETRANSLATE(C415,""fr"",""en"")"),"Top phone information
Website
Only downside sometimes when I have to transmit several documents on the site I can only transmit one sheet and not several")</f>
        <v>Top phone information
Website
Only downside sometimes when I have to transmit several documents on the site I can only transmit one sheet and not several</v>
      </c>
    </row>
    <row r="416" ht="15.75" customHeight="1">
      <c r="A416" s="3">
        <v>2.0</v>
      </c>
      <c r="B416" s="3" t="s">
        <v>1280</v>
      </c>
      <c r="C416" s="3" t="s">
        <v>1281</v>
      </c>
      <c r="D416" s="3" t="s">
        <v>762</v>
      </c>
      <c r="E416" s="3" t="s">
        <v>311</v>
      </c>
      <c r="F416" s="3" t="s">
        <v>15</v>
      </c>
      <c r="G416" s="3" t="s">
        <v>1282</v>
      </c>
      <c r="H416" s="3" t="s">
        <v>52</v>
      </c>
      <c r="I416" s="3" t="str">
        <f>IFERROR(__xludf.DUMMYFUNCTION("GOOGLETRANSLATE(C416,""fr"",""en"")"),"Very bad experience.
The file was very poorly followed for more than 5 months so that it is then no longer possible to set it up because the anniversary date was exceeded! The information must be repeated, errors in files and dates ... as if my advisor h"&amp;"ad never done this in his life.
I was then taken from insurance that I don't even have!
And I am told that the reimbursement will only take place in a month.
Simply unacceptable.")</f>
        <v>Very bad experience.
The file was very poorly followed for more than 5 months so that it is then no longer possible to set it up because the anniversary date was exceeded! The information must be repeated, errors in files and dates ... as if my advisor had never done this in his life.
I was then taken from insurance that I don't even have!
And I am told that the reimbursement will only take place in a month.
Simply unacceptable.</v>
      </c>
    </row>
    <row r="417" ht="15.75" customHeight="1">
      <c r="A417" s="3">
        <v>2.0</v>
      </c>
      <c r="B417" s="3" t="s">
        <v>1283</v>
      </c>
      <c r="C417" s="3" t="s">
        <v>1284</v>
      </c>
      <c r="D417" s="3" t="s">
        <v>69</v>
      </c>
      <c r="E417" s="3" t="s">
        <v>14</v>
      </c>
      <c r="F417" s="3" t="s">
        <v>15</v>
      </c>
      <c r="G417" s="3" t="s">
        <v>1285</v>
      </c>
      <c r="H417" s="3" t="s">
        <v>229</v>
      </c>
      <c r="I417" s="3" t="str">
        <f>IFERROR(__xludf.DUMMYFUNCTION("GOOGLETRANSLATE(C417,""fr"",""en"")"),"Difficult to understand the management taken by the group, see instead: a city vehicle provided for 9 years now, zero claims for always.
This year my ""commercial gesture"" (17 euros) acquired the last year missing, an increase of around 5% of my car bon"&amp;"us, sponsorship of a loved one in this year 2018 certainly I got 30 euros, but. ............... to give on one side to better resume on the other?.
For the year 2019 my brother wanted to change his motorcycle insurance company to possibly join the Eurofi"&amp;"l group .............. To mediter !!!")</f>
        <v>Difficult to understand the management taken by the group, see instead: a city vehicle provided for 9 years now, zero claims for always.
This year my "commercial gesture" (17 euros) acquired the last year missing, an increase of around 5% of my car bonus, sponsorship of a loved one in this year 2018 certainly I got 30 euros, but. ............... to give on one side to better resume on the other?.
For the year 2019 my brother wanted to change his motorcycle insurance company to possibly join the Eurofil group .............. To mediter !!!</v>
      </c>
    </row>
    <row r="418" ht="15.75" customHeight="1">
      <c r="A418" s="3">
        <v>4.0</v>
      </c>
      <c r="B418" s="3" t="s">
        <v>1286</v>
      </c>
      <c r="C418" s="3" t="s">
        <v>1287</v>
      </c>
      <c r="D418" s="3" t="s">
        <v>695</v>
      </c>
      <c r="E418" s="3" t="s">
        <v>109</v>
      </c>
      <c r="F418" s="3" t="s">
        <v>15</v>
      </c>
      <c r="G418" s="3" t="s">
        <v>1288</v>
      </c>
      <c r="H418" s="3" t="s">
        <v>124</v>
      </c>
      <c r="I418" s="3" t="str">
        <f>IFERROR(__xludf.DUMMYFUNCTION("GOOGLETRANSLATE(C418,""fr"",""en"")"),"Very good insurer, I never had a problem with them. I would also be delighted to be your godfather and you will benefit from a free month. For this you can contact me so that I send you an invitation. rem3422@hotmail.com")</f>
        <v>Very good insurer, I never had a problem with them. I would also be delighted to be your godfather and you will benefit from a free month. For this you can contact me so that I send you an invitation. rem3422@hotmail.com</v>
      </c>
    </row>
    <row r="419" ht="15.75" customHeight="1">
      <c r="A419" s="3">
        <v>1.0</v>
      </c>
      <c r="B419" s="3" t="s">
        <v>1289</v>
      </c>
      <c r="C419" s="3" t="s">
        <v>1290</v>
      </c>
      <c r="D419" s="3" t="s">
        <v>509</v>
      </c>
      <c r="E419" s="3" t="s">
        <v>33</v>
      </c>
      <c r="F419" s="3" t="s">
        <v>15</v>
      </c>
      <c r="G419" s="3" t="s">
        <v>1291</v>
      </c>
      <c r="H419" s="3" t="s">
        <v>207</v>
      </c>
      <c r="I419" s="3" t="str">
        <f>IFERROR(__xludf.DUMMYFUNCTION("GOOGLETRANSLATE(C419,""fr"",""en"")"),"What to do ? My house burned in October 2015. More than a year later, the expert mandated by the MAAF did not make its conclusions.")</f>
        <v>What to do ? My house burned in October 2015. More than a year later, the expert mandated by the MAAF did not make its conclusions.</v>
      </c>
    </row>
    <row r="420" ht="15.75" customHeight="1">
      <c r="A420" s="3">
        <v>3.0</v>
      </c>
      <c r="B420" s="3" t="s">
        <v>1292</v>
      </c>
      <c r="C420" s="3" t="s">
        <v>1293</v>
      </c>
      <c r="D420" s="3" t="s">
        <v>42</v>
      </c>
      <c r="E420" s="3" t="s">
        <v>14</v>
      </c>
      <c r="F420" s="3" t="s">
        <v>15</v>
      </c>
      <c r="G420" s="3" t="s">
        <v>1294</v>
      </c>
      <c r="H420" s="3" t="s">
        <v>86</v>
      </c>
      <c r="I420" s="3" t="str">
        <f>IFERROR(__xludf.DUMMYFUNCTION("GOOGLETRANSLATE(C420,""fr"",""en"")"),"Very very difficult to access your personal space, the internet address that is not found, poorly informed. Big hassle every time, it's not clear. at all. If the Internet address was better done, easier to find, you would have more customers it is some be"&amp;"cause your prices are attractive.")</f>
        <v>Very very difficult to access your personal space, the internet address that is not found, poorly informed. Big hassle every time, it's not clear. at all. If the Internet address was better done, easier to find, you would have more customers it is some because your prices are attractive.</v>
      </c>
    </row>
    <row r="421" ht="15.75" customHeight="1">
      <c r="A421" s="3">
        <v>5.0</v>
      </c>
      <c r="B421" s="3" t="s">
        <v>1295</v>
      </c>
      <c r="C421" s="3" t="s">
        <v>1296</v>
      </c>
      <c r="D421" s="3" t="s">
        <v>97</v>
      </c>
      <c r="E421" s="3" t="s">
        <v>98</v>
      </c>
      <c r="F421" s="3" t="s">
        <v>15</v>
      </c>
      <c r="G421" s="3" t="s">
        <v>1297</v>
      </c>
      <c r="H421" s="3" t="s">
        <v>345</v>
      </c>
      <c r="I421" s="3" t="str">
        <f>IFERROR(__xludf.DUMMYFUNCTION("GOOGLETRANSLATE(C421,""fr"",""en"")"),"I find very interesting the prices and the super genial telephonic .........")</f>
        <v>I find very interesting the prices and the super genial telephonic .........</v>
      </c>
    </row>
    <row r="422" ht="15.75" customHeight="1">
      <c r="A422" s="3">
        <v>3.0</v>
      </c>
      <c r="B422" s="3" t="s">
        <v>1298</v>
      </c>
      <c r="C422" s="3" t="s">
        <v>1299</v>
      </c>
      <c r="D422" s="3" t="s">
        <v>42</v>
      </c>
      <c r="E422" s="3" t="s">
        <v>14</v>
      </c>
      <c r="F422" s="3" t="s">
        <v>15</v>
      </c>
      <c r="G422" s="3" t="s">
        <v>1300</v>
      </c>
      <c r="H422" s="3" t="s">
        <v>506</v>
      </c>
      <c r="I422" s="3" t="str">
        <f>IFERROR(__xludf.DUMMYFUNCTION("GOOGLETRANSLATE(C422,""fr"",""en"")"),"I am satisfied with your current services thank you for your offer. The offers are interesting, it must now be thought of whether I take it or not.
")</f>
        <v>I am satisfied with your current services thank you for your offer. The offers are interesting, it must now be thought of whether I take it or not.
</v>
      </c>
    </row>
    <row r="423" ht="15.75" customHeight="1">
      <c r="A423" s="3">
        <v>1.0</v>
      </c>
      <c r="B423" s="3" t="s">
        <v>1301</v>
      </c>
      <c r="C423" s="3" t="s">
        <v>1302</v>
      </c>
      <c r="D423" s="3" t="s">
        <v>89</v>
      </c>
      <c r="E423" s="3" t="s">
        <v>14</v>
      </c>
      <c r="F423" s="3" t="s">
        <v>15</v>
      </c>
      <c r="G423" s="3" t="s">
        <v>1303</v>
      </c>
      <c r="H423" s="3" t="s">
        <v>274</v>
      </c>
      <c r="I423" s="3" t="str">
        <f>IFERROR(__xludf.DUMMYFUNCTION("GOOGLETRANSLATE(C423,""fr"",""en"")"),"15 years of insurance, never a single payment incident and they saw me like shit. Without reason, without explanation.")</f>
        <v>15 years of insurance, never a single payment incident and they saw me like shit. Without reason, without explanation.</v>
      </c>
    </row>
    <row r="424" ht="15.75" customHeight="1">
      <c r="A424" s="3">
        <v>4.0</v>
      </c>
      <c r="B424" s="3" t="s">
        <v>1304</v>
      </c>
      <c r="C424" s="3" t="s">
        <v>1305</v>
      </c>
      <c r="D424" s="3" t="s">
        <v>421</v>
      </c>
      <c r="E424" s="3" t="s">
        <v>98</v>
      </c>
      <c r="F424" s="3" t="s">
        <v>15</v>
      </c>
      <c r="G424" s="3" t="s">
        <v>1306</v>
      </c>
      <c r="H424" s="3" t="s">
        <v>341</v>
      </c>
      <c r="I424" s="3" t="str">
        <f>IFERROR(__xludf.DUMMYFUNCTION("GOOGLETRANSLATE(C424,""fr"",""en"")"),"For example, quote for dental costs (prostheses) more than € 4,200 and I only pay € 12.70, 4 pairs of glasses (AFFELOU) for my wife and I, total amount more than € 800 supported in full !! !")</f>
        <v>For example, quote for dental costs (prostheses) more than € 4,200 and I only pay € 12.70, 4 pairs of glasses (AFFELOU) for my wife and I, total amount more than € 800 supported in full !! !</v>
      </c>
    </row>
    <row r="425" ht="15.75" customHeight="1">
      <c r="A425" s="3">
        <v>2.0</v>
      </c>
      <c r="B425" s="3" t="s">
        <v>1307</v>
      </c>
      <c r="C425" s="3" t="s">
        <v>1308</v>
      </c>
      <c r="D425" s="3" t="s">
        <v>509</v>
      </c>
      <c r="E425" s="3" t="s">
        <v>14</v>
      </c>
      <c r="F425" s="3" t="s">
        <v>15</v>
      </c>
      <c r="G425" s="3" t="s">
        <v>1309</v>
      </c>
      <c r="H425" s="3" t="s">
        <v>660</v>
      </c>
      <c r="I425" s="3" t="str">
        <f>IFERROR(__xludf.DUMMYFUNCTION("GOOGLETRANSLATE(C425,""fr"",""en"")"),"Incompetent and unreachable claims management service ...
After an unreachable assistance breakdown for more than 30 minutes by the road ... Back on foot ... After reclamation Gift check of € 50 ??
After accident without third party in parking while I a"&amp;"m all risks the expert says that the shock is too low and refuses repairs ... from unreachable sinister service and only automatic emails which say that I will be contacted but to no avail
I try to resislier now but they never send me my information stat"&amp;"ement ...
Flee this insurance that attracts you to prices and does a lot of advertising but should hire staff ... and stop taking insured for ombeciles")</f>
        <v>Incompetent and unreachable claims management service ...
After an unreachable assistance breakdown for more than 30 minutes by the road ... Back on foot ... After reclamation Gift check of € 50 ??
After accident without third party in parking while I am all risks the expert says that the shock is too low and refuses repairs ... from unreachable sinister service and only automatic emails which say that I will be contacted but to no avail
I try to resislier now but they never send me my information statement ...
Flee this insurance that attracts you to prices and does a lot of advertising but should hire staff ... and stop taking insured for ombeciles</v>
      </c>
    </row>
    <row r="426" ht="15.75" customHeight="1">
      <c r="A426" s="3">
        <v>4.0</v>
      </c>
      <c r="B426" s="3" t="s">
        <v>1310</v>
      </c>
      <c r="C426" s="3" t="s">
        <v>1311</v>
      </c>
      <c r="D426" s="3" t="s">
        <v>42</v>
      </c>
      <c r="E426" s="3" t="s">
        <v>14</v>
      </c>
      <c r="F426" s="3" t="s">
        <v>15</v>
      </c>
      <c r="G426" s="3" t="s">
        <v>1018</v>
      </c>
      <c r="H426" s="3" t="s">
        <v>86</v>
      </c>
      <c r="I426" s="3" t="str">
        <f>IFERROR(__xludf.DUMMYFUNCTION("GOOGLETRANSLATE(C426,""fr"",""en"")"),"very good quality service and speed has listened and very professional assured for many years always as satisfied with the services offered")</f>
        <v>very good quality service and speed has listened and very professional assured for many years always as satisfied with the services offered</v>
      </c>
    </row>
    <row r="427" ht="15.75" customHeight="1">
      <c r="A427" s="3">
        <v>1.0</v>
      </c>
      <c r="B427" s="3" t="s">
        <v>1312</v>
      </c>
      <c r="C427" s="3" t="s">
        <v>1313</v>
      </c>
      <c r="D427" s="3" t="s">
        <v>1314</v>
      </c>
      <c r="E427" s="3" t="s">
        <v>311</v>
      </c>
      <c r="F427" s="3" t="s">
        <v>15</v>
      </c>
      <c r="G427" s="3" t="s">
        <v>1315</v>
      </c>
      <c r="H427" s="3" t="s">
        <v>321</v>
      </c>
      <c r="I427" s="3" t="str">
        <f>IFERROR(__xludf.DUMMYFUNCTION("GOOGLETRANSLATE(C427,""fr"",""en"")"),"Attention. You have to do an Suravenir insurer who likes to collect the premiums to get rich until you have a disaster. It makes you smile and it confirms the reputation of this insurer. At the 1st break of ice without any other disaster for 5 years it is"&amp;" solved under the pretext of ""aggravation of the risk"" let me laugh. The insurance code provides that no one can be unjustly enriched at the expense of others. This is precisely what this insurer does on our back. Surprising you ?? If you want to enrich"&amp;" him then subscribe to them. I leave them at their request. Thank you because I found much cheaper elsewhere at competition.")</f>
        <v>Attention. You have to do an Suravenir insurer who likes to collect the premiums to get rich until you have a disaster. It makes you smile and it confirms the reputation of this insurer. At the 1st break of ice without any other disaster for 5 years it is solved under the pretext of "aggravation of the risk" let me laugh. The insurance code provides that no one can be unjustly enriched at the expense of others. This is precisely what this insurer does on our back. Surprising you ?? If you want to enrich him then subscribe to them. I leave them at their request. Thank you because I found much cheaper elsewhere at competition.</v>
      </c>
    </row>
    <row r="428" ht="15.75" customHeight="1">
      <c r="A428" s="3">
        <v>5.0</v>
      </c>
      <c r="B428" s="3" t="s">
        <v>1316</v>
      </c>
      <c r="C428" s="3" t="s">
        <v>1317</v>
      </c>
      <c r="D428" s="3" t="s">
        <v>384</v>
      </c>
      <c r="E428" s="3" t="s">
        <v>21</v>
      </c>
      <c r="F428" s="3" t="s">
        <v>15</v>
      </c>
      <c r="G428" s="3" t="s">
        <v>1318</v>
      </c>
      <c r="H428" s="3" t="s">
        <v>115</v>
      </c>
      <c r="I428" s="3" t="str">
        <f>IFERROR(__xludf.DUMMYFUNCTION("GOOGLETRANSLATE(C428,""fr"",""en"")"),"The service is fast and the site well designed. Competitive stupor with reduction during the COVID. (Not everyone does).
On the other hand, I never had a disaster to manage, I cannot give my opinion on this subject.")</f>
        <v>The service is fast and the site well designed. Competitive stupor with reduction during the COVID. (Not everyone does).
On the other hand, I never had a disaster to manage, I cannot give my opinion on this subject.</v>
      </c>
    </row>
    <row r="429" ht="15.75" customHeight="1">
      <c r="A429" s="3">
        <v>3.0</v>
      </c>
      <c r="B429" s="3" t="s">
        <v>1319</v>
      </c>
      <c r="C429" s="3" t="s">
        <v>1320</v>
      </c>
      <c r="D429" s="3" t="s">
        <v>246</v>
      </c>
      <c r="E429" s="3" t="s">
        <v>27</v>
      </c>
      <c r="F429" s="3" t="s">
        <v>15</v>
      </c>
      <c r="G429" s="3" t="s">
        <v>1321</v>
      </c>
      <c r="H429" s="3" t="s">
        <v>124</v>
      </c>
      <c r="I429" s="3" t="str">
        <f>IFERROR(__xludf.DUMMYFUNCTION("GOOGLETRANSLATE(C429,""fr"",""en"")"),"I would like to make a partial buy -back request via the customer area (being misunderstanding I cannot receive a call or issuing) however I could make a partial withdrawal via the AXA insurance site to the latest news impossible to do it after several em"&amp;"ail I learn That my agent died the advisor in charge refuses to make my takeover when I sent him Rib and everything I wish to leave with all my Axa Tune Insurance
Cordially
 Lobet")</f>
        <v>I would like to make a partial buy -back request via the customer area (being misunderstanding I cannot receive a call or issuing) however I could make a partial withdrawal via the AXA insurance site to the latest news impossible to do it after several email I learn That my agent died the advisor in charge refuses to make my takeover when I sent him Rib and everything I wish to leave with all my Axa Tune Insurance
Cordially
 Lobet</v>
      </c>
    </row>
    <row r="430" ht="15.75" customHeight="1">
      <c r="A430" s="3">
        <v>1.0</v>
      </c>
      <c r="B430" s="3" t="s">
        <v>1322</v>
      </c>
      <c r="C430" s="3" t="s">
        <v>1323</v>
      </c>
      <c r="D430" s="3" t="s">
        <v>97</v>
      </c>
      <c r="E430" s="3" t="s">
        <v>98</v>
      </c>
      <c r="F430" s="3" t="s">
        <v>15</v>
      </c>
      <c r="G430" s="3" t="s">
        <v>994</v>
      </c>
      <c r="H430" s="3" t="s">
        <v>211</v>
      </c>
      <c r="I430" s="3" t="str">
        <f>IFERROR(__xludf.DUMMYFUNCTION("GOOGLETRANSLATE(C430,""fr"",""en"")"),"Avoid, unmanageable customer service and not being attentive.")</f>
        <v>Avoid, unmanageable customer service and not being attentive.</v>
      </c>
    </row>
    <row r="431" ht="15.75" customHeight="1">
      <c r="A431" s="3">
        <v>2.0</v>
      </c>
      <c r="B431" s="3" t="s">
        <v>1324</v>
      </c>
      <c r="C431" s="3" t="s">
        <v>1325</v>
      </c>
      <c r="D431" s="3" t="s">
        <v>81</v>
      </c>
      <c r="E431" s="3" t="s">
        <v>14</v>
      </c>
      <c r="F431" s="3" t="s">
        <v>15</v>
      </c>
      <c r="G431" s="3" t="s">
        <v>1326</v>
      </c>
      <c r="H431" s="3" t="s">
        <v>240</v>
      </c>
      <c r="I431" s="3" t="str">
        <f>IFERROR(__xludf.DUMMYFUNCTION("GOOGLETRANSLATE(C431,""fr"",""en"")"),"I almost signed at Macif. I was looking for a car insurance. Electronic signature impossible on the site, by phone, it was necessary to take an additional lean (which I have no need - forced sale), in an unpleasant and non -helpful agency and formalities "&amp;"much more complex than announced by phone. In short, I almost signed at Macif. Fortunately there was Maaf next door")</f>
        <v>I almost signed at Macif. I was looking for a car insurance. Electronic signature impossible on the site, by phone, it was necessary to take an additional lean (which I have no need - forced sale), in an unpleasant and non -helpful agency and formalities much more complex than announced by phone. In short, I almost signed at Macif. Fortunately there was Maaf next door</v>
      </c>
    </row>
    <row r="432" ht="15.75" customHeight="1">
      <c r="A432" s="3">
        <v>5.0</v>
      </c>
      <c r="B432" s="3" t="s">
        <v>1327</v>
      </c>
      <c r="C432" s="3" t="s">
        <v>1328</v>
      </c>
      <c r="D432" s="3" t="s">
        <v>140</v>
      </c>
      <c r="E432" s="3" t="s">
        <v>98</v>
      </c>
      <c r="F432" s="3" t="s">
        <v>15</v>
      </c>
      <c r="G432" s="3" t="s">
        <v>1329</v>
      </c>
      <c r="H432" s="3" t="s">
        <v>86</v>
      </c>
      <c r="I432" s="3" t="str">
        <f>IFERROR(__xludf.DUMMYFUNCTION("GOOGLETRANSLATE(C432,""fr"",""en"")"),"I thanked the person I just had on the very pleasant phone and told me all that I wanted to know except it's very long to have you on the phone")</f>
        <v>I thanked the person I just had on the very pleasant phone and told me all that I wanted to know except it's very long to have you on the phone</v>
      </c>
    </row>
    <row r="433" ht="15.75" customHeight="1">
      <c r="A433" s="3">
        <v>1.0</v>
      </c>
      <c r="B433" s="3" t="s">
        <v>1330</v>
      </c>
      <c r="C433" s="3" t="s">
        <v>1331</v>
      </c>
      <c r="D433" s="3" t="s">
        <v>55</v>
      </c>
      <c r="E433" s="3" t="s">
        <v>14</v>
      </c>
      <c r="F433" s="3" t="s">
        <v>15</v>
      </c>
      <c r="G433" s="3" t="s">
        <v>1332</v>
      </c>
      <c r="H433" s="3" t="s">
        <v>274</v>
      </c>
      <c r="I433" s="3" t="str">
        <f>IFERROR(__xludf.DUMMYFUNCTION("GOOGLETRANSLATE(C433,""fr"",""en"")"),"Quote made online. Pay 2 months plus the costs 60th. I nai Jalais receive the green card. I treated myself after 5 days after reading the various comments and since August 29 have been reimbursement. Despite several mail and email nothing. I have almost a"&amp;"lmost seized the mediator and ACPR we will see what it gives. Good advice run away from this insurer who does not have a")</f>
        <v>Quote made online. Pay 2 months plus the costs 60th. I nai Jalais receive the green card. I treated myself after 5 days after reading the various comments and since August 29 have been reimbursement. Despite several mail and email nothing. I have almost almost seized the mediator and ACPR we will see what it gives. Good advice run away from this insurer who does not have a</v>
      </c>
    </row>
    <row r="434" ht="15.75" customHeight="1">
      <c r="A434" s="3">
        <v>1.0</v>
      </c>
      <c r="B434" s="3" t="s">
        <v>1333</v>
      </c>
      <c r="C434" s="3" t="s">
        <v>1334</v>
      </c>
      <c r="D434" s="3" t="s">
        <v>214</v>
      </c>
      <c r="E434" s="3" t="s">
        <v>98</v>
      </c>
      <c r="F434" s="3" t="s">
        <v>15</v>
      </c>
      <c r="G434" s="3" t="s">
        <v>1335</v>
      </c>
      <c r="H434" s="3" t="s">
        <v>345</v>
      </c>
      <c r="I434" s="3" t="str">
        <f>IFERROR(__xludf.DUMMYFUNCTION("GOOGLETRANSLATE(C434,""fr"",""en"")"),"I worked for more than 20 years for the same employer. Business mutuals I saw passing with a few hiccups but nothing insurmountable. But there with mutual harmony it is the cat. Licensed for physical incapacity I in theory benefit from the portability of "&amp;"my rights. My former employer has taken all the steps in this direction. Recently hospitalized for a major dental infection I followed care with a dentist. Not seeing any refund I went to the site of this company. There I discover the mention realize my p"&amp;"ortability. I am the opaque instructions to say the least and I transmit my change of situation. Several days are going on and I do not receive any acknowledgment of receipt of my documents transmitted. I then go to their agency which informs me that I wi"&amp;"ll not be reimbursed for costs made because I failed to declare my situation monthly. But no one had informed me that it was necessary to perform this way and I challenge you to find the info on the site. Faced with this argument the agent replies that an"&amp;"yway I will not be reimbursed advanced costs because the mutual does not have my R.I.B. Ho but who are we laughing at? It was transmitted during the subscription by my company! Dental quote refused while it is most reasonable. I have never seen this in my"&amp;" life. I reserve the right to give follow -up for non -services rendered when I always pay on time that it is my contributions! I will not contact myself via Facebook to settle this. Not wanting to advertise Gratos in addition! My former colleagues can ea"&amp;"ch testify to lots of inconveniences since this mutual was imposed on us.
")</f>
        <v>I worked for more than 20 years for the same employer. Business mutuals I saw passing with a few hiccups but nothing insurmountable. But there with mutual harmony it is the cat. Licensed for physical incapacity I in theory benefit from the portability of my rights. My former employer has taken all the steps in this direction. Recently hospitalized for a major dental infection I followed care with a dentist. Not seeing any refund I went to the site of this company. There I discover the mention realize my portability. I am the opaque instructions to say the least and I transmit my change of situation. Several days are going on and I do not receive any acknowledgment of receipt of my documents transmitted. I then go to their agency which informs me that I will not be reimbursed for costs made because I failed to declare my situation monthly. But no one had informed me that it was necessary to perform this way and I challenge you to find the info on the site. Faced with this argument the agent replies that anyway I will not be reimbursed advanced costs because the mutual does not have my R.I.B. Ho but who are we laughing at? It was transmitted during the subscription by my company! Dental quote refused while it is most reasonable. I have never seen this in my life. I reserve the right to give follow -up for non -services rendered when I always pay on time that it is my contributions! I will not contact myself via Facebook to settle this. Not wanting to advertise Gratos in addition! My former colleagues can each testify to lots of inconveniences since this mutual was imposed on us.
</v>
      </c>
    </row>
    <row r="435" ht="15.75" customHeight="1">
      <c r="A435" s="3">
        <v>2.0</v>
      </c>
      <c r="B435" s="3" t="s">
        <v>1336</v>
      </c>
      <c r="C435" s="3" t="s">
        <v>1337</v>
      </c>
      <c r="D435" s="3" t="s">
        <v>716</v>
      </c>
      <c r="E435" s="3" t="s">
        <v>98</v>
      </c>
      <c r="F435" s="3" t="s">
        <v>15</v>
      </c>
      <c r="G435" s="3" t="s">
        <v>1338</v>
      </c>
      <c r="H435" s="3" t="s">
        <v>71</v>
      </c>
      <c r="I435" s="3" t="str">
        <f>IFERROR(__xludf.DUMMYFUNCTION("GOOGLETRANSLATE(C435,""fr"",""en"")"),"Everything is fine when you have nothing to ask or you expect nothing. This complicates as you ask for something. Very long deadlines, no consideration of the insured, no taking into account requests. mutual to avoid")</f>
        <v>Everything is fine when you have nothing to ask or you expect nothing. This complicates as you ask for something. Very long deadlines, no consideration of the insured, no taking into account requests. mutual to avoid</v>
      </c>
    </row>
    <row r="436" ht="15.75" customHeight="1">
      <c r="A436" s="3">
        <v>3.0</v>
      </c>
      <c r="B436" s="3" t="s">
        <v>1339</v>
      </c>
      <c r="C436" s="3" t="s">
        <v>1340</v>
      </c>
      <c r="D436" s="3" t="s">
        <v>32</v>
      </c>
      <c r="E436" s="3" t="s">
        <v>14</v>
      </c>
      <c r="F436" s="3" t="s">
        <v>15</v>
      </c>
      <c r="G436" s="3" t="s">
        <v>1341</v>
      </c>
      <c r="H436" s="3" t="s">
        <v>119</v>
      </c>
      <c r="I436" s="3" t="str">
        <f>IFERROR(__xludf.DUMMYFUNCTION("GOOGLETRANSLATE(C436,""fr"",""en"")"),"I find that the increase in prices, Home Auto, without loss at maturity and more and more important, before it was a few euros, now on average 25 to 30 euros, wages and pensions are no longer increasing, especially pensions that even have tendency to decr"&amp;"ease in the state public service. We do not understand these increases well")</f>
        <v>I find that the increase in prices, Home Auto, without loss at maturity and more and more important, before it was a few euros, now on average 25 to 30 euros, wages and pensions are no longer increasing, especially pensions that even have tendency to decrease in the state public service. We do not understand these increases well</v>
      </c>
    </row>
    <row r="437" ht="15.75" customHeight="1">
      <c r="A437" s="3">
        <v>4.0</v>
      </c>
      <c r="B437" s="3" t="s">
        <v>1342</v>
      </c>
      <c r="C437" s="3" t="s">
        <v>1343</v>
      </c>
      <c r="D437" s="3" t="s">
        <v>20</v>
      </c>
      <c r="E437" s="3" t="s">
        <v>21</v>
      </c>
      <c r="F437" s="3" t="s">
        <v>15</v>
      </c>
      <c r="G437" s="3" t="s">
        <v>860</v>
      </c>
      <c r="H437" s="3" t="s">
        <v>44</v>
      </c>
      <c r="I437" s="3" t="str">
        <f>IFERROR(__xludf.DUMMYFUNCTION("GOOGLETRANSLATE(C437,""fr"",""en"")"),"I am good with the service its fast and cheap so I advise you to ensure all your vehicles with EPREL MOTO it allows you to save more")</f>
        <v>I am good with the service its fast and cheap so I advise you to ensure all your vehicles with EPREL MOTO it allows you to save more</v>
      </c>
    </row>
    <row r="438" ht="15.75" customHeight="1">
      <c r="A438" s="3">
        <v>3.0</v>
      </c>
      <c r="B438" s="3" t="s">
        <v>1344</v>
      </c>
      <c r="C438" s="3" t="s">
        <v>1345</v>
      </c>
      <c r="D438" s="3" t="s">
        <v>42</v>
      </c>
      <c r="E438" s="3" t="s">
        <v>14</v>
      </c>
      <c r="F438" s="3" t="s">
        <v>15</v>
      </c>
      <c r="G438" s="3" t="s">
        <v>1346</v>
      </c>
      <c r="H438" s="3" t="s">
        <v>253</v>
      </c>
      <c r="I438" s="3" t="str">
        <f>IFERROR(__xludf.DUMMYFUNCTION("GOOGLETRANSLATE(C438,""fr"",""en"")"),"I am currently a direct insurance customer for my current vehicle. The announced price seems very expensive to me, almost 700 euros difference, this deserves reflection ... and analysis of prices in competition.")</f>
        <v>I am currently a direct insurance customer for my current vehicle. The announced price seems very expensive to me, almost 700 euros difference, this deserves reflection ... and analysis of prices in competition.</v>
      </c>
    </row>
    <row r="439" ht="15.75" customHeight="1">
      <c r="A439" s="3">
        <v>4.0</v>
      </c>
      <c r="B439" s="3" t="s">
        <v>1347</v>
      </c>
      <c r="C439" s="3" t="s">
        <v>1348</v>
      </c>
      <c r="D439" s="3" t="s">
        <v>47</v>
      </c>
      <c r="E439" s="3" t="s">
        <v>14</v>
      </c>
      <c r="F439" s="3" t="s">
        <v>15</v>
      </c>
      <c r="G439" s="3" t="s">
        <v>1349</v>
      </c>
      <c r="H439" s="3" t="s">
        <v>534</v>
      </c>
      <c r="I439" s="3" t="str">
        <f>IFERROR(__xludf.DUMMYFUNCTION("GOOGLETRANSLATE(C439,""fr"",""en"")"),"I really recommend this car insurance. I recently had an accident, I directly had a loan car as soon as possible. They are very professional and competent.
After being taken monthly, I contacted my insurance to tell them that I now lived in a private pro"&amp;"perty with a closed garage (insurance of the cheaper monthly) thing that was not before, I Subsequently received on my account the regularization/ the difference between my old situation and that current for this month. They themselves took the initiative"&amp;" to reimburse me the difference, and I congratulate them on this professionalism. It's so pleasant not to have to spend your time constantly on the phone for nonsense ... Bravo to them")</f>
        <v>I really recommend this car insurance. I recently had an accident, I directly had a loan car as soon as possible. They are very professional and competent.
After being taken monthly, I contacted my insurance to tell them that I now lived in a private property with a closed garage (insurance of the cheaper monthly) thing that was not before, I Subsequently received on my account the regularization/ the difference between my old situation and that current for this month. They themselves took the initiative to reimburse me the difference, and I congratulate them on this professionalism. It's so pleasant not to have to spend your time constantly on the phone for nonsense ... Bravo to them</v>
      </c>
    </row>
    <row r="440" ht="15.75" customHeight="1">
      <c r="A440" s="3">
        <v>1.0</v>
      </c>
      <c r="B440" s="3" t="s">
        <v>1350</v>
      </c>
      <c r="C440" s="3" t="s">
        <v>1351</v>
      </c>
      <c r="D440" s="3" t="s">
        <v>466</v>
      </c>
      <c r="E440" s="3" t="s">
        <v>14</v>
      </c>
      <c r="F440" s="3" t="s">
        <v>15</v>
      </c>
      <c r="G440" s="3" t="s">
        <v>425</v>
      </c>
      <c r="H440" s="3" t="s">
        <v>75</v>
      </c>
      <c r="I440" s="3" t="str">
        <f>IFERROR(__xludf.DUMMYFUNCTION("GOOGLETRANSLATE(C440,""fr"",""en"")"),"Insurance to avoid are good that to collect contributions when a disaster they are waiting for months and in the end he is looking for a flaw not to settle the loss obliged to go against expertise and to take a lawyer bravo the matmut he assures !!!! Pers"&amp;"on who works his unpleasant and hangs nothing pro")</f>
        <v>Insurance to avoid are good that to collect contributions when a disaster they are waiting for months and in the end he is looking for a flaw not to settle the loss obliged to go against expertise and to take a lawyer bravo the matmut he assures !!!! Person who works his unpleasant and hangs nothing pro</v>
      </c>
    </row>
    <row r="441" ht="15.75" customHeight="1">
      <c r="A441" s="3">
        <v>5.0</v>
      </c>
      <c r="B441" s="3" t="s">
        <v>1352</v>
      </c>
      <c r="C441" s="3" t="s">
        <v>1353</v>
      </c>
      <c r="D441" s="3" t="s">
        <v>42</v>
      </c>
      <c r="E441" s="3" t="s">
        <v>14</v>
      </c>
      <c r="F441" s="3" t="s">
        <v>15</v>
      </c>
      <c r="G441" s="3" t="s">
        <v>1354</v>
      </c>
      <c r="H441" s="3" t="s">
        <v>75</v>
      </c>
      <c r="I441" s="3" t="str">
        <f>IFERROR(__xludf.DUMMYFUNCTION("GOOGLETRANSLATE(C441,""fr"",""en"")"),"Satisfied with service and price
Very practical and easy to use site
satisfied throughout the use on the site.
Cordially")</f>
        <v>Satisfied with service and price
Very practical and easy to use site
satisfied throughout the use on the site.
Cordially</v>
      </c>
    </row>
    <row r="442" ht="15.75" customHeight="1">
      <c r="A442" s="3">
        <v>2.0</v>
      </c>
      <c r="B442" s="3" t="s">
        <v>1355</v>
      </c>
      <c r="C442" s="3" t="s">
        <v>1356</v>
      </c>
      <c r="D442" s="3" t="s">
        <v>47</v>
      </c>
      <c r="E442" s="3" t="s">
        <v>14</v>
      </c>
      <c r="F442" s="3" t="s">
        <v>15</v>
      </c>
      <c r="G442" s="3" t="s">
        <v>1357</v>
      </c>
      <c r="H442" s="3" t="s">
        <v>1261</v>
      </c>
      <c r="I442" s="3" t="str">
        <f>IFERROR(__xludf.DUMMYFUNCTION("GOOGLETRANSLATE(C442,""fr"",""en"")"),"In the event of a Pacifica accident strongly encourages you to transfer our vehicle for its repair, in the garage of its choice (price certainly negotiated so that the claim costs as little as possible) my deductible was 560 euros but by insurance subscri"&amp;"bed to at
My dealer, I had a coverage of 500 euros provided I repair the vehicle at home. That's what I did. The day of repair my mechanic having no instructions for payment I advanced the total price of the repair. A few days later, having no news from "&amp;"Pacifica I called the manager of my disaster. Explaining the situation to him, he categorically refused to call my mechanic to give him the way to follow by saying to me ""manage alone""
For almost 1 month I have still not received the report of my care "&amp;"!!")</f>
        <v>In the event of a Pacifica accident strongly encourages you to transfer our vehicle for its repair, in the garage of its choice (price certainly negotiated so that the claim costs as little as possible) my deductible was 560 euros but by insurance subscribed to at
My dealer, I had a coverage of 500 euros provided I repair the vehicle at home. That's what I did. The day of repair my mechanic having no instructions for payment I advanced the total price of the repair. A few days later, having no news from Pacifica I called the manager of my disaster. Explaining the situation to him, he categorically refused to call my mechanic to give him the way to follow by saying to me "manage alone"
For almost 1 month I have still not received the report of my care !!</v>
      </c>
    </row>
    <row r="443" ht="15.75" customHeight="1">
      <c r="A443" s="3">
        <v>4.0</v>
      </c>
      <c r="B443" s="3" t="s">
        <v>1358</v>
      </c>
      <c r="C443" s="3" t="s">
        <v>1359</v>
      </c>
      <c r="D443" s="3" t="s">
        <v>42</v>
      </c>
      <c r="E443" s="3" t="s">
        <v>14</v>
      </c>
      <c r="F443" s="3" t="s">
        <v>15</v>
      </c>
      <c r="G443" s="3" t="s">
        <v>1360</v>
      </c>
      <c r="H443" s="3" t="s">
        <v>23</v>
      </c>
      <c r="I443" s="3" t="str">
        <f>IFERROR(__xludf.DUMMYFUNCTION("GOOGLETRANSLATE(C443,""fr"",""en"")"),"
Satisfied with the relationships, competent staff, competitive prices, speed to establish quote and the realization of contracts / cordially //")</f>
        <v>
Satisfied with the relationships, competent staff, competitive prices, speed to establish quote and the realization of contracts / cordially //</v>
      </c>
    </row>
    <row r="444" ht="15.75" customHeight="1">
      <c r="A444" s="3">
        <v>5.0</v>
      </c>
      <c r="B444" s="3" t="s">
        <v>1361</v>
      </c>
      <c r="C444" s="3" t="s">
        <v>1362</v>
      </c>
      <c r="D444" s="3" t="s">
        <v>42</v>
      </c>
      <c r="E444" s="3" t="s">
        <v>14</v>
      </c>
      <c r="F444" s="3" t="s">
        <v>15</v>
      </c>
      <c r="G444" s="3" t="s">
        <v>1363</v>
      </c>
      <c r="H444" s="3" t="s">
        <v>86</v>
      </c>
      <c r="I444" s="3" t="str">
        <f>IFERROR(__xludf.DUMMYFUNCTION("GOOGLETRANSLATE(C444,""fr"",""en"")"),"I am satisfied with the service and the speed of the processing of files.
The prices are very attractive and interesting.
I will recommend this insurance to my entourage.")</f>
        <v>I am satisfied with the service and the speed of the processing of files.
The prices are very attractive and interesting.
I will recommend this insurance to my entourage.</v>
      </c>
    </row>
    <row r="445" ht="15.75" customHeight="1">
      <c r="A445" s="3">
        <v>2.0</v>
      </c>
      <c r="B445" s="3" t="s">
        <v>1364</v>
      </c>
      <c r="C445" s="3" t="s">
        <v>1365</v>
      </c>
      <c r="D445" s="3" t="s">
        <v>509</v>
      </c>
      <c r="E445" s="3" t="s">
        <v>14</v>
      </c>
      <c r="F445" s="3" t="s">
        <v>15</v>
      </c>
      <c r="G445" s="3" t="s">
        <v>1366</v>
      </c>
      <c r="H445" s="3" t="s">
        <v>100</v>
      </c>
      <c r="I445" s="3" t="str">
        <f>IFERROR(__xludf.DUMMYFUNCTION("GOOGLETRANSLATE(C445,""fr"",""en"")"),"their prices policy is less and less attractive
And I'm afraid of having to go elsewhere if it continues
My bonus went from 500 euros to 617 euros in 3 years when I had no sinister !!!")</f>
        <v>their prices policy is less and less attractive
And I'm afraid of having to go elsewhere if it continues
My bonus went from 500 euros to 617 euros in 3 years when I had no sinister !!!</v>
      </c>
    </row>
    <row r="446" ht="15.75" customHeight="1">
      <c r="A446" s="3">
        <v>3.0</v>
      </c>
      <c r="B446" s="3" t="s">
        <v>1367</v>
      </c>
      <c r="C446" s="3" t="s">
        <v>1368</v>
      </c>
      <c r="D446" s="3" t="s">
        <v>310</v>
      </c>
      <c r="E446" s="3" t="s">
        <v>311</v>
      </c>
      <c r="F446" s="3" t="s">
        <v>15</v>
      </c>
      <c r="G446" s="3" t="s">
        <v>134</v>
      </c>
      <c r="H446" s="3" t="s">
        <v>86</v>
      </c>
      <c r="I446" s="3" t="str">
        <f>IFERROR(__xludf.DUMMYFUNCTION("GOOGLETRANSLATE(C446,""fr"",""en"")"),"If my bank accepts your insurance I would be satisfied. So I am in the validation of my bank. Hopefully my bank agree")</f>
        <v>If my bank accepts your insurance I would be satisfied. So I am in the validation of my bank. Hopefully my bank agree</v>
      </c>
    </row>
    <row r="447" ht="15.75" customHeight="1">
      <c r="A447" s="3">
        <v>5.0</v>
      </c>
      <c r="B447" s="3" t="s">
        <v>1369</v>
      </c>
      <c r="C447" s="3" t="s">
        <v>1370</v>
      </c>
      <c r="D447" s="3" t="s">
        <v>13</v>
      </c>
      <c r="E447" s="3" t="s">
        <v>14</v>
      </c>
      <c r="F447" s="3" t="s">
        <v>15</v>
      </c>
      <c r="G447" s="3" t="s">
        <v>366</v>
      </c>
      <c r="H447" s="3" t="s">
        <v>39</v>
      </c>
      <c r="I447" s="3" t="str">
        <f>IFERROR(__xludf.DUMMYFUNCTION("GOOGLETRANSLATE(C447,""fr"",""en"")"),"I am very satisfied with the care of my first contact made with Mr. Philippe Tuart, as well as other contacts who followed.")</f>
        <v>I am very satisfied with the care of my first contact made with Mr. Philippe Tuart, as well as other contacts who followed.</v>
      </c>
    </row>
    <row r="448" ht="15.75" customHeight="1">
      <c r="A448" s="3">
        <v>4.0</v>
      </c>
      <c r="B448" s="3" t="s">
        <v>1371</v>
      </c>
      <c r="C448" s="3" t="s">
        <v>1372</v>
      </c>
      <c r="D448" s="3" t="s">
        <v>42</v>
      </c>
      <c r="E448" s="3" t="s">
        <v>14</v>
      </c>
      <c r="F448" s="3" t="s">
        <v>15</v>
      </c>
      <c r="G448" s="3" t="s">
        <v>473</v>
      </c>
      <c r="H448" s="3" t="s">
        <v>39</v>
      </c>
      <c r="I448" s="3" t="str">
        <f>IFERROR(__xludf.DUMMYFUNCTION("GOOGLETRANSLATE(C448,""fr"",""en"")"),"My quote was quick and simple to make and the price was attractive. I took advantage of the multidays offer to change car insurance for my vehicle.")</f>
        <v>My quote was quick and simple to make and the price was attractive. I took advantage of the multidays offer to change car insurance for my vehicle.</v>
      </c>
    </row>
    <row r="449" ht="15.75" customHeight="1">
      <c r="A449" s="3">
        <v>1.0</v>
      </c>
      <c r="B449" s="3" t="s">
        <v>1373</v>
      </c>
      <c r="C449" s="3" t="s">
        <v>1374</v>
      </c>
      <c r="D449" s="3" t="s">
        <v>182</v>
      </c>
      <c r="E449" s="3" t="s">
        <v>98</v>
      </c>
      <c r="F449" s="3" t="s">
        <v>15</v>
      </c>
      <c r="G449" s="3" t="s">
        <v>1106</v>
      </c>
      <c r="H449" s="3" t="s">
        <v>165</v>
      </c>
      <c r="I449" s="3" t="str">
        <f>IFERROR(__xludf.DUMMYFUNCTION("GOOGLETRANSLATE(C449,""fr"",""en"")"),"Mutual without interlocutor, a platform that responds when it responds. No direct line to an advisor, almost no agencies .... and the reimbursements are not satisfactory ... What to say? They trap all young teachers to join. However, we are completely fre"&amp;"e to choose a mutual. Personally I was very disappointed. And for cheaper there are quite a few who have adapted well to alternative medicine. The MGEN does not reimburse anything, even the osteo consultations are not fully reimbursed ...")</f>
        <v>Mutual without interlocutor, a platform that responds when it responds. No direct line to an advisor, almost no agencies .... and the reimbursements are not satisfactory ... What to say? They trap all young teachers to join. However, we are completely free to choose a mutual. Personally I was very disappointed. And for cheaper there are quite a few who have adapted well to alternative medicine. The MGEN does not reimburse anything, even the osteo consultations are not fully reimbursed ...</v>
      </c>
    </row>
    <row r="450" ht="15.75" customHeight="1">
      <c r="A450" s="3">
        <v>2.0</v>
      </c>
      <c r="B450" s="3" t="s">
        <v>1375</v>
      </c>
      <c r="C450" s="3" t="s">
        <v>1376</v>
      </c>
      <c r="D450" s="3" t="s">
        <v>246</v>
      </c>
      <c r="E450" s="3" t="s">
        <v>21</v>
      </c>
      <c r="F450" s="3" t="s">
        <v>15</v>
      </c>
      <c r="G450" s="3" t="s">
        <v>1377</v>
      </c>
      <c r="H450" s="3" t="s">
        <v>506</v>
      </c>
      <c r="I450" s="3" t="str">
        <f>IFERROR(__xludf.DUMMYFUNCTION("GOOGLETRANSLATE(C450,""fr"",""en"")"),"Following a non-responsible disaster in September 2019, I have no refund to date concerning the motorcycle and the helmet. Only the bodily service compensated me, the material service shows a huge talent to play the incompetent on each telephone call and "&amp;"obviously do not know how to use emails. I may contact the broker or the material service, I can't get an answer. It becomes heavy and I find this attitude particularly scandalous for an insurer who is competent in other areas.
It seems that a certain Do"&amp;"minique is able to solve this kind of different, I hope he (she) will take into account my words.
Best regards")</f>
        <v>Following a non-responsible disaster in September 2019, I have no refund to date concerning the motorcycle and the helmet. Only the bodily service compensated me, the material service shows a huge talent to play the incompetent on each telephone call and obviously do not know how to use emails. I may contact the broker or the material service, I can't get an answer. It becomes heavy and I find this attitude particularly scandalous for an insurer who is competent in other areas.
It seems that a certain Dominique is able to solve this kind of different, I hope he (she) will take into account my words.
Best regards</v>
      </c>
    </row>
    <row r="451" ht="15.75" customHeight="1">
      <c r="A451" s="3">
        <v>3.0</v>
      </c>
      <c r="B451" s="3" t="s">
        <v>1378</v>
      </c>
      <c r="C451" s="3" t="s">
        <v>1379</v>
      </c>
      <c r="D451" s="3" t="s">
        <v>42</v>
      </c>
      <c r="E451" s="3" t="s">
        <v>14</v>
      </c>
      <c r="F451" s="3" t="s">
        <v>15</v>
      </c>
      <c r="G451" s="3" t="s">
        <v>779</v>
      </c>
      <c r="H451" s="3" t="s">
        <v>23</v>
      </c>
      <c r="I451" s="3" t="str">
        <f>IFERROR(__xludf.DUMMYFUNCTION("GOOGLETRANSLATE(C451,""fr"",""en"")"),"I do not decide because I find on the one hand that the prices are still exercised and that I have not yet had disputes to settle with insurance. Cordially")</f>
        <v>I do not decide because I find on the one hand that the prices are still exercised and that I have not yet had disputes to settle with insurance. Cordially</v>
      </c>
    </row>
    <row r="452" ht="15.75" customHeight="1">
      <c r="A452" s="3">
        <v>2.0</v>
      </c>
      <c r="B452" s="3" t="s">
        <v>1380</v>
      </c>
      <c r="C452" s="3" t="s">
        <v>1381</v>
      </c>
      <c r="D452" s="3" t="s">
        <v>97</v>
      </c>
      <c r="E452" s="3" t="s">
        <v>98</v>
      </c>
      <c r="F452" s="3" t="s">
        <v>15</v>
      </c>
      <c r="G452" s="3" t="s">
        <v>415</v>
      </c>
      <c r="H452" s="3" t="s">
        <v>71</v>
      </c>
      <c r="I452" s="3" t="str">
        <f>IFERROR(__xludf.DUMMYFUNCTION("GOOGLETRANSLATE(C452,""fr"",""en"")"),"
When you subscribe they promise you everything, after more possible to reach them on the phone, or a trainee after 50 minutes of waiting, which gives you waiting to go explains your request, justified and contractual I specify here we are very much Near"&amp;" 1:30 am online (plan to recharge your phone before calling them) the trainee thanks you for waving and that is OK, they will reimburse according to your contract,
The weeks go by and no refund, they don't care about the customer. At the beginning I th"&amp;"ought it was incompetence on their part but now I doubt it. You subscribe option 4 of 4 plus the comfort reinforcement option but they reimburse according to option 1 the minimum. A single solution to terminate and change mutual.
Thank you for you"&amp;"r understanding,")</f>
        <v>
When you subscribe they promise you everything, after more possible to reach them on the phone, or a trainee after 50 minutes of waiting, which gives you waiting to go explains your request, justified and contractual I specify here we are very much Near 1:30 am online (plan to recharge your phone before calling them) the trainee thanks you for waving and that is OK, they will reimburse according to your contract,
The weeks go by and no refund, they don't care about the customer. At the beginning I thought it was incompetence on their part but now I doubt it. You subscribe option 4 of 4 plus the comfort reinforcement option but they reimburse according to option 1 the minimum. A single solution to terminate and change mutual.
Thank you for your understanding,</v>
      </c>
    </row>
    <row r="453" ht="15.75" customHeight="1">
      <c r="A453" s="3">
        <v>1.0</v>
      </c>
      <c r="B453" s="3" t="s">
        <v>1382</v>
      </c>
      <c r="C453" s="3" t="s">
        <v>1383</v>
      </c>
      <c r="D453" s="3" t="s">
        <v>674</v>
      </c>
      <c r="E453" s="3" t="s">
        <v>194</v>
      </c>
      <c r="F453" s="3" t="s">
        <v>15</v>
      </c>
      <c r="G453" s="3" t="s">
        <v>779</v>
      </c>
      <c r="H453" s="3" t="s">
        <v>23</v>
      </c>
      <c r="I453" s="3" t="str">
        <f>IFERROR(__xludf.DUMMYFUNCTION("GOOGLETRANSLATE(C453,""fr"",""en"")"),"Hello,
We try to take out a borrower insurance contract as part of a relay loan which will only last 3 days. The steps started on the internet on May 12, we are on July 13, in 3 weeks we sign the act of sale, our file is still pending, they have lost all"&amp;" the documents (we have not made a photocopy, big mistake). On the platforms, nobody never knows anything, letters take weeks to reach us, we complete them but that does not advance more! Our bank, the Caisse d'Epargne, has no privileged interlocutor, it "&amp;"is not better.
We are scandalized by the management of our file, does not even deserve 1 star.")</f>
        <v>Hello,
We try to take out a borrower insurance contract as part of a relay loan which will only last 3 days. The steps started on the internet on May 12, we are on July 13, in 3 weeks we sign the act of sale, our file is still pending, they have lost all the documents (we have not made a photocopy, big mistake). On the platforms, nobody never knows anything, letters take weeks to reach us, we complete them but that does not advance more! Our bank, the Caisse d'Epargne, has no privileged interlocutor, it is not better.
We are scandalized by the management of our file, does not even deserve 1 star.</v>
      </c>
    </row>
    <row r="454" ht="15.75" customHeight="1">
      <c r="A454" s="3">
        <v>1.0</v>
      </c>
      <c r="B454" s="3" t="s">
        <v>1384</v>
      </c>
      <c r="C454" s="3" t="s">
        <v>1385</v>
      </c>
      <c r="D454" s="3" t="s">
        <v>42</v>
      </c>
      <c r="E454" s="3" t="s">
        <v>14</v>
      </c>
      <c r="F454" s="3" t="s">
        <v>15</v>
      </c>
      <c r="G454" s="3" t="s">
        <v>1386</v>
      </c>
      <c r="H454" s="3" t="s">
        <v>23</v>
      </c>
      <c r="I454" s="3" t="str">
        <f>IFERROR(__xludf.DUMMYFUNCTION("GOOGLETRANSLATE(C454,""fr"",""en"")"),"I do not recommend it strongly, my situation is: I broke down in the middle of nowhere around midnight, I call my insurance I am inquired that the convenience store arrives in a little near 2 hours, until 6:30 am I am Always waiting for the convenience st"&amp;"ore who has still not come, I call for several resumptions the insurance there is no follow -up each time the advisor with whom I speak asks me to wait and spend another counselor Who does not provide his duty either.
In one year of contract the only tim"&amp;"e I needed my insurance I did not find it, if it was to repay or sell me another service which unfortunately only words in the area, there we find the Competent people to do so, but to assume their homework vis -à -vis us who are its customers there we ar"&amp;"e more in yes we will contact you.
I always have calls with all the advisers recorded plus exchanges with the convenience store by WhatsApp.
Conclusion 3 advisers with whom I spoke are incompetent, no follow -up, no service.
I strongly advise against"&amp;" this insurance.")</f>
        <v>I do not recommend it strongly, my situation is: I broke down in the middle of nowhere around midnight, I call my insurance I am inquired that the convenience store arrives in a little near 2 hours, until 6:30 am I am Always waiting for the convenience store who has still not come, I call for several resumptions the insurance there is no follow -up each time the advisor with whom I speak asks me to wait and spend another counselor Who does not provide his duty either.
In one year of contract the only time I needed my insurance I did not find it, if it was to repay or sell me another service which unfortunately only words in the area, there we find the Competent people to do so, but to assume their homework vis -à -vis us who are its customers there we are more in yes we will contact you.
I always have calls with all the advisers recorded plus exchanges with the convenience store by WhatsApp.
Conclusion 3 advisers with whom I spoke are incompetent, no follow -up, no service.
I strongly advise against this insurance.</v>
      </c>
    </row>
    <row r="455" ht="15.75" customHeight="1">
      <c r="A455" s="3">
        <v>1.0</v>
      </c>
      <c r="B455" s="3" t="s">
        <v>1387</v>
      </c>
      <c r="C455" s="3" t="s">
        <v>1388</v>
      </c>
      <c r="D455" s="3" t="s">
        <v>42</v>
      </c>
      <c r="E455" s="3" t="s">
        <v>14</v>
      </c>
      <c r="F455" s="3" t="s">
        <v>15</v>
      </c>
      <c r="G455" s="3" t="s">
        <v>639</v>
      </c>
      <c r="H455" s="3" t="s">
        <v>44</v>
      </c>
      <c r="I455" s="3" t="str">
        <f>IFERROR(__xludf.DUMMYFUNCTION("GOOGLETRANSLATE(C455,""fr"",""en"")"),"I terminated my two contracts (housing, and car) in January 2021 because I was enough to see the premiums take 10 % per year and this despite any disaster.
And since then I have been harassed by this insurance to make me pay the entire bonus housing that"&amp;" I terminated they called on a collection service so I called on the mediator.
I have enough because their system is quite simple they harass you until you pay, even if the steps have been taken in the forms.
")</f>
        <v>I terminated my two contracts (housing, and car) in January 2021 because I was enough to see the premiums take 10 % per year and this despite any disaster.
And since then I have been harassed by this insurance to make me pay the entire bonus housing that I terminated they called on a collection service so I called on the mediator.
I have enough because their system is quite simple they harass you until you pay, even if the steps have been taken in the forms.
</v>
      </c>
    </row>
    <row r="456" ht="15.75" customHeight="1">
      <c r="A456" s="3">
        <v>2.0</v>
      </c>
      <c r="B456" s="3" t="s">
        <v>1389</v>
      </c>
      <c r="C456" s="3" t="s">
        <v>1390</v>
      </c>
      <c r="D456" s="3" t="s">
        <v>81</v>
      </c>
      <c r="E456" s="3" t="s">
        <v>14</v>
      </c>
      <c r="F456" s="3" t="s">
        <v>15</v>
      </c>
      <c r="G456" s="3" t="s">
        <v>1391</v>
      </c>
      <c r="H456" s="3" t="s">
        <v>429</v>
      </c>
      <c r="I456" s="3" t="str">
        <f>IFERROR(__xludf.DUMMYFUNCTION("GOOGLETRANSLATE(C456,""fr"",""en"")"),"Since I have not obtained an answer to my multiple letters for 2 months, I ask on the Internet if the Macif would agree to respond to my requests ???
Why the person at the Macif St Bonnet de Mure refused to take my observation, (refusal of the opponent t"&amp;"o sign the observation therefore mine not valid ?????, despite the name and address of it which is also at the Macif not valid because not identified ???? to see with the police ???), then do I still expect to know if I can? Having the scratch of my door "&amp;"repaired, I am however all risks, but no one is talking about my repair, if I can do it? I have not seen an expert, why ??? It seems really abnormal to me, would there be a blockage of certain people ??? I had never had a problem with my insurance, but no"&amp;"w I study other contracts to make sure elsewhere
")</f>
        <v>Since I have not obtained an answer to my multiple letters for 2 months, I ask on the Internet if the Macif would agree to respond to my requests ???
Why the person at the Macif St Bonnet de Mure refused to take my observation, (refusal of the opponent to sign the observation therefore mine not valid ?????, despite the name and address of it which is also at the Macif not valid because not identified ???? to see with the police ???), then do I still expect to know if I can? Having the scratch of my door repaired, I am however all risks, but no one is talking about my repair, if I can do it? I have not seen an expert, why ??? It seems really abnormal to me, would there be a blockage of certain people ??? I had never had a problem with my insurance, but now I study other contracts to make sure elsewhere
</v>
      </c>
    </row>
    <row r="457" ht="15.75" customHeight="1">
      <c r="A457" s="3">
        <v>4.0</v>
      </c>
      <c r="B457" s="3" t="s">
        <v>1392</v>
      </c>
      <c r="C457" s="3" t="s">
        <v>1393</v>
      </c>
      <c r="D457" s="3" t="s">
        <v>13</v>
      </c>
      <c r="E457" s="3" t="s">
        <v>14</v>
      </c>
      <c r="F457" s="3" t="s">
        <v>15</v>
      </c>
      <c r="G457" s="3" t="s">
        <v>418</v>
      </c>
      <c r="H457" s="3" t="s">
        <v>115</v>
      </c>
      <c r="I457" s="3" t="str">
        <f>IFERROR(__xludf.DUMMYFUNCTION("GOOGLETRANSLATE(C457,""fr"",""en"")"),"Quick subscription and good prices surprised that there is not an application to be loaded to navigate on it and learn about other services and products and prices")</f>
        <v>Quick subscription and good prices surprised that there is not an application to be loaded to navigate on it and learn about other services and products and prices</v>
      </c>
    </row>
    <row r="458" ht="15.75" customHeight="1">
      <c r="A458" s="3">
        <v>4.0</v>
      </c>
      <c r="B458" s="3" t="s">
        <v>1394</v>
      </c>
      <c r="C458" s="3" t="s">
        <v>1395</v>
      </c>
      <c r="D458" s="3" t="s">
        <v>13</v>
      </c>
      <c r="E458" s="3" t="s">
        <v>14</v>
      </c>
      <c r="F458" s="3" t="s">
        <v>15</v>
      </c>
      <c r="G458" s="3" t="s">
        <v>578</v>
      </c>
      <c r="H458" s="3" t="s">
        <v>23</v>
      </c>
      <c r="I458" s="3" t="str">
        <f>IFERROR(__xludf.DUMMYFUNCTION("GOOGLETRANSLATE(C458,""fr"",""en"")"),"If I am still at the Olivier Assurance it is serious to people like Nabil that I had yesterday between 3 p.m. and 4 p.m. he is very customer satisfaction access, he is just perfect!")</f>
        <v>If I am still at the Olivier Assurance it is serious to people like Nabil that I had yesterday between 3 p.m. and 4 p.m. he is very customer satisfaction access, he is just perfect!</v>
      </c>
    </row>
    <row r="459" ht="15.75" customHeight="1">
      <c r="A459" s="3">
        <v>2.0</v>
      </c>
      <c r="B459" s="3" t="s">
        <v>1396</v>
      </c>
      <c r="C459" s="3" t="s">
        <v>1397</v>
      </c>
      <c r="D459" s="3" t="s">
        <v>466</v>
      </c>
      <c r="E459" s="3" t="s">
        <v>14</v>
      </c>
      <c r="F459" s="3" t="s">
        <v>15</v>
      </c>
      <c r="G459" s="3" t="s">
        <v>1398</v>
      </c>
      <c r="H459" s="3" t="s">
        <v>91</v>
      </c>
      <c r="I459" s="3" t="str">
        <f>IFERROR(__xludf.DUMMYFUNCTION("GOOGLETRANSLATE(C459,""fr"",""en"")"),"Very bad legal assistance. Mutualist functioning which purrs without real involvement to ""defend"" the mutualist client.
Bonus in trompe l'oeil and partial suppression in the minor sinister 1 °.
")</f>
        <v>Very bad legal assistance. Mutualist functioning which purrs without real involvement to "defend" the mutualist client.
Bonus in trompe l'oeil and partial suppression in the minor sinister 1 °.
</v>
      </c>
    </row>
    <row r="460" ht="15.75" customHeight="1">
      <c r="A460" s="3">
        <v>1.0</v>
      </c>
      <c r="B460" s="3" t="s">
        <v>1399</v>
      </c>
      <c r="C460" s="3" t="s">
        <v>1400</v>
      </c>
      <c r="D460" s="3" t="s">
        <v>47</v>
      </c>
      <c r="E460" s="3" t="s">
        <v>14</v>
      </c>
      <c r="F460" s="3" t="s">
        <v>15</v>
      </c>
      <c r="G460" s="3" t="s">
        <v>1401</v>
      </c>
      <c r="H460" s="3" t="s">
        <v>429</v>
      </c>
      <c r="I460" s="3" t="str">
        <f>IFERROR(__xludf.DUMMYFUNCTION("GOOGLETRANSLATE(C460,""fr"",""en"")"),"To flee.
Auto insurance contract signed on 06/18/20 with 3 -month reimbursed offer.
Accident not responsible on 08/08/2020 vehicle is wreck.
In the end does not reimburse the months that I paid without having any reason.
They just know how to bait cus"&amp;"tomers with offers and they are ripping the contract signed once.
The advisers do not respond the same thing and most are haughty.
High price
Catastrophic telephone waiting time.
Really to flee.
")</f>
        <v>To flee.
Auto insurance contract signed on 06/18/20 with 3 -month reimbursed offer.
Accident not responsible on 08/08/2020 vehicle is wreck.
In the end does not reimburse the months that I paid without having any reason.
They just know how to bait customers with offers and they are ripping the contract signed once.
The advisers do not respond the same thing and most are haughty.
High price
Catastrophic telephone waiting time.
Really to flee.
</v>
      </c>
    </row>
    <row r="461" ht="15.75" customHeight="1">
      <c r="A461" s="3">
        <v>1.0</v>
      </c>
      <c r="B461" s="3" t="s">
        <v>1402</v>
      </c>
      <c r="C461" s="3" t="s">
        <v>1403</v>
      </c>
      <c r="D461" s="3" t="s">
        <v>549</v>
      </c>
      <c r="E461" s="3" t="s">
        <v>21</v>
      </c>
      <c r="F461" s="3" t="s">
        <v>15</v>
      </c>
      <c r="G461" s="3" t="s">
        <v>1404</v>
      </c>
      <c r="H461" s="3" t="s">
        <v>75</v>
      </c>
      <c r="I461" s="3" t="str">
        <f>IFERROR(__xludf.DUMMYFUNCTION("GOOGLETRANSLATE(C461,""fr"",""en"")"),"After spending three years at AMDM this year I pay more than my beginnings that my bonus took 0.5%.
Their explanations were that they had had a lot of accidents in 2020 years of the Covid 19 when hanging for several months we could not ride, while all th"&amp;"e others have dropped their prices they increase.
I do not understand because if I have an accident I will take pennus and therefore pay more normal, but I do not see why my insurance increases when for my part I did not have one.
So this year I changed"&amp;" and from 1100 euros I go to 506 all risks while at MDM I was at the third party ... Seeking the error")</f>
        <v>After spending three years at AMDM this year I pay more than my beginnings that my bonus took 0.5%.
Their explanations were that they had had a lot of accidents in 2020 years of the Covid 19 when hanging for several months we could not ride, while all the others have dropped their prices they increase.
I do not understand because if I have an accident I will take pennus and therefore pay more normal, but I do not see why my insurance increases when for my part I did not have one.
So this year I changed and from 1100 euros I go to 506 all risks while at MDM I was at the third party ... Seeking the error</v>
      </c>
    </row>
    <row r="462" ht="15.75" customHeight="1">
      <c r="A462" s="3">
        <v>5.0</v>
      </c>
      <c r="B462" s="3" t="s">
        <v>1405</v>
      </c>
      <c r="C462" s="3" t="s">
        <v>1406</v>
      </c>
      <c r="D462" s="3" t="s">
        <v>13</v>
      </c>
      <c r="E462" s="3" t="s">
        <v>14</v>
      </c>
      <c r="F462" s="3" t="s">
        <v>15</v>
      </c>
      <c r="G462" s="3" t="s">
        <v>747</v>
      </c>
      <c r="H462" s="3" t="s">
        <v>23</v>
      </c>
      <c r="I462" s="3" t="str">
        <f>IFERROR(__xludf.DUMMYFUNCTION("GOOGLETRANSLATE(C462,""fr"",""en"")"),"The group L'Olivier Assurance being part of the Admiral group, you could contact your UK pure branch Recover the documents necessary for my membership because you request documents that are not common in England")</f>
        <v>The group L'Olivier Assurance being part of the Admiral group, you could contact your UK pure branch Recover the documents necessary for my membership because you request documents that are not common in England</v>
      </c>
    </row>
    <row r="463" ht="15.75" customHeight="1">
      <c r="A463" s="3">
        <v>2.0</v>
      </c>
      <c r="B463" s="3" t="s">
        <v>1407</v>
      </c>
      <c r="C463" s="3" t="s">
        <v>1408</v>
      </c>
      <c r="D463" s="3" t="s">
        <v>42</v>
      </c>
      <c r="E463" s="3" t="s">
        <v>14</v>
      </c>
      <c r="F463" s="3" t="s">
        <v>15</v>
      </c>
      <c r="G463" s="3" t="s">
        <v>908</v>
      </c>
      <c r="H463" s="3" t="s">
        <v>75</v>
      </c>
      <c r="I463" s="3" t="str">
        <f>IFERROR(__xludf.DUMMYFUNCTION("GOOGLETRANSLATE(C463,""fr"",""en"")"),"Customer service is catastrophic, the advisers do anything and made me pay 3 contracts for 2 cars, I am exceeded, the communication is cut is it is impossible to speak to the same lost advisor 3 hours on the phone and the problem is still not settled and "&amp;"I am not refunded the contribution too paid")</f>
        <v>Customer service is catastrophic, the advisers do anything and made me pay 3 contracts for 2 cars, I am exceeded, the communication is cut is it is impossible to speak to the same lost advisor 3 hours on the phone and the problem is still not settled and I am not refunded the contribution too paid</v>
      </c>
    </row>
    <row r="464" ht="15.75" customHeight="1">
      <c r="A464" s="3">
        <v>4.0</v>
      </c>
      <c r="B464" s="3" t="s">
        <v>1409</v>
      </c>
      <c r="C464" s="3" t="s">
        <v>1410</v>
      </c>
      <c r="D464" s="3" t="s">
        <v>13</v>
      </c>
      <c r="E464" s="3" t="s">
        <v>14</v>
      </c>
      <c r="F464" s="3" t="s">
        <v>15</v>
      </c>
      <c r="G464" s="3" t="s">
        <v>1271</v>
      </c>
      <c r="H464" s="3" t="s">
        <v>39</v>
      </c>
      <c r="I464" s="3" t="str">
        <f>IFERROR(__xludf.DUMMYFUNCTION("GOOGLETRANSLATE(C464,""fr"",""en"")"),"I start I don't have much to say about it is not in relation to listening hindows, patient and effective and that my registration was quick")</f>
        <v>I start I don't have much to say about it is not in relation to listening hindows, patient and effective and that my registration was quick</v>
      </c>
    </row>
    <row r="465" ht="15.75" customHeight="1">
      <c r="A465" s="3">
        <v>2.0</v>
      </c>
      <c r="B465" s="3" t="s">
        <v>1411</v>
      </c>
      <c r="C465" s="3" t="s">
        <v>1412</v>
      </c>
      <c r="D465" s="3" t="s">
        <v>42</v>
      </c>
      <c r="E465" s="3" t="s">
        <v>14</v>
      </c>
      <c r="F465" s="3" t="s">
        <v>15</v>
      </c>
      <c r="G465" s="3" t="s">
        <v>1413</v>
      </c>
      <c r="H465" s="3" t="s">
        <v>86</v>
      </c>
      <c r="I465" s="3" t="str">
        <f>IFERROR(__xludf.DUMMYFUNCTION("GOOGLETRANSLATE(C465,""fr"",""en"")"),"Increase of more than 12% in one year!
I have not subscribed to any pack and I see an additional line attacks for more than 25 € I would like to know what it is.
Thank you")</f>
        <v>Increase of more than 12% in one year!
I have not subscribed to any pack and I see an additional line attacks for more than 25 € I would like to know what it is.
Thank you</v>
      </c>
    </row>
    <row r="466" ht="15.75" customHeight="1">
      <c r="A466" s="3">
        <v>1.0</v>
      </c>
      <c r="B466" s="3" t="s">
        <v>1414</v>
      </c>
      <c r="C466" s="3" t="s">
        <v>1415</v>
      </c>
      <c r="D466" s="3" t="s">
        <v>251</v>
      </c>
      <c r="E466" s="3" t="s">
        <v>311</v>
      </c>
      <c r="F466" s="3" t="s">
        <v>15</v>
      </c>
      <c r="G466" s="3" t="s">
        <v>1416</v>
      </c>
      <c r="H466" s="3" t="s">
        <v>149</v>
      </c>
      <c r="I466" s="3" t="str">
        <f>IFERROR(__xludf.DUMMYFUNCTION("GOOGLETRANSLATE(C466,""fr"",""en"")"),"Hello everyone, I join the circle of the great disappointed of the cardif .... my wife in stop since February following an accident at work for the leg and on the back ..... after having waited for the 90 days of deficiency, TT The interlocutors in agreem"&amp;"ent on the fact that we have the right to compensation, except the decideer who evokes a contract clause while it is well written on my contract. .... you have to explain me ....")</f>
        <v>Hello everyone, I join the circle of the great disappointed of the cardif .... my wife in stop since February following an accident at work for the leg and on the back ..... after having waited for the 90 days of deficiency, TT The interlocutors in agreement on the fact that we have the right to compensation, except the decideer who evokes a contract clause while it is well written on my contract. .... you have to explain me ....</v>
      </c>
    </row>
    <row r="467" ht="15.75" customHeight="1">
      <c r="A467" s="3">
        <v>4.0</v>
      </c>
      <c r="B467" s="3" t="s">
        <v>1417</v>
      </c>
      <c r="C467" s="3" t="s">
        <v>1418</v>
      </c>
      <c r="D467" s="3" t="s">
        <v>20</v>
      </c>
      <c r="E467" s="3" t="s">
        <v>21</v>
      </c>
      <c r="F467" s="3" t="s">
        <v>15</v>
      </c>
      <c r="G467" s="3" t="s">
        <v>1419</v>
      </c>
      <c r="H467" s="3" t="s">
        <v>75</v>
      </c>
      <c r="I467" s="3" t="str">
        <f>IFERROR(__xludf.DUMMYFUNCTION("GOOGLETRANSLATE(C467,""fr"",""en"")"),"The online subscription is simple and quick, the options are well detailed and on the menu
The price is visible immediately as long as we clicked on the option
And well placed price")</f>
        <v>The online subscription is simple and quick, the options are well detailed and on the menu
The price is visible immediately as long as we clicked on the option
And well placed price</v>
      </c>
    </row>
    <row r="468" ht="15.75" customHeight="1">
      <c r="A468" s="3">
        <v>2.0</v>
      </c>
      <c r="B468" s="3" t="s">
        <v>1420</v>
      </c>
      <c r="C468" s="3" t="s">
        <v>1421</v>
      </c>
      <c r="D468" s="3" t="s">
        <v>384</v>
      </c>
      <c r="E468" s="3" t="s">
        <v>21</v>
      </c>
      <c r="F468" s="3" t="s">
        <v>15</v>
      </c>
      <c r="G468" s="3" t="s">
        <v>297</v>
      </c>
      <c r="H468" s="3" t="s">
        <v>23</v>
      </c>
      <c r="I468" s="3" t="str">
        <f>IFERROR(__xludf.DUMMYFUNCTION("GOOGLETRANSLATE(C468,""fr"",""en"")"),"I am satisfied with the service but remains to be improved in the sense that if we have to modify or add drivers this is not possible directly")</f>
        <v>I am satisfied with the service but remains to be improved in the sense that if we have to modify or add drivers this is not possible directly</v>
      </c>
    </row>
    <row r="469" ht="15.75" customHeight="1">
      <c r="A469" s="3">
        <v>4.0</v>
      </c>
      <c r="B469" s="3" t="s">
        <v>1422</v>
      </c>
      <c r="C469" s="3" t="s">
        <v>1423</v>
      </c>
      <c r="D469" s="3" t="s">
        <v>20</v>
      </c>
      <c r="E469" s="3" t="s">
        <v>21</v>
      </c>
      <c r="F469" s="3" t="s">
        <v>15</v>
      </c>
      <c r="G469" s="3" t="s">
        <v>1274</v>
      </c>
      <c r="H469" s="3" t="s">
        <v>224</v>
      </c>
      <c r="I469" s="3" t="str">
        <f>IFERROR(__xludf.DUMMYFUNCTION("GOOGLETRANSLATE(C469,""fr"",""en"")"),"efficient ,
and,
 quick ,
the
 better
rate
 from
 net but comments compulsory to give his opinion these are really very very very drunk")</f>
        <v>efficient ,
and,
 quick ,
the
 better
rate
 from
 net but comments compulsory to give his opinion these are really very very very drunk</v>
      </c>
    </row>
    <row r="470" ht="15.75" customHeight="1">
      <c r="A470" s="3">
        <v>5.0</v>
      </c>
      <c r="B470" s="3" t="s">
        <v>1424</v>
      </c>
      <c r="C470" s="3" t="s">
        <v>1425</v>
      </c>
      <c r="D470" s="3" t="s">
        <v>13</v>
      </c>
      <c r="E470" s="3" t="s">
        <v>14</v>
      </c>
      <c r="F470" s="3" t="s">
        <v>15</v>
      </c>
      <c r="G470" s="3" t="s">
        <v>747</v>
      </c>
      <c r="H470" s="3" t="s">
        <v>23</v>
      </c>
      <c r="I470" s="3" t="str">
        <f>IFERROR(__xludf.DUMMYFUNCTION("GOOGLETRANSLATE(C470,""fr"",""en"")"),"I am satisfied with the site and the service by phone, I await the return of the pieces and to complete my file with you to really appreciate your daily insurance")</f>
        <v>I am satisfied with the site and the service by phone, I await the return of the pieces and to complete my file with you to really appreciate your daily insurance</v>
      </c>
    </row>
    <row r="471" ht="15.75" customHeight="1">
      <c r="A471" s="3">
        <v>4.0</v>
      </c>
      <c r="B471" s="3" t="s">
        <v>1426</v>
      </c>
      <c r="C471" s="3" t="s">
        <v>1427</v>
      </c>
      <c r="D471" s="3" t="s">
        <v>332</v>
      </c>
      <c r="E471" s="3" t="s">
        <v>194</v>
      </c>
      <c r="F471" s="3" t="s">
        <v>15</v>
      </c>
      <c r="G471" s="3" t="s">
        <v>1268</v>
      </c>
      <c r="H471" s="3" t="s">
        <v>100</v>
      </c>
      <c r="I471" s="3" t="str">
        <f>IFERROR(__xludf.DUMMYFUNCTION("GOOGLETRANSLATE(C471,""fr"",""en"")"),"A member for over 15 years, I have nothing to complain about about my mutual insurance company. Hearing other colleagues talking about their problems, I feel pretty good Lôti.")</f>
        <v>A member for over 15 years, I have nothing to complain about about my mutual insurance company. Hearing other colleagues talking about their problems, I feel pretty good Lôti.</v>
      </c>
    </row>
    <row r="472" ht="15.75" customHeight="1">
      <c r="A472" s="3">
        <v>1.0</v>
      </c>
      <c r="B472" s="3" t="s">
        <v>1428</v>
      </c>
      <c r="C472" s="3" t="s">
        <v>1429</v>
      </c>
      <c r="D472" s="3" t="s">
        <v>89</v>
      </c>
      <c r="E472" s="3" t="s">
        <v>33</v>
      </c>
      <c r="F472" s="3" t="s">
        <v>15</v>
      </c>
      <c r="G472" s="3" t="s">
        <v>1430</v>
      </c>
      <c r="H472" s="3" t="s">
        <v>111</v>
      </c>
      <c r="I472" s="3" t="str">
        <f>IFERROR(__xludf.DUMMYFUNCTION("GOOGLETRANSLATE(C472,""fr"",""en"")"),"Very expensive
Criteria for Maïf or Filia Maîf very criticizable")</f>
        <v>Very expensive
Criteria for Maïf or Filia Maîf very criticizable</v>
      </c>
    </row>
    <row r="473" ht="15.75" customHeight="1">
      <c r="A473" s="3">
        <v>1.0</v>
      </c>
      <c r="B473" s="3" t="s">
        <v>1431</v>
      </c>
      <c r="C473" s="3" t="s">
        <v>1432</v>
      </c>
      <c r="D473" s="3" t="s">
        <v>614</v>
      </c>
      <c r="E473" s="3" t="s">
        <v>109</v>
      </c>
      <c r="F473" s="3" t="s">
        <v>15</v>
      </c>
      <c r="G473" s="3" t="s">
        <v>1433</v>
      </c>
      <c r="H473" s="3" t="s">
        <v>91</v>
      </c>
      <c r="I473" s="3" t="str">
        <f>IFERROR(__xludf.DUMMYFUNCTION("GOOGLETRANSLATE(C473,""fr"",""en"")"),"Despite cordial telephone contacts, I am very disappointed not to say angry to this insurer. The information given on advertising brochures is certainly enticing but completely false.
I took the comfort formula which costs me 61 €/month, it's expensive b"&amp;"ut what would we not do for our 4-legged friends.
I am normally reimbursed 100% for surgical costs (pre -operating examinations among others), medical costs (visit, consultation, care, drugs) and diagnostic costs (analysis, radio, echo, etc.). And althou"&amp;"gh Queneni !!! Liars!
Already there is this franchise story of € 30 which appears in their advertisement in a very small poorly indicated line of course and to read with a magnifying glass.
Then the costs. I had my dog ​​sterilize. It is reimbursed to m"&amp;"e € 100. Ok. But everything that goes with this operation, the pre -operating costs, the echo and other analyzes, the drugs to give after ... all that is not reimbursed contrary to what they announce! For them it is part of the sterilization costs! A sham"&amp;"e ! Liars! If I had been able to put any star I would have done it!
I terminated my contract and it is without regret! Instead, put money aside for your pet, but do not take insurance!")</f>
        <v>Despite cordial telephone contacts, I am very disappointed not to say angry to this insurer. The information given on advertising brochures is certainly enticing but completely false.
I took the comfort formula which costs me 61 €/month, it's expensive but what would we not do for our 4-legged friends.
I am normally reimbursed 100% for surgical costs (pre -operating examinations among others), medical costs (visit, consultation, care, drugs) and diagnostic costs (analysis, radio, echo, etc.). And although Queneni !!! Liars!
Already there is this franchise story of € 30 which appears in their advertisement in a very small poorly indicated line of course and to read with a magnifying glass.
Then the costs. I had my dog ​​sterilize. It is reimbursed to me € 100. Ok. But everything that goes with this operation, the pre -operating costs, the echo and other analyzes, the drugs to give after ... all that is not reimbursed contrary to what they announce! For them it is part of the sterilization costs! A shame ! Liars! If I had been able to put any star I would have done it!
I terminated my contract and it is without regret! Instead, put money aside for your pet, but do not take insurance!</v>
      </c>
    </row>
    <row r="474" ht="15.75" customHeight="1">
      <c r="A474" s="3">
        <v>1.0</v>
      </c>
      <c r="B474" s="3" t="s">
        <v>1434</v>
      </c>
      <c r="C474" s="3" t="s">
        <v>1435</v>
      </c>
      <c r="D474" s="3" t="s">
        <v>55</v>
      </c>
      <c r="E474" s="3" t="s">
        <v>14</v>
      </c>
      <c r="F474" s="3" t="s">
        <v>15</v>
      </c>
      <c r="G474" s="3" t="s">
        <v>1436</v>
      </c>
      <c r="H474" s="3" t="s">
        <v>105</v>
      </c>
      <c r="I474" s="3" t="str">
        <f>IFERROR(__xludf.DUMMYFUNCTION("GOOGLETRANSLATE(C474,""fr"",""en"")"),"unsatisfied!
By wanting to take out insurance quickly and not too expensive, I chose them.
To my greatest regret, I am seeing to find a mediation but impossible abusive invoicing of a plan of € 80 for non -transformation of the quote into a contract.
I"&amp;" find it unacceptable.
Insurance to flee!")</f>
        <v>unsatisfied!
By wanting to take out insurance quickly and not too expensive, I chose them.
To my greatest regret, I am seeing to find a mediation but impossible abusive invoicing of a plan of € 80 for non -transformation of the quote into a contract.
I find it unacceptable.
Insurance to flee!</v>
      </c>
    </row>
    <row r="475" ht="15.75" customHeight="1">
      <c r="A475" s="3">
        <v>3.0</v>
      </c>
      <c r="B475" s="3" t="s">
        <v>1437</v>
      </c>
      <c r="C475" s="3" t="s">
        <v>1438</v>
      </c>
      <c r="D475" s="3" t="s">
        <v>97</v>
      </c>
      <c r="E475" s="3" t="s">
        <v>98</v>
      </c>
      <c r="F475" s="3" t="s">
        <v>15</v>
      </c>
      <c r="G475" s="3" t="s">
        <v>1439</v>
      </c>
      <c r="H475" s="3" t="s">
        <v>898</v>
      </c>
      <c r="I475" s="3" t="str">
        <f>IFERROR(__xludf.DUMMYFUNCTION("GOOGLETRANSLATE(C475,""fr"",""en"")"),"I have been in Santiane since March. The reimbursements have been made without problem.
I have always had a good telephone reception
")</f>
        <v>I have been in Santiane since March. The reimbursements have been made without problem.
I have always had a good telephone reception
</v>
      </c>
    </row>
    <row r="476" ht="15.75" customHeight="1">
      <c r="A476" s="3">
        <v>1.0</v>
      </c>
      <c r="B476" s="3" t="s">
        <v>1440</v>
      </c>
      <c r="C476" s="3" t="s">
        <v>1441</v>
      </c>
      <c r="D476" s="3" t="s">
        <v>81</v>
      </c>
      <c r="E476" s="3" t="s">
        <v>33</v>
      </c>
      <c r="F476" s="3" t="s">
        <v>15</v>
      </c>
      <c r="G476" s="3" t="s">
        <v>1442</v>
      </c>
      <c r="H476" s="3" t="s">
        <v>71</v>
      </c>
      <c r="I476" s="3" t="str">
        <f>IFERROR(__xludf.DUMMYFUNCTION("GOOGLETRANSLATE(C476,""fr"",""en"")"),"Who knows good insurance? We pay, we pay but no help, see the opposite. Too bad the insurance is compulsory! The Macif has deteriorated well :(")</f>
        <v>Who knows good insurance? We pay, we pay but no help, see the opposite. Too bad the insurance is compulsory! The Macif has deteriorated well :(</v>
      </c>
    </row>
    <row r="477" ht="15.75" customHeight="1">
      <c r="A477" s="3">
        <v>1.0</v>
      </c>
      <c r="B477" s="3" t="s">
        <v>1443</v>
      </c>
      <c r="C477" s="3" t="s">
        <v>1444</v>
      </c>
      <c r="D477" s="3" t="s">
        <v>97</v>
      </c>
      <c r="E477" s="3" t="s">
        <v>98</v>
      </c>
      <c r="F477" s="3" t="s">
        <v>15</v>
      </c>
      <c r="G477" s="3" t="s">
        <v>1445</v>
      </c>
      <c r="H477" s="3" t="s">
        <v>169</v>
      </c>
      <c r="I477" s="3" t="str">
        <f>IFERROR(__xludf.DUMMYFUNCTION("GOOGLETRANSLATE(C477,""fr"",""en"")"),"A request for information via their site has still not received a response after 4 days. They display on their site no refund when they made a transfer arrived yesterday on my account. Their guarantees display € 55 for a private room, while the clinic doe"&amp;"s not charge € 54 but € 72 to their customers because Neoliane did not sign the agreement with the clinic.")</f>
        <v>A request for information via their site has still not received a response after 4 days. They display on their site no refund when they made a transfer arrived yesterday on my account. Their guarantees display € 55 for a private room, while the clinic does not charge € 54 but € 72 to their customers because Neoliane did not sign the agreement with the clinic.</v>
      </c>
    </row>
    <row r="478" ht="15.75" customHeight="1">
      <c r="A478" s="3">
        <v>2.0</v>
      </c>
      <c r="B478" s="3" t="s">
        <v>1446</v>
      </c>
      <c r="C478" s="3" t="s">
        <v>1447</v>
      </c>
      <c r="D478" s="3" t="s">
        <v>140</v>
      </c>
      <c r="E478" s="3" t="s">
        <v>98</v>
      </c>
      <c r="F478" s="3" t="s">
        <v>15</v>
      </c>
      <c r="G478" s="3" t="s">
        <v>1448</v>
      </c>
      <c r="H478" s="3" t="s">
        <v>29</v>
      </c>
      <c r="I478" s="3" t="str">
        <f>IFERROR(__xludf.DUMMYFUNCTION("GOOGLETRANSLATE(C478,""fr"",""en"")"),"I have been a customer since August 23, 2020 and I am sent a new schedule with € 7 increase for January
I find it scandalous an increase after 5 months
To avoid")</f>
        <v>I have been a customer since August 23, 2020 and I am sent a new schedule with € 7 increase for January
I find it scandalous an increase after 5 months
To avoid</v>
      </c>
    </row>
    <row r="479" ht="15.75" customHeight="1">
      <c r="A479" s="3">
        <v>5.0</v>
      </c>
      <c r="B479" s="3" t="s">
        <v>1449</v>
      </c>
      <c r="C479" s="3" t="s">
        <v>1450</v>
      </c>
      <c r="D479" s="3" t="s">
        <v>384</v>
      </c>
      <c r="E479" s="3" t="s">
        <v>21</v>
      </c>
      <c r="F479" s="3" t="s">
        <v>15</v>
      </c>
      <c r="G479" s="3" t="s">
        <v>865</v>
      </c>
      <c r="H479" s="3" t="s">
        <v>115</v>
      </c>
      <c r="I479" s="3" t="str">
        <f>IFERROR(__xludf.DUMMYFUNCTION("GOOGLETRANSLATE(C479,""fr"",""en"")"),"Merciii for your insurance I am very happy with your welcome and your loyalty I would try without speaking to several friends to me and my entourage.")</f>
        <v>Merciii for your insurance I am very happy with your welcome and your loyalty I would try without speaking to several friends to me and my entourage.</v>
      </c>
    </row>
    <row r="480" ht="15.75" customHeight="1">
      <c r="A480" s="3">
        <v>1.0</v>
      </c>
      <c r="B480" s="3" t="s">
        <v>1451</v>
      </c>
      <c r="C480" s="3" t="s">
        <v>1452</v>
      </c>
      <c r="D480" s="3" t="s">
        <v>42</v>
      </c>
      <c r="E480" s="3" t="s">
        <v>14</v>
      </c>
      <c r="F480" s="3" t="s">
        <v>15</v>
      </c>
      <c r="G480" s="3" t="s">
        <v>1453</v>
      </c>
      <c r="H480" s="3" t="s">
        <v>71</v>
      </c>
      <c r="I480" s="3" t="str">
        <f>IFERROR(__xludf.DUMMYFUNCTION("GOOGLETRANSLATE(C480,""fr"",""en"")"),"01/29/2019 Subscription of car insurance at Direct Insurance. Vehicle Citroen C3 Tous Risks, bonus 50%for 318.51 euros. My son living in England wishing to use this car Lord of his stays in France, I notify this insurance on 08/10/2020, 100.49 euros suppl"&amp;"ement to complete the year
Contribution for the year 2021,667.99 euros with a deductible of 1,500 euros in the event of a responsible accident
Comparison with the same car, same bonus, my children can use my vehicle, even my neighbor if necessary contri"&amp;"bution 374.82 euros deductible in the event of a responsible accident 240 euros
Make your choice, as far as I'm concerned is already made")</f>
        <v>01/29/2019 Subscription of car insurance at Direct Insurance. Vehicle Citroen C3 Tous Risks, bonus 50%for 318.51 euros. My son living in England wishing to use this car Lord of his stays in France, I notify this insurance on 08/10/2020, 100.49 euros supplement to complete the year
Contribution for the year 2021,667.99 euros with a deductible of 1,500 euros in the event of a responsible accident
Comparison with the same car, same bonus, my children can use my vehicle, even my neighbor if necessary contribution 374.82 euros deductible in the event of a responsible accident 240 euros
Make your choice, as far as I'm concerned is already made</v>
      </c>
    </row>
    <row r="481" ht="15.75" customHeight="1">
      <c r="A481" s="3">
        <v>1.0</v>
      </c>
      <c r="B481" s="3" t="s">
        <v>1454</v>
      </c>
      <c r="C481" s="3" t="s">
        <v>1455</v>
      </c>
      <c r="D481" s="3" t="s">
        <v>81</v>
      </c>
      <c r="E481" s="3" t="s">
        <v>14</v>
      </c>
      <c r="F481" s="3" t="s">
        <v>15</v>
      </c>
      <c r="G481" s="3" t="s">
        <v>1456</v>
      </c>
      <c r="H481" s="3" t="s">
        <v>551</v>
      </c>
      <c r="I481" s="3" t="str">
        <f>IFERROR(__xludf.DUMMYFUNCTION("GOOGLETRANSLATE(C481,""fr"",""en"")"),"For more than 20 years that I have been at Macif and unfortunately I have been disappointed because for years I have paid very expensive when it should not be simply because this insurance has not regularized my bonus
If I did not realize Loez of my acci"&amp;"dent I will continue to pay full pot
No excuse on their part I wanted a refund of the overflow
 They did not want to reimburse me all of the amount but again he sees their advantage by deducing in my monthly payments
 It is shameful")</f>
        <v>For more than 20 years that I have been at Macif and unfortunately I have been disappointed because for years I have paid very expensive when it should not be simply because this insurance has not regularized my bonus
If I did not realize Loez of my accident I will continue to pay full pot
No excuse on their part I wanted a refund of the overflow
 They did not want to reimburse me all of the amount but again he sees their advantage by deducing in my monthly payments
 It is shameful</v>
      </c>
    </row>
    <row r="482" ht="15.75" customHeight="1">
      <c r="A482" s="3">
        <v>5.0</v>
      </c>
      <c r="B482" s="3" t="s">
        <v>1457</v>
      </c>
      <c r="C482" s="3" t="s">
        <v>1458</v>
      </c>
      <c r="D482" s="3" t="s">
        <v>42</v>
      </c>
      <c r="E482" s="3" t="s">
        <v>14</v>
      </c>
      <c r="F482" s="3" t="s">
        <v>15</v>
      </c>
      <c r="G482" s="3" t="s">
        <v>1459</v>
      </c>
      <c r="H482" s="3" t="s">
        <v>86</v>
      </c>
      <c r="I482" s="3" t="str">
        <f>IFERROR(__xludf.DUMMYFUNCTION("GOOGLETRANSLATE(C482,""fr"",""en"")"),"For the moment everything is fine, let's wait to see when I will no longer have my A for the rest and negotiate my contract, in any case the site is clear and and think well.
")</f>
        <v>For the moment everything is fine, let's wait to see when I will no longer have my A for the rest and negotiate my contract, in any case the site is clear and and think well.
</v>
      </c>
    </row>
    <row r="483" ht="15.75" customHeight="1">
      <c r="A483" s="3">
        <v>3.0</v>
      </c>
      <c r="B483" s="3" t="s">
        <v>1460</v>
      </c>
      <c r="C483" s="3" t="s">
        <v>1461</v>
      </c>
      <c r="D483" s="3" t="s">
        <v>42</v>
      </c>
      <c r="E483" s="3" t="s">
        <v>14</v>
      </c>
      <c r="F483" s="3" t="s">
        <v>15</v>
      </c>
      <c r="G483" s="3" t="s">
        <v>608</v>
      </c>
      <c r="H483" s="3" t="s">
        <v>75</v>
      </c>
      <c r="I483" s="3" t="str">
        <f>IFERROR(__xludf.DUMMYFUNCTION("GOOGLETRANSLATE(C483,""fr"",""en"")"),"Too expensive now, for my first contract contract the prices were attractive. But despite an increasing bonus, my contributions explode a little more every year.")</f>
        <v>Too expensive now, for my first contract contract the prices were attractive. But despite an increasing bonus, my contributions explode a little more every year.</v>
      </c>
    </row>
    <row r="484" ht="15.75" customHeight="1">
      <c r="A484" s="3">
        <v>2.0</v>
      </c>
      <c r="B484" s="3" t="s">
        <v>1462</v>
      </c>
      <c r="C484" s="3" t="s">
        <v>1463</v>
      </c>
      <c r="D484" s="3" t="s">
        <v>466</v>
      </c>
      <c r="E484" s="3" t="s">
        <v>33</v>
      </c>
      <c r="F484" s="3" t="s">
        <v>15</v>
      </c>
      <c r="G484" s="3" t="s">
        <v>1464</v>
      </c>
      <c r="H484" s="3" t="s">
        <v>142</v>
      </c>
      <c r="I484" s="3" t="str">
        <f>IFERROR(__xludf.DUMMYFUNCTION("GOOGLETRANSLATE(C484,""fr"",""en"")"),"My mother, who celebrated her 93th birthday, had a break in ice in early February in early May still no news from the Matmut despite many emails company to be avoided except not to use it")</f>
        <v>My mother, who celebrated her 93th birthday, had a break in ice in early February in early May still no news from the Matmut despite many emails company to be avoided except not to use it</v>
      </c>
    </row>
    <row r="485" ht="15.75" customHeight="1">
      <c r="A485" s="3">
        <v>4.0</v>
      </c>
      <c r="B485" s="3" t="s">
        <v>1465</v>
      </c>
      <c r="C485" s="3" t="s">
        <v>1466</v>
      </c>
      <c r="D485" s="3" t="s">
        <v>103</v>
      </c>
      <c r="E485" s="3" t="s">
        <v>98</v>
      </c>
      <c r="F485" s="3" t="s">
        <v>15</v>
      </c>
      <c r="G485" s="3" t="s">
        <v>1000</v>
      </c>
      <c r="H485" s="3" t="s">
        <v>66</v>
      </c>
      <c r="I485" s="3" t="str">
        <f>IFERROR(__xludf.DUMMYFUNCTION("GOOGLETRANSLATE(C485,""fr"",""en"")"),"MGP Cher230 €/month/2 heads. 45 years of subscription, retired PN. I keep it for life insurance dating 1970. Satisfactory reimbursements, suitable for young agents, plan otherwise over time.")</f>
        <v>MGP Cher230 €/month/2 heads. 45 years of subscription, retired PN. I keep it for life insurance dating 1970. Satisfactory reimbursements, suitable for young agents, plan otherwise over time.</v>
      </c>
    </row>
    <row r="486" ht="15.75" customHeight="1">
      <c r="A486" s="3">
        <v>3.0</v>
      </c>
      <c r="B486" s="3" t="s">
        <v>1467</v>
      </c>
      <c r="C486" s="3" t="s">
        <v>1468</v>
      </c>
      <c r="D486" s="3" t="s">
        <v>140</v>
      </c>
      <c r="E486" s="3" t="s">
        <v>98</v>
      </c>
      <c r="F486" s="3" t="s">
        <v>15</v>
      </c>
      <c r="G486" s="3" t="s">
        <v>303</v>
      </c>
      <c r="H486" s="3" t="s">
        <v>304</v>
      </c>
      <c r="I486" s="3" t="str">
        <f>IFERROR(__xludf.DUMMYFUNCTION("GOOGLETRANSLATE(C486,""fr"",""en"")"),"Rapiditic effective
drop in the rate by contribution to old price
Best reimbursements")</f>
        <v>Rapiditic effective
drop in the rate by contribution to old price
Best reimbursements</v>
      </c>
    </row>
    <row r="487" ht="15.75" customHeight="1">
      <c r="A487" s="3">
        <v>5.0</v>
      </c>
      <c r="B487" s="3" t="s">
        <v>1469</v>
      </c>
      <c r="C487" s="3" t="s">
        <v>1470</v>
      </c>
      <c r="D487" s="3" t="s">
        <v>42</v>
      </c>
      <c r="E487" s="3" t="s">
        <v>14</v>
      </c>
      <c r="F487" s="3" t="s">
        <v>15</v>
      </c>
      <c r="G487" s="3" t="s">
        <v>821</v>
      </c>
      <c r="H487" s="3" t="s">
        <v>23</v>
      </c>
      <c r="I487" s="3" t="str">
        <f>IFERROR(__xludf.DUMMYFUNCTION("GOOGLETRANSLATE(C487,""fr"",""en"")"),"I am satisfied at all levels: prices, services, reception and professionalism of the telecheorde, as well as the online subscription procedure")</f>
        <v>I am satisfied at all levels: prices, services, reception and professionalism of the telecheorde, as well as the online subscription procedure</v>
      </c>
    </row>
    <row r="488" ht="15.75" customHeight="1">
      <c r="A488" s="3">
        <v>1.0</v>
      </c>
      <c r="B488" s="3" t="s">
        <v>1471</v>
      </c>
      <c r="C488" s="3" t="s">
        <v>1472</v>
      </c>
      <c r="D488" s="3" t="s">
        <v>214</v>
      </c>
      <c r="E488" s="3" t="s">
        <v>98</v>
      </c>
      <c r="F488" s="3" t="s">
        <v>15</v>
      </c>
      <c r="G488" s="3" t="s">
        <v>1473</v>
      </c>
      <c r="H488" s="3" t="s">
        <v>321</v>
      </c>
      <c r="I488" s="3" t="str">
        <f>IFERROR(__xludf.DUMMYFUNCTION("GOOGLETRANSLATE(C488,""fr"",""en"")"),"I do not recommend this mutual insurance company, the guarantees are very attractive but the contributions increase to all va ( + 15 euros of contributions on January 1, 2020 anyway), you have to fight for the slightest reimbursement and it often takes mo"&amp;"nths (given the Amount of contribution is still annoying ..) telephone advisers who do not know how to inform you but who in addition take you from above, processing deadlines never seen when an email is sent to them, radiation without notice and Without "&amp;"informing the members ... no ... see no.")</f>
        <v>I do not recommend this mutual insurance company, the guarantees are very attractive but the contributions increase to all va ( + 15 euros of contributions on January 1, 2020 anyway), you have to fight for the slightest reimbursement and it often takes months (given the Amount of contribution is still annoying ..) telephone advisers who do not know how to inform you but who in addition take you from above, processing deadlines never seen when an email is sent to them, radiation without notice and Without informing the members ... no ... see no.</v>
      </c>
    </row>
    <row r="489" ht="15.75" customHeight="1">
      <c r="A489" s="3">
        <v>2.0</v>
      </c>
      <c r="B489" s="3" t="s">
        <v>1474</v>
      </c>
      <c r="C489" s="3" t="s">
        <v>1475</v>
      </c>
      <c r="D489" s="3" t="s">
        <v>13</v>
      </c>
      <c r="E489" s="3" t="s">
        <v>14</v>
      </c>
      <c r="F489" s="3" t="s">
        <v>15</v>
      </c>
      <c r="G489" s="3" t="s">
        <v>1476</v>
      </c>
      <c r="H489" s="3" t="s">
        <v>75</v>
      </c>
      <c r="I489" s="3" t="str">
        <f>IFERROR(__xludf.DUMMYFUNCTION("GOOGLETRANSLATE(C489,""fr"",""en"")"),"Back in France after several years spent abroad, I was looking for a new insurance for the (new) car that I bought myself on my return.
By going to a car insurance comparator, the insurance olive tree seemed to be the best price and service offered.
No "&amp;"problem for the creation of files, good communication.
In my great luck, I had an accident on March 28, 2020, someone who pounded in front of me in a highway integration path, for no apparent reason. Obviously I was declared 100% at fault, but good. We a"&amp;"re all made with this kind of idiocy absolutely not logical. In short, the real problem is not there.
My accident arrived on a Sunday. I call insurance, no one on the phone, an automatic message tells me to go to the site, and it hangs up. I go to the "&amp;"site, and obviously, ""technical problem"", the repair section of the site does not work. Luckily the gendarmerie was able to take care of it. But thank you the Olivier Assurance! Fortunately, I did not have an accident alone in the middle of nowhere!
"&amp;"Thereafter, it took 3 weeks to the Olivier Insurance to be able to provide me with an ""expertise result"" on my vehicle. I received by mail the result of the expertise, mentioning that my vehicle could no longer drive legally (I suspected thank you) and "&amp;"a form to fill out to sell my vehicle. Whose? Why? To what amount? No answer to these three questions.
I call them, I am told that they do not know how much they will reimburse me, and that I still have to wait for them to learn. In addition, we agreed"&amp;" to leave my car in a ""approved"" garage so that I do not pay for guarding costs.
Obviously, I receive an invoice for guard costs of 12 euros per day, on a file that has been dragging through their fault for weeks!
I send an email to the quality serv"&amp;"ice last week, no answer. No recall.
Whenever I call there is no convincing response just waves.
I want to be patient. I understand. But this is not a complex dossier. The other person concerned by the accident, she already has his file settled and fi"&amp;"nished.
So please the Olivier Insurance, move!
Very bad communication, endless deadlines, one has the impression of addressing a wall.
I do not recommend it to anyone, pay more for insurance worthy of the name, the olive assurance is good if you want"&amp;" ""paper"" insurance, but their only utility is to provide a green sticker to put on your windshield.")</f>
        <v>Back in France after several years spent abroad, I was looking for a new insurance for the (new) car that I bought myself on my return.
By going to a car insurance comparator, the insurance olive tree seemed to be the best price and service offered.
No problem for the creation of files, good communication.
In my great luck, I had an accident on March 28, 2020, someone who pounded in front of me in a highway integration path, for no apparent reason. Obviously I was declared 100% at fault, but good. We are all made with this kind of idiocy absolutely not logical. In short, the real problem is not there.
My accident arrived on a Sunday. I call insurance, no one on the phone, an automatic message tells me to go to the site, and it hangs up. I go to the site, and obviously, "technical problem", the repair section of the site does not work. Luckily the gendarmerie was able to take care of it. But thank you the Olivier Assurance! Fortunately, I did not have an accident alone in the middle of nowhere!
Thereafter, it took 3 weeks to the Olivier Insurance to be able to provide me with an "expertise result" on my vehicle. I received by mail the result of the expertise, mentioning that my vehicle could no longer drive legally (I suspected thank you) and a form to fill out to sell my vehicle. Whose? Why? To what amount? No answer to these three questions.
I call them, I am told that they do not know how much they will reimburse me, and that I still have to wait for them to learn. In addition, we agreed to leave my car in a "approved" garage so that I do not pay for guarding costs.
Obviously, I receive an invoice for guard costs of 12 euros per day, on a file that has been dragging through their fault for weeks!
I send an email to the quality service last week, no answer. No recall.
Whenever I call there is no convincing response just waves.
I want to be patient. I understand. But this is not a complex dossier. The other person concerned by the accident, she already has his file settled and finished.
So please the Olivier Insurance, move!
Very bad communication, endless deadlines, one has the impression of addressing a wall.
I do not recommend it to anyone, pay more for insurance worthy of the name, the olive assurance is good if you want "paper" insurance, but their only utility is to provide a green sticker to put on your windshield.</v>
      </c>
    </row>
    <row r="490" ht="15.75" customHeight="1">
      <c r="A490" s="3">
        <v>2.0</v>
      </c>
      <c r="B490" s="3" t="s">
        <v>1477</v>
      </c>
      <c r="C490" s="3" t="s">
        <v>1478</v>
      </c>
      <c r="D490" s="3" t="s">
        <v>448</v>
      </c>
      <c r="E490" s="3" t="s">
        <v>33</v>
      </c>
      <c r="F490" s="3" t="s">
        <v>15</v>
      </c>
      <c r="G490" s="3" t="s">
        <v>1479</v>
      </c>
      <c r="H490" s="3" t="s">
        <v>119</v>
      </c>
      <c r="I490" s="3" t="str">
        <f>IFERROR(__xludf.DUMMYFUNCTION("GOOGLETRANSLATE(C490,""fr"",""en"")"),"Claim declared at the time of its discovery, not reimbursed and recommended to terminate us for number of excessive claims (1 sinister)")</f>
        <v>Claim declared at the time of its discovery, not reimbursed and recommended to terminate us for number of excessive claims (1 sinister)</v>
      </c>
    </row>
    <row r="491" ht="15.75" customHeight="1">
      <c r="A491" s="3">
        <v>1.0</v>
      </c>
      <c r="B491" s="3" t="s">
        <v>1480</v>
      </c>
      <c r="C491" s="3" t="s">
        <v>1481</v>
      </c>
      <c r="D491" s="3" t="s">
        <v>1207</v>
      </c>
      <c r="E491" s="3" t="s">
        <v>98</v>
      </c>
      <c r="F491" s="3" t="s">
        <v>15</v>
      </c>
      <c r="G491" s="3" t="s">
        <v>1404</v>
      </c>
      <c r="H491" s="3" t="s">
        <v>75</v>
      </c>
      <c r="I491" s="3" t="str">
        <f>IFERROR(__xludf.DUMMYFUNCTION("GOOGLETRANSLATE(C491,""fr"",""en"")"),"Portability request made in January, response obtained on March 27!
In addition to date, April 19, 2021, they have not done the necessary with Ameli, result I am not reimbursed !! It's scandalous, they do not respond to emails")</f>
        <v>Portability request made in January, response obtained on March 27!
In addition to date, April 19, 2021, they have not done the necessary with Ameli, result I am not reimbursed !! It's scandalous, they do not respond to emails</v>
      </c>
    </row>
    <row r="492" ht="15.75" customHeight="1">
      <c r="A492" s="3">
        <v>1.0</v>
      </c>
      <c r="B492" s="3" t="s">
        <v>1482</v>
      </c>
      <c r="C492" s="3" t="s">
        <v>1483</v>
      </c>
      <c r="D492" s="3" t="s">
        <v>47</v>
      </c>
      <c r="E492" s="3" t="s">
        <v>14</v>
      </c>
      <c r="F492" s="3" t="s">
        <v>15</v>
      </c>
      <c r="G492" s="3" t="s">
        <v>1484</v>
      </c>
      <c r="H492" s="3" t="s">
        <v>337</v>
      </c>
      <c r="I492" s="3" t="str">
        <f>IFERROR(__xludf.DUMMYFUNCTION("GOOGLETRANSLATE(C492,""fr"",""en"")"),"Cheap insurance which does not cover the costs I am very risky for 11 years, no accident only one per breeze changed 10 years ago, no claim with other car I went to the gap to avoid a dog not even Capable of checking one by shock at the back because the c"&amp;"hewed basket affected for the rest I am called a liar of the front also affected a scratch but not retouched, impolish expert is then its very badly rated box on the internet, my husband It was forced to tell the bodybuilder to check the legs which the ex"&amp;"pert did not do. A good job, we will still say that I am a woman, no luck I have been a ambulance taxi since 19 no accidents.")</f>
        <v>Cheap insurance which does not cover the costs I am very risky for 11 years, no accident only one per breeze changed 10 years ago, no claim with other car I went to the gap to avoid a dog not even Capable of checking one by shock at the back because the chewed basket affected for the rest I am called a liar of the front also affected a scratch but not retouched, impolish expert is then its very badly rated box on the internet, my husband It was forced to tell the bodybuilder to check the legs which the expert did not do. A good job, we will still say that I am a woman, no luck I have been a ambulance taxi since 19 no accidents.</v>
      </c>
    </row>
    <row r="493" ht="15.75" customHeight="1">
      <c r="A493" s="3">
        <v>2.0</v>
      </c>
      <c r="B493" s="3" t="s">
        <v>1485</v>
      </c>
      <c r="C493" s="3" t="s">
        <v>1486</v>
      </c>
      <c r="D493" s="3" t="s">
        <v>42</v>
      </c>
      <c r="E493" s="3" t="s">
        <v>14</v>
      </c>
      <c r="F493" s="3" t="s">
        <v>15</v>
      </c>
      <c r="G493" s="3" t="s">
        <v>1487</v>
      </c>
      <c r="H493" s="3" t="s">
        <v>184</v>
      </c>
      <c r="I493" s="3" t="str">
        <f>IFERROR(__xludf.DUMMYFUNCTION("GOOGLETRANSLATE(C493,""fr"",""en"")"),"Good prices but high franchises and deplorable customer service who tries to do everything to do nothing ... What is insurance after 5 years without? To recover money from contributions ...")</f>
        <v>Good prices but high franchises and deplorable customer service who tries to do everything to do nothing ... What is insurance after 5 years without? To recover money from contributions ...</v>
      </c>
    </row>
    <row r="494" ht="15.75" customHeight="1">
      <c r="A494" s="3">
        <v>1.0</v>
      </c>
      <c r="B494" s="3" t="s">
        <v>1488</v>
      </c>
      <c r="C494" s="3" t="s">
        <v>1489</v>
      </c>
      <c r="D494" s="3" t="s">
        <v>246</v>
      </c>
      <c r="E494" s="3" t="s">
        <v>14</v>
      </c>
      <c r="F494" s="3" t="s">
        <v>15</v>
      </c>
      <c r="G494" s="3" t="s">
        <v>1490</v>
      </c>
      <c r="H494" s="3" t="s">
        <v>1156</v>
      </c>
      <c r="I494" s="3" t="str">
        <f>IFERROR(__xludf.DUMMYFUNCTION("GOOGLETRANSLATE(C494,""fr"",""en"")"),"Are always ready to collect insurance monthly payments but, when it comes to contributing a failure on vehicle, everything is done not to pay. While the cost of the intervention is largely covered by a year of contribution insurance")</f>
        <v>Are always ready to collect insurance monthly payments but, when it comes to contributing a failure on vehicle, everything is done not to pay. While the cost of the intervention is largely covered by a year of contribution insurance</v>
      </c>
    </row>
    <row r="495" ht="15.75" customHeight="1">
      <c r="A495" s="3">
        <v>3.0</v>
      </c>
      <c r="B495" s="3" t="s">
        <v>1491</v>
      </c>
      <c r="C495" s="3" t="s">
        <v>1492</v>
      </c>
      <c r="D495" s="3" t="s">
        <v>97</v>
      </c>
      <c r="E495" s="3" t="s">
        <v>98</v>
      </c>
      <c r="F495" s="3" t="s">
        <v>15</v>
      </c>
      <c r="G495" s="3" t="s">
        <v>369</v>
      </c>
      <c r="H495" s="3" t="s">
        <v>17</v>
      </c>
      <c r="I495" s="3" t="str">
        <f>IFERROR(__xludf.DUMMYFUNCTION("GOOGLETRANSLATE(C495,""fr"",""en"")")," Very satisfied opinion of the same Sokhana is 1 very competent and listening person thank you I recommend now I wait to see when my refund C")</f>
        <v> Very satisfied opinion of the same Sokhana is 1 very competent and listening person thank you I recommend now I wait to see when my refund C</v>
      </c>
    </row>
    <row r="496" ht="15.75" customHeight="1">
      <c r="A496" s="3">
        <v>4.0</v>
      </c>
      <c r="B496" s="3" t="s">
        <v>1493</v>
      </c>
      <c r="C496" s="3" t="s">
        <v>1494</v>
      </c>
      <c r="D496" s="3" t="s">
        <v>13</v>
      </c>
      <c r="E496" s="3" t="s">
        <v>14</v>
      </c>
      <c r="F496" s="3" t="s">
        <v>15</v>
      </c>
      <c r="G496" s="3" t="s">
        <v>1495</v>
      </c>
      <c r="H496" s="3" t="s">
        <v>39</v>
      </c>
      <c r="I496" s="3" t="str">
        <f>IFERROR(__xludf.DUMMYFUNCTION("GOOGLETRANSLATE(C496,""fr"",""en"")"),"The first advice that I had on the phone were not very clear when the last one explained to me very well and it was perfect. I just find that shame that you do not have solution to reduce the take for young drivers, such as installing a box in the car to "&amp;"assess our driving and to lower the prices")</f>
        <v>The first advice that I had on the phone were not very clear when the last one explained to me very well and it was perfect. I just find that shame that you do not have solution to reduce the take for young drivers, such as installing a box in the car to assess our driving and to lower the prices</v>
      </c>
    </row>
    <row r="497" ht="15.75" customHeight="1">
      <c r="A497" s="3">
        <v>1.0</v>
      </c>
      <c r="B497" s="3" t="s">
        <v>1496</v>
      </c>
      <c r="C497" s="3" t="s">
        <v>1497</v>
      </c>
      <c r="D497" s="3" t="s">
        <v>509</v>
      </c>
      <c r="E497" s="3" t="s">
        <v>33</v>
      </c>
      <c r="F497" s="3" t="s">
        <v>15</v>
      </c>
      <c r="G497" s="3" t="s">
        <v>104</v>
      </c>
      <c r="H497" s="3" t="s">
        <v>105</v>
      </c>
      <c r="I497" s="3" t="str">
        <f>IFERROR(__xludf.DUMMYFUNCTION("GOOGLETRANSLATE(C497,""fr"",""en"")"),"What to say ? : Surprised !
As part of a quote, I was told that he could not provide me with it because my future residence is in the flood zone (which is the case with the whole city) and that being Not ""customer"", I will not be able to be at, it must"&amp;" also rule out areas at seismic risk, clay areas and those with industrial risks.
This insurance only takes care of customers.
Netherly, for insurance that is said to be attentive ...")</f>
        <v>What to say ? : Surprised !
As part of a quote, I was told that he could not provide me with it because my future residence is in the flood zone (which is the case with the whole city) and that being Not "customer", I will not be able to be at, it must also rule out areas at seismic risk, clay areas and those with industrial risks.
This insurance only takes care of customers.
Netherly, for insurance that is said to be attentive ...</v>
      </c>
    </row>
    <row r="498" ht="15.75" customHeight="1">
      <c r="A498" s="3">
        <v>4.0</v>
      </c>
      <c r="B498" s="3" t="s">
        <v>1498</v>
      </c>
      <c r="C498" s="3" t="s">
        <v>1499</v>
      </c>
      <c r="D498" s="3" t="s">
        <v>42</v>
      </c>
      <c r="E498" s="3" t="s">
        <v>14</v>
      </c>
      <c r="F498" s="3" t="s">
        <v>15</v>
      </c>
      <c r="G498" s="3" t="s">
        <v>1152</v>
      </c>
      <c r="H498" s="3" t="s">
        <v>86</v>
      </c>
      <c r="I498" s="3" t="str">
        <f>IFERROR(__xludf.DUMMYFUNCTION("GOOGLETRANSLATE(C498,""fr"",""en"")"),"Price 100 € more than competition, for a first request for a departure that I am assured at home it does not know well, I redone one last try for a year if I have another problem I arrive")</f>
        <v>Price 100 € more than competition, for a first request for a departure that I am assured at home it does not know well, I redone one last try for a year if I have another problem I arrive</v>
      </c>
    </row>
    <row r="499" ht="15.75" customHeight="1">
      <c r="A499" s="3">
        <v>1.0</v>
      </c>
      <c r="B499" s="3" t="s">
        <v>1500</v>
      </c>
      <c r="C499" s="3" t="s">
        <v>1501</v>
      </c>
      <c r="D499" s="3" t="s">
        <v>81</v>
      </c>
      <c r="E499" s="3" t="s">
        <v>14</v>
      </c>
      <c r="F499" s="3" t="s">
        <v>15</v>
      </c>
      <c r="G499" s="3" t="s">
        <v>1502</v>
      </c>
      <c r="H499" s="3" t="s">
        <v>71</v>
      </c>
      <c r="I499" s="3" t="str">
        <f>IFERROR(__xludf.DUMMYFUNCTION("GOOGLETRANSLATE(C499,""fr"",""en"")"),"Macif insurance to flee assured for more than thirty years without auiston with a loss I will change all my insurance contract Moto Moto Moto")</f>
        <v>Macif insurance to flee assured for more than thirty years without auiston with a loss I will change all my insurance contract Moto Moto Moto</v>
      </c>
    </row>
    <row r="500" ht="15.75" customHeight="1">
      <c r="A500" s="3">
        <v>1.0</v>
      </c>
      <c r="B500" s="3" t="s">
        <v>1503</v>
      </c>
      <c r="C500" s="3" t="s">
        <v>1504</v>
      </c>
      <c r="D500" s="3" t="s">
        <v>716</v>
      </c>
      <c r="E500" s="3" t="s">
        <v>98</v>
      </c>
      <c r="F500" s="3" t="s">
        <v>15</v>
      </c>
      <c r="G500" s="3" t="s">
        <v>1033</v>
      </c>
      <c r="H500" s="3" t="s">
        <v>75</v>
      </c>
      <c r="I500" s="3" t="str">
        <f>IFERROR(__xludf.DUMMYFUNCTION("GOOGLETRANSLATE(C500,""fr"",""en"")"),"Just one word ... lamentable
We cannot reach them directly, and when you get there, they cannot solve the problem at the moment. You are told that you will be re-contact within 10 days by an advisor to have an answer (while you are waiting for a solution"&amp;" immediately) and of course, this same advisor does not even remind you of ... and contact, by email, It's even better you have to wait almost 1 month to have any return !! I can say better because it would be worse ... in short to flee (I put 1 stars bec"&amp;"ause we could not choose zero)")</f>
        <v>Just one word ... lamentable
We cannot reach them directly, and when you get there, they cannot solve the problem at the moment. You are told that you will be re-contact within 10 days by an advisor to have an answer (while you are waiting for a solution immediately) and of course, this same advisor does not even remind you of ... and contact, by email, It's even better you have to wait almost 1 month to have any return !! I can say better because it would be worse ... in short to flee (I put 1 stars because we could not choose zero)</v>
      </c>
    </row>
    <row r="501" ht="15.75" customHeight="1">
      <c r="A501" s="3">
        <v>1.0</v>
      </c>
      <c r="B501" s="3" t="s">
        <v>1505</v>
      </c>
      <c r="C501" s="3" t="s">
        <v>1506</v>
      </c>
      <c r="D501" s="3" t="s">
        <v>89</v>
      </c>
      <c r="E501" s="3" t="s">
        <v>14</v>
      </c>
      <c r="F501" s="3" t="s">
        <v>15</v>
      </c>
      <c r="G501" s="3" t="s">
        <v>16</v>
      </c>
      <c r="H501" s="3" t="s">
        <v>39</v>
      </c>
      <c r="I501" s="3" t="str">
        <f>IFERROR(__xludf.DUMMYFUNCTION("GOOGLETRANSLATE(C501,""fr"",""en"")"),"MAIF, a militant insurer who campaigns especially for its profits. The recent transition to merit remuneration completes to dissipate any illusion on this organization: farewell the social and human facade, welcome to the ultra-capitalism displayed and cl"&amp;"aimed. A knowledge used in these people had warned me well almost twenty years ago: you should not have a problem. Particularly if you are insured with them indeed! What good is good to take out any risk insurance if the cost of repair is compensated by t"&amp;"he automatic increase in the subscription and the withering of a penalty, even if years would have passed without the slightest event. Recently I was searched quite aggressively by an agent in order to take out an additional contract for my daughter. In t"&amp;"he process, I reported online an accident caused by a second -hand motorist, by the kiss of an email first then by a declaration of online loss, supporting parts, whose photo of the Heating identity card run by a gendarme. No answer. Returning to the site"&amp;", my online statement had purely and simply disappeared! I called, I was told it was too late, that an emergency braking could not cause a geometry problem. I doubt that an insurance agent is authoritative in physics and can give me lessons on the effects"&amp;" of energy dissipation. In short, the MAIF in the same way as any other Lambda service provider participates in the contempt of the general consumer, in a system where for finances (not far from 2000 euros annually as far as I am concerned), you will alwa"&amp;"ys get the same service : nothing, niente, nada.")</f>
        <v>MAIF, a militant insurer who campaigns especially for its profits. The recent transition to merit remuneration completes to dissipate any illusion on this organization: farewell the social and human facade, welcome to the ultra-capitalism displayed and claimed. A knowledge used in these people had warned me well almost twenty years ago: you should not have a problem. Particularly if you are insured with them indeed! What good is good to take out any risk insurance if the cost of repair is compensated by the automatic increase in the subscription and the withering of a penalty, even if years would have passed without the slightest event. Recently I was searched quite aggressively by an agent in order to take out an additional contract for my daughter. In the process, I reported online an accident caused by a second -hand motorist, by the kiss of an email first then by a declaration of online loss, supporting parts, whose photo of the Heating identity card run by a gendarme. No answer. Returning to the site, my online statement had purely and simply disappeared! I called, I was told it was too late, that an emergency braking could not cause a geometry problem. I doubt that an insurance agent is authoritative in physics and can give me lessons on the effects of energy dissipation. In short, the MAIF in the same way as any other Lambda service provider participates in the contempt of the general consumer, in a system where for finances (not far from 2000 euros annually as far as I am concerned), you will always get the same service : nothing, niente, nada.</v>
      </c>
    </row>
    <row r="502" ht="15.75" customHeight="1">
      <c r="A502" s="3">
        <v>4.0</v>
      </c>
      <c r="B502" s="3" t="s">
        <v>1507</v>
      </c>
      <c r="C502" s="3" t="s">
        <v>1508</v>
      </c>
      <c r="D502" s="3" t="s">
        <v>13</v>
      </c>
      <c r="E502" s="3" t="s">
        <v>14</v>
      </c>
      <c r="F502" s="3" t="s">
        <v>15</v>
      </c>
      <c r="G502" s="3" t="s">
        <v>865</v>
      </c>
      <c r="H502" s="3" t="s">
        <v>115</v>
      </c>
      <c r="I502" s="3" t="str">
        <f>IFERROR(__xludf.DUMMYFUNCTION("GOOGLETRANSLATE(C502,""fr"",""en"")"),"I am satisfied with the implementation, I have called the advisers several times and I have always been very enlightened. I discovered via a comparator.")</f>
        <v>I am satisfied with the implementation, I have called the advisers several times and I have always been very enlightened. I discovered via a comparator.</v>
      </c>
    </row>
    <row r="503" ht="15.75" customHeight="1">
      <c r="A503" s="3">
        <v>5.0</v>
      </c>
      <c r="B503" s="3" t="s">
        <v>1509</v>
      </c>
      <c r="C503" s="3" t="s">
        <v>1510</v>
      </c>
      <c r="D503" s="3" t="s">
        <v>13</v>
      </c>
      <c r="E503" s="3" t="s">
        <v>14</v>
      </c>
      <c r="F503" s="3" t="s">
        <v>15</v>
      </c>
      <c r="G503" s="3" t="s">
        <v>1511</v>
      </c>
      <c r="H503" s="3" t="s">
        <v>17</v>
      </c>
      <c r="I503" s="3" t="str">
        <f>IFERROR(__xludf.DUMMYFUNCTION("GOOGLETRANSLATE(C503,""fr"",""en"")"),"Very well, I am satisfied with my insurance for this start of the contract. The opening was fast and my listening advisor. I recommend this insurer.")</f>
        <v>Very well, I am satisfied with my insurance for this start of the contract. The opening was fast and my listening advisor. I recommend this insurer.</v>
      </c>
    </row>
    <row r="504" ht="15.75" customHeight="1">
      <c r="A504" s="3">
        <v>3.0</v>
      </c>
      <c r="B504" s="3" t="s">
        <v>1512</v>
      </c>
      <c r="C504" s="3" t="s">
        <v>1513</v>
      </c>
      <c r="D504" s="3" t="s">
        <v>81</v>
      </c>
      <c r="E504" s="3" t="s">
        <v>14</v>
      </c>
      <c r="F504" s="3" t="s">
        <v>15</v>
      </c>
      <c r="G504" s="3" t="s">
        <v>625</v>
      </c>
      <c r="H504" s="3" t="s">
        <v>149</v>
      </c>
      <c r="I504" s="3" t="str">
        <f>IFERROR(__xludf.DUMMYFUNCTION("GOOGLETRANSLATE(C504,""fr"",""en"")"),"Insurance all risk is not quite risk since there are too high deductibles.
Be assured of any risk and have 80 e for one per seen, 40 e 4 years ago with a much more substantial vehicle.")</f>
        <v>Insurance all risk is not quite risk since there are too high deductibles.
Be assured of any risk and have 80 e for one per seen, 40 e 4 years ago with a much more substantial vehicle.</v>
      </c>
    </row>
    <row r="505" ht="15.75" customHeight="1">
      <c r="A505" s="3">
        <v>5.0</v>
      </c>
      <c r="B505" s="3" t="s">
        <v>1514</v>
      </c>
      <c r="C505" s="3" t="s">
        <v>1515</v>
      </c>
      <c r="D505" s="3" t="s">
        <v>13</v>
      </c>
      <c r="E505" s="3" t="s">
        <v>14</v>
      </c>
      <c r="F505" s="3" t="s">
        <v>15</v>
      </c>
      <c r="G505" s="3" t="s">
        <v>1516</v>
      </c>
      <c r="H505" s="3" t="s">
        <v>224</v>
      </c>
      <c r="I505" s="3" t="str">
        <f>IFERROR(__xludf.DUMMYFUNCTION("GOOGLETRANSLATE(C505,""fr"",""en"")"),"I am satisfied even very happy and thank the Olivier Insurance I recommend to all those who have a somewhat special situation like me after 3 years of Africa without having maintained a vehicle insured in France It is very complicated to reassure do not w"&amp;"aste your time with the ferret etc etc I tried everything and only one responded it is the olive assurance bravo to you the olive tree")</f>
        <v>I am satisfied even very happy and thank the Olivier Insurance I recommend to all those who have a somewhat special situation like me after 3 years of Africa without having maintained a vehicle insured in France It is very complicated to reassure do not waste your time with the ferret etc etc I tried everything and only one responded it is the olive assurance bravo to you the olive tree</v>
      </c>
    </row>
    <row r="506" ht="15.75" customHeight="1">
      <c r="A506" s="3">
        <v>5.0</v>
      </c>
      <c r="B506" s="3" t="s">
        <v>1517</v>
      </c>
      <c r="C506" s="3" t="s">
        <v>1518</v>
      </c>
      <c r="D506" s="3" t="s">
        <v>97</v>
      </c>
      <c r="E506" s="3" t="s">
        <v>98</v>
      </c>
      <c r="F506" s="3" t="s">
        <v>15</v>
      </c>
      <c r="G506" s="3" t="s">
        <v>1236</v>
      </c>
      <c r="H506" s="3" t="s">
        <v>17</v>
      </c>
      <c r="I506" s="3" t="str">
        <f>IFERROR(__xludf.DUMMYFUNCTION("GOOGLETRANSLATE(C506,""fr"",""en"")"),"I had a conversation with Fall about my admission to the hospital and about care and everything was clear in his explanations. I am satisfied with this exchange.")</f>
        <v>I had a conversation with Fall about my admission to the hospital and about care and everything was clear in his explanations. I am satisfied with this exchange.</v>
      </c>
    </row>
    <row r="507" ht="15.75" customHeight="1">
      <c r="A507" s="3">
        <v>4.0</v>
      </c>
      <c r="B507" s="3" t="s">
        <v>1519</v>
      </c>
      <c r="C507" s="3" t="s">
        <v>1520</v>
      </c>
      <c r="D507" s="3" t="s">
        <v>42</v>
      </c>
      <c r="E507" s="3" t="s">
        <v>14</v>
      </c>
      <c r="F507" s="3" t="s">
        <v>15</v>
      </c>
      <c r="G507" s="3" t="s">
        <v>1204</v>
      </c>
      <c r="H507" s="3" t="s">
        <v>115</v>
      </c>
      <c r="I507" s="3" t="str">
        <f>IFERROR(__xludf.DUMMYFUNCTION("GOOGLETRANSLATE(C507,""fr"",""en"")"),"I am sastif I would recommend direct insurance to my friends
I was well received when I called Direct Insurance
Welcome Telephone Thank you to you")</f>
        <v>I am sastif I would recommend direct insurance to my friends
I was well received when I called Direct Insurance
Welcome Telephone Thank you to you</v>
      </c>
    </row>
    <row r="508" ht="15.75" customHeight="1">
      <c r="A508" s="3">
        <v>1.0</v>
      </c>
      <c r="B508" s="3" t="s">
        <v>1521</v>
      </c>
      <c r="C508" s="3" t="s">
        <v>1522</v>
      </c>
      <c r="D508" s="3" t="s">
        <v>1207</v>
      </c>
      <c r="E508" s="3" t="s">
        <v>98</v>
      </c>
      <c r="F508" s="3" t="s">
        <v>15</v>
      </c>
      <c r="G508" s="3" t="s">
        <v>1523</v>
      </c>
      <c r="H508" s="3" t="s">
        <v>29</v>
      </c>
      <c r="I508" s="3" t="str">
        <f>IFERROR(__xludf.DUMMYFUNCTION("GOOGLETRANSLATE(C508,""fr"",""en"")"),"Reimbursement file refused for my student student after many reminders with the end for reasons .... Certificate of schooling provided not valid because care in July and certificate ending in June and taking up in September uncommon mail .... ...")</f>
        <v>Reimbursement file refused for my student student after many reminders with the end for reasons .... Certificate of schooling provided not valid because care in July and certificate ending in June and taking up in September uncommon mail .... ...</v>
      </c>
    </row>
    <row r="509" ht="15.75" customHeight="1">
      <c r="A509" s="3">
        <v>2.0</v>
      </c>
      <c r="B509" s="3" t="s">
        <v>1524</v>
      </c>
      <c r="C509" s="3" t="s">
        <v>1525</v>
      </c>
      <c r="D509" s="3" t="s">
        <v>81</v>
      </c>
      <c r="E509" s="3" t="s">
        <v>33</v>
      </c>
      <c r="F509" s="3" t="s">
        <v>15</v>
      </c>
      <c r="G509" s="3" t="s">
        <v>1526</v>
      </c>
      <c r="H509" s="3" t="s">
        <v>56</v>
      </c>
      <c r="I509" s="3" t="str">
        <f>IFERROR(__xludf.DUMMYFUNCTION("GOOGLETRANSLATE(C509,""fr"",""en"")"),"Secondary residence insurance. If you are absent for more than 8 days you are no longer insured except in cases of force majeure. Not being able to move even with hospitalization certificate is not a case of force majeure. I am 84 years old. I'm looking f"&amp;"or another insurance")</f>
        <v>Secondary residence insurance. If you are absent for more than 8 days you are no longer insured except in cases of force majeure. Not being able to move even with hospitalization certificate is not a case of force majeure. I am 84 years old. I'm looking for another insurance</v>
      </c>
    </row>
    <row r="510" ht="15.75" customHeight="1">
      <c r="A510" s="3">
        <v>4.0</v>
      </c>
      <c r="B510" s="3" t="s">
        <v>1527</v>
      </c>
      <c r="C510" s="3" t="s">
        <v>1528</v>
      </c>
      <c r="D510" s="3" t="s">
        <v>47</v>
      </c>
      <c r="E510" s="3" t="s">
        <v>14</v>
      </c>
      <c r="F510" s="3" t="s">
        <v>15</v>
      </c>
      <c r="G510" s="3" t="s">
        <v>1529</v>
      </c>
      <c r="H510" s="3" t="s">
        <v>29</v>
      </c>
      <c r="I510" s="3" t="str">
        <f>IFERROR(__xludf.DUMMYFUNCTION("GOOGLETRANSLATE(C510,""fr"",""en"")"),"Very good insurance with interlocutors to read your problems and competent and professional people during a sinister which was the case for me")</f>
        <v>Very good insurance with interlocutors to read your problems and competent and professional people during a sinister which was the case for me</v>
      </c>
    </row>
    <row r="511" ht="15.75" customHeight="1">
      <c r="A511" s="3">
        <v>4.0</v>
      </c>
      <c r="B511" s="3" t="s">
        <v>1530</v>
      </c>
      <c r="C511" s="3" t="s">
        <v>1531</v>
      </c>
      <c r="D511" s="3" t="s">
        <v>42</v>
      </c>
      <c r="E511" s="3" t="s">
        <v>14</v>
      </c>
      <c r="F511" s="3" t="s">
        <v>15</v>
      </c>
      <c r="G511" s="3" t="s">
        <v>86</v>
      </c>
      <c r="H511" s="3" t="s">
        <v>86</v>
      </c>
      <c r="I511" s="3" t="str">
        <f>IFERROR(__xludf.DUMMYFUNCTION("GOOGLETRANSLATE(C511,""fr"",""en"")"),"Satisfied with the service even if needed to call on a beug, overall good customer service and interesting price + significant sponsorship offer")</f>
        <v>Satisfied with the service even if needed to call on a beug, overall good customer service and interesting price + significant sponsorship offer</v>
      </c>
    </row>
    <row r="512" ht="15.75" customHeight="1">
      <c r="A512" s="3">
        <v>4.0</v>
      </c>
      <c r="B512" s="3" t="s">
        <v>1532</v>
      </c>
      <c r="C512" s="3" t="s">
        <v>1533</v>
      </c>
      <c r="D512" s="3" t="s">
        <v>140</v>
      </c>
      <c r="E512" s="3" t="s">
        <v>98</v>
      </c>
      <c r="F512" s="3" t="s">
        <v>15</v>
      </c>
      <c r="G512" s="3" t="s">
        <v>1070</v>
      </c>
      <c r="H512" s="3" t="s">
        <v>165</v>
      </c>
      <c r="I512" s="3" t="str">
        <f>IFERROR(__xludf.DUMMYFUNCTION("GOOGLETRANSLATE(C512,""fr"",""en"")"),"Following a problem of connection to the Mutuelle site, I called Santiane.
My interlocutor was courteous, effective and made every effort to deal with my problem.")</f>
        <v>Following a problem of connection to the Mutuelle site, I called Santiane.
My interlocutor was courteous, effective and made every effort to deal with my problem.</v>
      </c>
    </row>
    <row r="513" ht="15.75" customHeight="1">
      <c r="A513" s="3">
        <v>1.0</v>
      </c>
      <c r="B513" s="3" t="s">
        <v>1534</v>
      </c>
      <c r="C513" s="3" t="s">
        <v>1535</v>
      </c>
      <c r="D513" s="3" t="s">
        <v>97</v>
      </c>
      <c r="E513" s="3" t="s">
        <v>98</v>
      </c>
      <c r="F513" s="3" t="s">
        <v>15</v>
      </c>
      <c r="G513" s="3" t="s">
        <v>1536</v>
      </c>
      <c r="H513" s="3" t="s">
        <v>124</v>
      </c>
      <c r="I513" s="3" t="str">
        <f>IFERROR(__xludf.DUMMYFUNCTION("GOOGLETRANSLATE(C513,""fr"",""en"")"),"Hello, a vocal server my connection with an advisor to this insurance. The advisor then tells me that he is mandated by my mutual insurance company to update my dossier pretending that I am not protected by my mutual if I have to undergo a surgical proced"&amp;"ure. He then offered to set up a daily hospital compensation in the amount of 18 euros per month giving me the right to take charge of 150 euros per day spent in the hospital. After all, I tell myself why not coming especially to spend a stay in the hospi"&amp;"tal. Then very quickly come the time to give my IBAN then he tells me that I will receive a 5 -digit code on my laptop to secure the transaction I frankly found its very shady this famous 5 -digit code ... Come so the The moment I receive this code which "&amp;"confirms the amount of 18 euros to me is then that I ask him if it was possible for me to terminate after validation the advisor replied that yes. I therefore gladly accept to give this code especially after the advisor confirmed to me that a person of qu"&amp;"ality control go to me to check the call of the advisor. Three days after I receive this famous call for quality control and I ask it to terminate. The person I have at the end of the line confirms my termination but to my most total amazement I have made"&amp;" myself take since January on my account !!! How should I make to stop these samples which should never have taken place since the quality control man confirmed to me that the contract was terminated!")</f>
        <v>Hello, a vocal server my connection with an advisor to this insurance. The advisor then tells me that he is mandated by my mutual insurance company to update my dossier pretending that I am not protected by my mutual if I have to undergo a surgical procedure. He then offered to set up a daily hospital compensation in the amount of 18 euros per month giving me the right to take charge of 150 euros per day spent in the hospital. After all, I tell myself why not coming especially to spend a stay in the hospital. Then very quickly come the time to give my IBAN then he tells me that I will receive a 5 -digit code on my laptop to secure the transaction I frankly found its very shady this famous 5 -digit code ... Come so the The moment I receive this code which confirms the amount of 18 euros to me is then that I ask him if it was possible for me to terminate after validation the advisor replied that yes. I therefore gladly accept to give this code especially after the advisor confirmed to me that a person of quality control go to me to check the call of the advisor. Three days after I receive this famous call for quality control and I ask it to terminate. The person I have at the end of the line confirms my termination but to my most total amazement I have made myself take since January on my account !!! How should I make to stop these samples which should never have taken place since the quality control man confirmed to me that the contract was terminated!</v>
      </c>
    </row>
    <row r="514" ht="15.75" customHeight="1">
      <c r="A514" s="3">
        <v>1.0</v>
      </c>
      <c r="B514" s="3" t="s">
        <v>1537</v>
      </c>
      <c r="C514" s="3" t="s">
        <v>1538</v>
      </c>
      <c r="D514" s="3" t="s">
        <v>175</v>
      </c>
      <c r="E514" s="3" t="s">
        <v>311</v>
      </c>
      <c r="F514" s="3" t="s">
        <v>15</v>
      </c>
      <c r="G514" s="3" t="s">
        <v>1539</v>
      </c>
      <c r="H514" s="3" t="s">
        <v>71</v>
      </c>
      <c r="I514" s="3" t="str">
        <f>IFERROR(__xludf.DUMMYFUNCTION("GOOGLETRANSLATE(C514,""fr"",""en"")"),"Beware of this assurance which is like a spider web once the fly has been taken in its net does not hesitate to take advantage of it to devour yourself.")</f>
        <v>Beware of this assurance which is like a spider web once the fly has been taken in its net does not hesitate to take advantage of it to devour yourself.</v>
      </c>
    </row>
    <row r="515" ht="15.75" customHeight="1">
      <c r="A515" s="3">
        <v>4.0</v>
      </c>
      <c r="B515" s="3" t="s">
        <v>1540</v>
      </c>
      <c r="C515" s="3" t="s">
        <v>1541</v>
      </c>
      <c r="D515" s="3" t="s">
        <v>103</v>
      </c>
      <c r="E515" s="3" t="s">
        <v>98</v>
      </c>
      <c r="F515" s="3" t="s">
        <v>15</v>
      </c>
      <c r="G515" s="3" t="s">
        <v>1542</v>
      </c>
      <c r="H515" s="3" t="s">
        <v>253</v>
      </c>
      <c r="I515" s="3" t="str">
        <f>IFERROR(__xludf.DUMMYFUNCTION("GOOGLETRANSLATE(C515,""fr"",""en"")"),"I have been at the MGP for over 20 years and would not change. Top, courteous and very professional interlocutors. I recommend this mutual. Personally, I am very satisfied.")</f>
        <v>I have been at the MGP for over 20 years and would not change. Top, courteous and very professional interlocutors. I recommend this mutual. Personally, I am very satisfied.</v>
      </c>
    </row>
    <row r="516" ht="15.75" customHeight="1">
      <c r="A516" s="3">
        <v>1.0</v>
      </c>
      <c r="B516" s="3" t="s">
        <v>1543</v>
      </c>
      <c r="C516" s="3" t="s">
        <v>1544</v>
      </c>
      <c r="D516" s="3" t="s">
        <v>13</v>
      </c>
      <c r="E516" s="3" t="s">
        <v>14</v>
      </c>
      <c r="F516" s="3" t="s">
        <v>15</v>
      </c>
      <c r="G516" s="3" t="s">
        <v>1545</v>
      </c>
      <c r="H516" s="3" t="s">
        <v>17</v>
      </c>
      <c r="I516" s="3" t="str">
        <f>IFERROR(__xludf.DUMMYFUNCTION("GOOGLETRANSLATE(C516,""fr"",""en"")"),"For 3 days that I have been trying to have info on my car that drops me abroad with an engine failure, the car is still there, and he still didn't take it to a garage, and No one from this insurance is capable of giving me the slightest visibility, they a"&amp;"lways take the magic sentence to me (we will noted in the file) or (we will send an email to the international service)
This insurance has no customer service is to be avoided and to be terminated for people who have not yet had a galley abroad")</f>
        <v>For 3 days that I have been trying to have info on my car that drops me abroad with an engine failure, the car is still there, and he still didn't take it to a garage, and No one from this insurance is capable of giving me the slightest visibility, they always take the magic sentence to me (we will noted in the file) or (we will send an email to the international service)
This insurance has no customer service is to be avoided and to be terminated for people who have not yet had a galley abroad</v>
      </c>
    </row>
    <row r="517" ht="15.75" customHeight="1">
      <c r="A517" s="3">
        <v>5.0</v>
      </c>
      <c r="B517" s="3" t="s">
        <v>1546</v>
      </c>
      <c r="C517" s="3" t="s">
        <v>1547</v>
      </c>
      <c r="D517" s="3" t="s">
        <v>466</v>
      </c>
      <c r="E517" s="3" t="s">
        <v>33</v>
      </c>
      <c r="F517" s="3" t="s">
        <v>15</v>
      </c>
      <c r="G517" s="3" t="s">
        <v>1548</v>
      </c>
      <c r="H517" s="3" t="s">
        <v>66</v>
      </c>
      <c r="I517" s="3" t="str">
        <f>IFERROR(__xludf.DUMMYFUNCTION("GOOGLETRANSLATE(C517,""fr"",""en"")"),"Easy to access insurance for their customers congratulations for their assistance during interventions to the victims they are extremely conspubt and of good advice really nothing to complain about on this organization Matmut they always responded during "&amp;"my storm flood or other problems")</f>
        <v>Easy to access insurance for their customers congratulations for their assistance during interventions to the victims they are extremely conspubt and of good advice really nothing to complain about on this organization Matmut they always responded during my storm flood or other problems</v>
      </c>
    </row>
    <row r="518" ht="15.75" customHeight="1">
      <c r="A518" s="3">
        <v>3.0</v>
      </c>
      <c r="B518" s="3" t="s">
        <v>1549</v>
      </c>
      <c r="C518" s="3" t="s">
        <v>1550</v>
      </c>
      <c r="D518" s="3" t="s">
        <v>13</v>
      </c>
      <c r="E518" s="3" t="s">
        <v>14</v>
      </c>
      <c r="F518" s="3" t="s">
        <v>15</v>
      </c>
      <c r="G518" s="3" t="s">
        <v>1551</v>
      </c>
      <c r="H518" s="3" t="s">
        <v>478</v>
      </c>
      <c r="I518" s="3" t="str">
        <f>IFERROR(__xludf.DUMMYFUNCTION("GOOGLETRANSLATE(C518,""fr"",""en"")"),"I discovered this insurance on an insurance comparison, suddenly I subscribed, more than correct price, in my opinion it is compared to the deductibles which are still quite high, we have the choice of the amount, which influences + or in - on the price, "&amp;"but benefiting from a complementary which covers the complement it does not bother me more than that!")</f>
        <v>I discovered this insurance on an insurance comparison, suddenly I subscribed, more than correct price, in my opinion it is compared to the deductibles which are still quite high, we have the choice of the amount, which influences + or in - on the price, but benefiting from a complementary which covers the complement it does not bother me more than that!</v>
      </c>
    </row>
    <row r="519" ht="15.75" customHeight="1">
      <c r="A519" s="3">
        <v>3.0</v>
      </c>
      <c r="B519" s="3" t="s">
        <v>1552</v>
      </c>
      <c r="C519" s="3" t="s">
        <v>1553</v>
      </c>
      <c r="D519" s="3" t="s">
        <v>466</v>
      </c>
      <c r="E519" s="3" t="s">
        <v>33</v>
      </c>
      <c r="F519" s="3" t="s">
        <v>15</v>
      </c>
      <c r="G519" s="3" t="s">
        <v>1554</v>
      </c>
      <c r="H519" s="3" t="s">
        <v>142</v>
      </c>
      <c r="I519" s="3" t="str">
        <f>IFERROR(__xludf.DUMMYFUNCTION("GOOGLETRANSLATE(C519,""fr"",""en"")"),"For 30 years at Mamut for 1 home insurance. 1st sinister, the cold shower! This winter my parking vehicle slipped because of the ice in my garage slope and came to hit my sliding door. Treated file: decline in a vehicle in 1 garage door. No explanation or"&amp;" excuse on this error. I was warned by mail green price of the cancellation of an appointment for 1 expertise at my home. Obviously this letter has never arrived in time and absence of my work for nothing! There, either, no excuse. Finally, although the d"&amp;"ay of the Meteo France disaster had qualified the climatic conditions of storm Gabriel, the Mamut is based on 1 local official bulletin which attests that the wind speed was less than 100 km/h. So the weather clause is not taken into account. I have broug"&amp;"ht a complaint for more than 2 months. Always no answer!")</f>
        <v>For 30 years at Mamut for 1 home insurance. 1st sinister, the cold shower! This winter my parking vehicle slipped because of the ice in my garage slope and came to hit my sliding door. Treated file: decline in a vehicle in 1 garage door. No explanation or excuse on this error. I was warned by mail green price of the cancellation of an appointment for 1 expertise at my home. Obviously this letter has never arrived in time and absence of my work for nothing! There, either, no excuse. Finally, although the day of the Meteo France disaster had qualified the climatic conditions of storm Gabriel, the Mamut is based on 1 local official bulletin which attests that the wind speed was less than 100 km/h. So the weather clause is not taken into account. I have brought a complaint for more than 2 months. Always no answer!</v>
      </c>
    </row>
    <row r="520" ht="15.75" customHeight="1">
      <c r="A520" s="3">
        <v>4.0</v>
      </c>
      <c r="B520" s="3" t="s">
        <v>1555</v>
      </c>
      <c r="C520" s="3" t="s">
        <v>1556</v>
      </c>
      <c r="D520" s="3" t="s">
        <v>42</v>
      </c>
      <c r="E520" s="3" t="s">
        <v>14</v>
      </c>
      <c r="F520" s="3" t="s">
        <v>15</v>
      </c>
      <c r="G520" s="3" t="s">
        <v>372</v>
      </c>
      <c r="H520" s="3" t="s">
        <v>115</v>
      </c>
      <c r="I520" s="3" t="str">
        <f>IFERROR(__xludf.DUMMYFUNCTION("GOOGLETRANSLATE(C520,""fr"",""en"")"),"Very simple and easy to understand with a reasonable price without the slightest computer complication or blocking of information give I recommend")</f>
        <v>Very simple and easy to understand with a reasonable price without the slightest computer complication or blocking of information give I recommend</v>
      </c>
    </row>
    <row r="521" ht="15.75" customHeight="1">
      <c r="A521" s="3">
        <v>3.0</v>
      </c>
      <c r="B521" s="3" t="s">
        <v>1557</v>
      </c>
      <c r="C521" s="3" t="s">
        <v>1558</v>
      </c>
      <c r="D521" s="3" t="s">
        <v>1207</v>
      </c>
      <c r="E521" s="3" t="s">
        <v>98</v>
      </c>
      <c r="F521" s="3" t="s">
        <v>15</v>
      </c>
      <c r="G521" s="3" t="s">
        <v>1559</v>
      </c>
      <c r="H521" s="3" t="s">
        <v>131</v>
      </c>
      <c r="I521" s="3" t="str">
        <f>IFERROR(__xludf.DUMMYFUNCTION("GOOGLETRANSLATE(C521,""fr"",""en"")"),"Catastrophic, does not keep its commitments, I have been waiting for two weeks an invoice. The person with whom I dialoguated told me that they were treating my request immediately and that I was going to receive it within a short week, I always wait for "&amp;"it .......
Today I proposed that I am addressed to me by email ....... not possible !!!!!")</f>
        <v>Catastrophic, does not keep its commitments, I have been waiting for two weeks an invoice. The person with whom I dialoguated told me that they were treating my request immediately and that I was going to receive it within a short week, I always wait for it .......
Today I proposed that I am addressed to me by email ....... not possible !!!!!</v>
      </c>
    </row>
    <row r="522" ht="15.75" customHeight="1">
      <c r="A522" s="3">
        <v>1.0</v>
      </c>
      <c r="B522" s="3" t="s">
        <v>1560</v>
      </c>
      <c r="C522" s="3" t="s">
        <v>1561</v>
      </c>
      <c r="D522" s="3" t="s">
        <v>122</v>
      </c>
      <c r="E522" s="3" t="s">
        <v>27</v>
      </c>
      <c r="F522" s="3" t="s">
        <v>15</v>
      </c>
      <c r="G522" s="3" t="s">
        <v>1562</v>
      </c>
      <c r="H522" s="3" t="s">
        <v>534</v>
      </c>
      <c r="I522" s="3" t="str">
        <f>IFERROR(__xludf.DUMMYFUNCTION("GOOGLETRANSLATE(C522,""fr"",""en"")"),"Effective contact impossible agent or general France. The ancient contracts are abandoned")</f>
        <v>Effective contact impossible agent or general France. The ancient contracts are abandoned</v>
      </c>
    </row>
    <row r="523" ht="15.75" customHeight="1">
      <c r="A523" s="3">
        <v>2.0</v>
      </c>
      <c r="B523" s="3" t="s">
        <v>1563</v>
      </c>
      <c r="C523" s="3" t="s">
        <v>1564</v>
      </c>
      <c r="D523" s="3" t="s">
        <v>42</v>
      </c>
      <c r="E523" s="3" t="s">
        <v>14</v>
      </c>
      <c r="F523" s="3" t="s">
        <v>15</v>
      </c>
      <c r="G523" s="3" t="s">
        <v>1565</v>
      </c>
      <c r="H523" s="3" t="s">
        <v>563</v>
      </c>
      <c r="I523" s="3" t="str">
        <f>IFERROR(__xludf.DUMMYFUNCTION("GOOGLETRANSLATE(C523,""fr"",""en"")"),"Hello, Following a non -responsible accident occurring on 12/13/2018 (big shock at the back of my vehicle while I was stopped due to traffic jams), I have no news management of my disaster. As an impression that my file has fallen into oblivion and that n"&amp;"o one takes care of it. The interlocutors that I had on the phone had however assured me that I will be contacted within a maximum time of 30 days, today we are on 01/26/19 and this deadline is widely exceeded. So I end up with a blocked, pressed chest, a"&amp;"nd with a H.S decline since 12/13/18. Inadmissible. Of +, the garage which was supposed to contact me within 48 hours for the expertise of my vehicle did not even contacted me. I had to contact Direct Assurance, so that I am told ""they are deborded hold "&amp;"their number and contact them directly"". In clear, since 12/13/18, my file is still being analyzed, and management must apparently be done by myself. I do not work at Direct Assurance as far as I know, moreover I pay you every month to be insured so plea"&amp;"se manage my file as soon as possible.")</f>
        <v>Hello, Following a non -responsible accident occurring on 12/13/2018 (big shock at the back of my vehicle while I was stopped due to traffic jams), I have no news management of my disaster. As an impression that my file has fallen into oblivion and that no one takes care of it. The interlocutors that I had on the phone had however assured me that I will be contacted within a maximum time of 30 days, today we are on 01/26/19 and this deadline is widely exceeded. So I end up with a blocked, pressed chest, and with a H.S decline since 12/13/18. Inadmissible. Of +, the garage which was supposed to contact me within 48 hours for the expertise of my vehicle did not even contacted me. I had to contact Direct Assurance, so that I am told "they are deborded hold their number and contact them directly". In clear, since 12/13/18, my file is still being analyzed, and management must apparently be done by myself. I do not work at Direct Assurance as far as I know, moreover I pay you every month to be insured so please manage my file as soon as possible.</v>
      </c>
    </row>
    <row r="524" ht="15.75" customHeight="1">
      <c r="A524" s="3">
        <v>5.0</v>
      </c>
      <c r="B524" s="3" t="s">
        <v>1566</v>
      </c>
      <c r="C524" s="3" t="s">
        <v>1567</v>
      </c>
      <c r="D524" s="3" t="s">
        <v>20</v>
      </c>
      <c r="E524" s="3" t="s">
        <v>21</v>
      </c>
      <c r="F524" s="3" t="s">
        <v>15</v>
      </c>
      <c r="G524" s="3" t="s">
        <v>473</v>
      </c>
      <c r="H524" s="3" t="s">
        <v>39</v>
      </c>
      <c r="I524" s="3" t="str">
        <f>IFERROR(__xludf.DUMMYFUNCTION("GOOGLETRANSLATE(C524,""fr"",""en"")"),"Top level price and facilitated insurance, I highly recommend, unbeatable compared to other motorcycle insurers and possibility of ensuring large displacement motorcycles for cheaper bcp.")</f>
        <v>Top level price and facilitated insurance, I highly recommend, unbeatable compared to other motorcycle insurers and possibility of ensuring large displacement motorcycles for cheaper bcp.</v>
      </c>
    </row>
    <row r="525" ht="15.75" customHeight="1">
      <c r="A525" s="3">
        <v>2.0</v>
      </c>
      <c r="B525" s="3" t="s">
        <v>1568</v>
      </c>
      <c r="C525" s="3" t="s">
        <v>1569</v>
      </c>
      <c r="D525" s="3" t="s">
        <v>97</v>
      </c>
      <c r="E525" s="3" t="s">
        <v>98</v>
      </c>
      <c r="F525" s="3" t="s">
        <v>15</v>
      </c>
      <c r="G525" s="3" t="s">
        <v>1131</v>
      </c>
      <c r="H525" s="3" t="s">
        <v>207</v>
      </c>
      <c r="I525" s="3" t="str">
        <f>IFERROR(__xludf.DUMMYFUNCTION("GOOGLETRANSLATE(C525,""fr"",""en"")"),"While the law imposes a compulsory employer mutual it is very complicated to terminate the Mutual Néoliane. It was only after initiating a legal procedure that they accepted the termination. In the meantime I have lost a lot of money.")</f>
        <v>While the law imposes a compulsory employer mutual it is very complicated to terminate the Mutual Néoliane. It was only after initiating a legal procedure that they accepted the termination. In the meantime I have lost a lot of money.</v>
      </c>
    </row>
    <row r="526" ht="15.75" customHeight="1">
      <c r="A526" s="3">
        <v>1.0</v>
      </c>
      <c r="B526" s="3" t="s">
        <v>1570</v>
      </c>
      <c r="C526" s="3" t="s">
        <v>1571</v>
      </c>
      <c r="D526" s="3" t="s">
        <v>246</v>
      </c>
      <c r="E526" s="3" t="s">
        <v>27</v>
      </c>
      <c r="F526" s="3" t="s">
        <v>15</v>
      </c>
      <c r="G526" s="3" t="s">
        <v>326</v>
      </c>
      <c r="H526" s="3" t="s">
        <v>124</v>
      </c>
      <c r="I526" s="3" t="str">
        <f>IFERROR(__xludf.DUMMYFUNCTION("GOOGLETRANSLATE(C526,""fr"",""en"")"),"Impossible to make partial withdrawals by yourself, when you really really need it !!!!!!. Always technical incidents on their site .....")</f>
        <v>Impossible to make partial withdrawals by yourself, when you really really need it !!!!!!. Always technical incidents on their site .....</v>
      </c>
    </row>
    <row r="527" ht="15.75" customHeight="1">
      <c r="A527" s="3">
        <v>2.0</v>
      </c>
      <c r="B527" s="3" t="s">
        <v>1572</v>
      </c>
      <c r="C527" s="3" t="s">
        <v>1573</v>
      </c>
      <c r="D527" s="3" t="s">
        <v>81</v>
      </c>
      <c r="E527" s="3" t="s">
        <v>14</v>
      </c>
      <c r="F527" s="3" t="s">
        <v>15</v>
      </c>
      <c r="G527" s="3" t="s">
        <v>1574</v>
      </c>
      <c r="H527" s="3" t="s">
        <v>660</v>
      </c>
      <c r="I527" s="3" t="str">
        <f>IFERROR(__xludf.DUMMYFUNCTION("GOOGLETRANSLATE(C527,""fr"",""en"")"),"I am very disappointed with the Macif. I changed insurer following tariff increases to come to the Macif just 2 months ago to ensure 2 vehicles. It started when subscribing with problems with not received documents that the Macif asked me for and that she"&amp;" found when I had a phone advisor!
 When subscribing to a third vehicle, Rebolot, documents not received. After telephone call, 1 of the so -called missing documents is found !!
Given the catastrophic management of documents during a subscription, I don"&amp;"'t even dare imagine what will happen if one day I have a sinister. So I stopped the current file for the third vehicle.
The website messaging platform is useless because no one answers or reminds you, except of course to take out contracts.
So suddenly"&amp;", I will withdraw the two other vehicles which have only been insured for barely 2 less.
")</f>
        <v>I am very disappointed with the Macif. I changed insurer following tariff increases to come to the Macif just 2 months ago to ensure 2 vehicles. It started when subscribing with problems with not received documents that the Macif asked me for and that she found when I had a phone advisor!
 When subscribing to a third vehicle, Rebolot, documents not received. After telephone call, 1 of the so -called missing documents is found !!
Given the catastrophic management of documents during a subscription, I don't even dare imagine what will happen if one day I have a sinister. So I stopped the current file for the third vehicle.
The website messaging platform is useless because no one answers or reminds you, except of course to take out contracts.
So suddenly, I will withdraw the two other vehicles which have only been insured for barely 2 less.
</v>
      </c>
    </row>
    <row r="528" ht="15.75" customHeight="1">
      <c r="A528" s="3">
        <v>2.0</v>
      </c>
      <c r="B528" s="3" t="s">
        <v>1575</v>
      </c>
      <c r="C528" s="3" t="s">
        <v>1576</v>
      </c>
      <c r="D528" s="3" t="s">
        <v>81</v>
      </c>
      <c r="E528" s="3" t="s">
        <v>14</v>
      </c>
      <c r="F528" s="3" t="s">
        <v>15</v>
      </c>
      <c r="G528" s="3" t="s">
        <v>1577</v>
      </c>
      <c r="H528" s="3" t="s">
        <v>35</v>
      </c>
      <c r="I528" s="3" t="str">
        <f>IFERROR(__xludf.DUMMYFUNCTION("GOOGLETRANSLATE(C528,""fr"",""en"")"),"As long as you pay and you can't do anything .... this insurer is for you!")</f>
        <v>As long as you pay and you can't do anything .... this insurer is for you!</v>
      </c>
    </row>
    <row r="529" ht="15.75" customHeight="1">
      <c r="A529" s="3">
        <v>5.0</v>
      </c>
      <c r="B529" s="3" t="s">
        <v>1578</v>
      </c>
      <c r="C529" s="3" t="s">
        <v>1579</v>
      </c>
      <c r="D529" s="3" t="s">
        <v>32</v>
      </c>
      <c r="E529" s="3" t="s">
        <v>14</v>
      </c>
      <c r="F529" s="3" t="s">
        <v>15</v>
      </c>
      <c r="G529" s="3" t="s">
        <v>115</v>
      </c>
      <c r="H529" s="3" t="s">
        <v>115</v>
      </c>
      <c r="I529" s="3" t="str">
        <f>IFERROR(__xludf.DUMMYFUNCTION("GOOGLETRANSLATE(C529,""fr"",""en"")"),"We are currently satisfied with GMF overall
Nothing to report from major, always present when they are called, hope it lasts! thank you")</f>
        <v>We are currently satisfied with GMF overall
Nothing to report from major, always present when they are called, hope it lasts! thank you</v>
      </c>
    </row>
    <row r="530" ht="15.75" customHeight="1">
      <c r="A530" s="3">
        <v>1.0</v>
      </c>
      <c r="B530" s="3" t="s">
        <v>1580</v>
      </c>
      <c r="C530" s="3" t="s">
        <v>1581</v>
      </c>
      <c r="D530" s="3" t="s">
        <v>47</v>
      </c>
      <c r="E530" s="3" t="s">
        <v>14</v>
      </c>
      <c r="F530" s="3" t="s">
        <v>15</v>
      </c>
      <c r="G530" s="3" t="s">
        <v>1582</v>
      </c>
      <c r="H530" s="3" t="s">
        <v>29</v>
      </c>
      <c r="I530" s="3" t="str">
        <f>IFERROR(__xludf.DUMMYFUNCTION("GOOGLETRANSLATE(C530,""fr"",""en"")"),"He followed advice…. No one in all ……. very disappointed …. Following a non -responsible disaster…. I have the impression of being the culprit…. This assurance leaves me many doubts and bitterness …… at home for 17 years to see any more claims… .. I am di"&amp;"sgusting")</f>
        <v>He followed advice…. No one in all ……. very disappointed …. Following a non -responsible disaster…. I have the impression of being the culprit…. This assurance leaves me many doubts and bitterness …… at home for 17 years to see any more claims… .. I am disgusting</v>
      </c>
    </row>
    <row r="531" ht="15.75" customHeight="1">
      <c r="A531" s="3">
        <v>5.0</v>
      </c>
      <c r="B531" s="3" t="s">
        <v>1583</v>
      </c>
      <c r="C531" s="3" t="s">
        <v>1584</v>
      </c>
      <c r="D531" s="3" t="s">
        <v>13</v>
      </c>
      <c r="E531" s="3" t="s">
        <v>14</v>
      </c>
      <c r="F531" s="3" t="s">
        <v>15</v>
      </c>
      <c r="G531" s="3" t="s">
        <v>1585</v>
      </c>
      <c r="H531" s="3" t="s">
        <v>429</v>
      </c>
      <c r="I531" s="3" t="str">
        <f>IFERROR(__xludf.DUMMYFUNCTION("GOOGLETRANSLATE(C531,""fr"",""en"")"),"I have been at the olive tree for several years and I am very happy the advisers are available and pleasant and the prices very interesting.")</f>
        <v>I have been at the olive tree for several years and I am very happy the advisers are available and pleasant and the prices very interesting.</v>
      </c>
    </row>
    <row r="532" ht="15.75" customHeight="1">
      <c r="A532" s="3">
        <v>1.0</v>
      </c>
      <c r="B532" s="3" t="s">
        <v>1586</v>
      </c>
      <c r="C532" s="3" t="s">
        <v>1587</v>
      </c>
      <c r="D532" s="3" t="s">
        <v>47</v>
      </c>
      <c r="E532" s="3" t="s">
        <v>14</v>
      </c>
      <c r="F532" s="3" t="s">
        <v>15</v>
      </c>
      <c r="G532" s="3" t="s">
        <v>1588</v>
      </c>
      <c r="H532" s="3" t="s">
        <v>39</v>
      </c>
      <c r="I532" s="3" t="str">
        <f>IFERROR(__xludf.DUMMYFUNCTION("GOOGLETRANSLATE(C532,""fr"",""en"")"),"Having found much cheaper on all of my contracts I therefore did the necessary to terminate the whole through my new insurance company. I then received the acceptance of termination so I thought it was settled and well no since the samples still have plac"&amp;"e 3 months later !!! Since the termination request in May 2021 and request from the information statement nothing has been taken into account, he made me run in bourique several times by emails to claim the documents they already had ... to see that!
 At"&amp;" the first call on the phone they told me that they will reimburse me from the monthly payments taken from Tors then left me the beak in the water without response, and ended up telling me that they could not do anything that it is is the new company to d"&amp;"o the necessary to redo everything (when it had already been done) !!!
Unthinkable .... it's the world upside down!
Headache with this person who did not want to hear anything I wrote to him for him re -expressed my dissatisfaction but strangely impossi"&amp;"ble to send him! I guess she probably blocks me .. Bravo Pacifica
 Abherent and inadmissible are liars, ready to do anything to puncture money despite the steps taken. They don't care about the world and wear the nerves to be completely fleeing !!!
The "&amp;"case is not resolved today I think to make a letter with AR to management soon to be reimbursed.")</f>
        <v>Having found much cheaper on all of my contracts I therefore did the necessary to terminate the whole through my new insurance company. I then received the acceptance of termination so I thought it was settled and well no since the samples still have place 3 months later !!! Since the termination request in May 2021 and request from the information statement nothing has been taken into account, he made me run in bourique several times by emails to claim the documents they already had ... to see that!
 At the first call on the phone they told me that they will reimburse me from the monthly payments taken from Tors then left me the beak in the water without response, and ended up telling me that they could not do anything that it is is the new company to do the necessary to redo everything (when it had already been done) !!!
Unthinkable .... it's the world upside down!
Headache with this person who did not want to hear anything I wrote to him for him re -expressed my dissatisfaction but strangely impossible to send him! I guess she probably blocks me .. Bravo Pacifica
 Abherent and inadmissible are liars, ready to do anything to puncture money despite the steps taken. They don't care about the world and wear the nerves to be completely fleeing !!!
The case is not resolved today I think to make a letter with AR to management soon to be reimbursed.</v>
      </c>
    </row>
    <row r="533" ht="15.75" customHeight="1">
      <c r="A533" s="3">
        <v>2.0</v>
      </c>
      <c r="B533" s="3" t="s">
        <v>1589</v>
      </c>
      <c r="C533" s="3" t="s">
        <v>1590</v>
      </c>
      <c r="D533" s="3" t="s">
        <v>42</v>
      </c>
      <c r="E533" s="3" t="s">
        <v>14</v>
      </c>
      <c r="F533" s="3" t="s">
        <v>15</v>
      </c>
      <c r="G533" s="3" t="s">
        <v>1591</v>
      </c>
      <c r="H533" s="3" t="s">
        <v>563</v>
      </c>
      <c r="I533" s="3" t="str">
        <f>IFERROR(__xludf.DUMMYFUNCTION("GOOGLETRANSLATE(C533,""fr"",""en"")"),"Totally agree with the opinions of other Internet users. Direct insurance cheaper than the others but ... the 1st year only. After that increases and not just a little. In addition, it is strongly advised not to have an accident, responsible or not elsewh"&amp;"ere, because for the regulations of these, you must be very very very patient.
In conclusion, an insurance company to flee!")</f>
        <v>Totally agree with the opinions of other Internet users. Direct insurance cheaper than the others but ... the 1st year only. After that increases and not just a little. In addition, it is strongly advised not to have an accident, responsible or not elsewhere, because for the regulations of these, you must be very very very patient.
In conclusion, an insurance company to flee!</v>
      </c>
    </row>
    <row r="534" ht="15.75" customHeight="1">
      <c r="A534" s="3">
        <v>5.0</v>
      </c>
      <c r="B534" s="3" t="s">
        <v>1592</v>
      </c>
      <c r="C534" s="3" t="s">
        <v>1593</v>
      </c>
      <c r="D534" s="3" t="s">
        <v>310</v>
      </c>
      <c r="E534" s="3" t="s">
        <v>311</v>
      </c>
      <c r="F534" s="3" t="s">
        <v>15</v>
      </c>
      <c r="G534" s="3" t="s">
        <v>1145</v>
      </c>
      <c r="H534" s="3" t="s">
        <v>165</v>
      </c>
      <c r="I534" s="3" t="str">
        <f>IFERROR(__xludf.DUMMYFUNCTION("GOOGLETRANSLATE(C534,""fr"",""en"")"),"Very satisfied with the care and insurance proposed, my advisor has always been present at each request or interrogation. I recommend.")</f>
        <v>Very satisfied with the care and insurance proposed, my advisor has always been present at each request or interrogation. I recommend.</v>
      </c>
    </row>
    <row r="535" ht="15.75" customHeight="1">
      <c r="A535" s="3">
        <v>3.0</v>
      </c>
      <c r="B535" s="3" t="s">
        <v>1594</v>
      </c>
      <c r="C535" s="3" t="s">
        <v>1595</v>
      </c>
      <c r="D535" s="3" t="s">
        <v>421</v>
      </c>
      <c r="E535" s="3" t="s">
        <v>98</v>
      </c>
      <c r="F535" s="3" t="s">
        <v>15</v>
      </c>
      <c r="G535" s="3" t="s">
        <v>155</v>
      </c>
      <c r="H535" s="3" t="s">
        <v>39</v>
      </c>
      <c r="I535" s="3" t="str">
        <f>IFERROR(__xludf.DUMMYFUNCTION("GOOGLETRANSLATE(C535,""fr"",""en"")"),"Overall satisfied on the other hand by at all happy on the non -reimbursement of Delolane injection not reimbursed while this type of measure is not entered in the contract which means that the rules change to the goodwill of the insurer I carried a compl"&amp;"aint Leave a dead letter apart from saying that it is no
")</f>
        <v>Overall satisfied on the other hand by at all happy on the non -reimbursement of Delolane injection not reimbursed while this type of measure is not entered in the contract which means that the rules change to the goodwill of the insurer I carried a complaint Leave a dead letter apart from saying that it is no
</v>
      </c>
    </row>
    <row r="536" ht="15.75" customHeight="1">
      <c r="A536" s="3">
        <v>4.0</v>
      </c>
      <c r="B536" s="3" t="s">
        <v>1596</v>
      </c>
      <c r="C536" s="3" t="s">
        <v>1597</v>
      </c>
      <c r="D536" s="3" t="s">
        <v>97</v>
      </c>
      <c r="E536" s="3" t="s">
        <v>98</v>
      </c>
      <c r="F536" s="3" t="s">
        <v>15</v>
      </c>
      <c r="G536" s="3" t="s">
        <v>520</v>
      </c>
      <c r="H536" s="3" t="s">
        <v>86</v>
      </c>
      <c r="I536" s="3" t="str">
        <f>IFERROR(__xludf.DUMMYFUNCTION("GOOGLETRANSLATE(C536,""fr"",""en"")"),"I had positive information from Salim. I am awaiting the opening of my member account. Fortunately Salim gave me hope! Cordially")</f>
        <v>I had positive information from Salim. I am awaiting the opening of my member account. Fortunately Salim gave me hope! Cordially</v>
      </c>
    </row>
    <row r="537" ht="15.75" customHeight="1">
      <c r="A537" s="3">
        <v>5.0</v>
      </c>
      <c r="B537" s="3" t="s">
        <v>1598</v>
      </c>
      <c r="C537" s="3" t="s">
        <v>1599</v>
      </c>
      <c r="D537" s="3" t="s">
        <v>42</v>
      </c>
      <c r="E537" s="3" t="s">
        <v>14</v>
      </c>
      <c r="F537" s="3" t="s">
        <v>15</v>
      </c>
      <c r="G537" s="3" t="s">
        <v>1600</v>
      </c>
      <c r="H537" s="3" t="s">
        <v>506</v>
      </c>
      <c r="I537" s="3" t="str">
        <f>IFERROR(__xludf.DUMMYFUNCTION("GOOGLETRANSLATE(C537,""fr"",""en"")"),"Very interesting, I really think of subscribing to this insurance, I have a lot of friends who are there and they are very satisfied, especially this Youdrive system")</f>
        <v>Very interesting, I really think of subscribing to this insurance, I have a lot of friends who are there and they are very satisfied, especially this Youdrive system</v>
      </c>
    </row>
    <row r="538" ht="15.75" customHeight="1">
      <c r="A538" s="3">
        <v>5.0</v>
      </c>
      <c r="B538" s="3" t="s">
        <v>1601</v>
      </c>
      <c r="C538" s="3" t="s">
        <v>1602</v>
      </c>
      <c r="D538" s="3" t="s">
        <v>384</v>
      </c>
      <c r="E538" s="3" t="s">
        <v>21</v>
      </c>
      <c r="F538" s="3" t="s">
        <v>15</v>
      </c>
      <c r="G538" s="3" t="s">
        <v>708</v>
      </c>
      <c r="H538" s="3" t="s">
        <v>115</v>
      </c>
      <c r="I538" s="3" t="str">
        <f>IFERROR(__xludf.DUMMYFUNCTION("GOOGLETRANSLATE(C538,""fr"",""en"")"),"I am satisfied with your services and your responsiveness of the friendliness and patience of people who correspond to the phone. I would recommend yours.")</f>
        <v>I am satisfied with your services and your responsiveness of the friendliness and patience of people who correspond to the phone. I would recommend yours.</v>
      </c>
    </row>
    <row r="539" ht="15.75" customHeight="1">
      <c r="A539" s="3">
        <v>5.0</v>
      </c>
      <c r="B539" s="3" t="s">
        <v>1603</v>
      </c>
      <c r="C539" s="3" t="s">
        <v>1604</v>
      </c>
      <c r="D539" s="3" t="s">
        <v>13</v>
      </c>
      <c r="E539" s="3" t="s">
        <v>14</v>
      </c>
      <c r="F539" s="3" t="s">
        <v>15</v>
      </c>
      <c r="G539" s="3" t="s">
        <v>243</v>
      </c>
      <c r="H539" s="3" t="s">
        <v>44</v>
      </c>
      <c r="I539" s="3" t="str">
        <f>IFERROR(__xludf.DUMMYFUNCTION("GOOGLETRANSLATE(C539,""fr"",""en"")"),"First step with the Olivier Insurance, for the moment all is well, I will soon provide a second vehicle. I highly recommend this insurance")</f>
        <v>First step with the Olivier Insurance, for the moment all is well, I will soon provide a second vehicle. I highly recommend this insurance</v>
      </c>
    </row>
    <row r="540" ht="15.75" customHeight="1">
      <c r="A540" s="3">
        <v>4.0</v>
      </c>
      <c r="B540" s="3" t="s">
        <v>1605</v>
      </c>
      <c r="C540" s="3" t="s">
        <v>1606</v>
      </c>
      <c r="D540" s="3" t="s">
        <v>13</v>
      </c>
      <c r="E540" s="3" t="s">
        <v>14</v>
      </c>
      <c r="F540" s="3" t="s">
        <v>15</v>
      </c>
      <c r="G540" s="3" t="s">
        <v>179</v>
      </c>
      <c r="H540" s="3" t="s">
        <v>115</v>
      </c>
      <c r="I540" s="3" t="str">
        <f>IFERROR(__xludf.DUMMYFUNCTION("GOOGLETRANSLATE(C540,""fr"",""en"")"),"TOP Customer Service, the advisor was very clear and did not lack kindness. He was very professional. I recommend the olive assurance car")</f>
        <v>TOP Customer Service, the advisor was very clear and did not lack kindness. He was very professional. I recommend the olive assurance car</v>
      </c>
    </row>
    <row r="541" ht="15.75" customHeight="1">
      <c r="A541" s="3">
        <v>2.0</v>
      </c>
      <c r="B541" s="3" t="s">
        <v>1607</v>
      </c>
      <c r="C541" s="3" t="s">
        <v>1608</v>
      </c>
      <c r="D541" s="3" t="s">
        <v>42</v>
      </c>
      <c r="E541" s="3" t="s">
        <v>14</v>
      </c>
      <c r="F541" s="3" t="s">
        <v>15</v>
      </c>
      <c r="G541" s="3" t="s">
        <v>491</v>
      </c>
      <c r="H541" s="3" t="s">
        <v>207</v>
      </c>
      <c r="I541" s="3" t="str">
        <f>IFERROR(__xludf.DUMMYFUNCTION("GOOGLETRANSLATE(C541,""fr"",""en"")"),"Correct insurance but which continues to increase its prices from year to year. The advisor even told me that I had no other choice than to terminate if I wanted to have a correct insurance price ...")</f>
        <v>Correct insurance but which continues to increase its prices from year to year. The advisor even told me that I had no other choice than to terminate if I wanted to have a correct insurance price ...</v>
      </c>
    </row>
    <row r="542" ht="15.75" customHeight="1">
      <c r="A542" s="3">
        <v>2.0</v>
      </c>
      <c r="B542" s="3" t="s">
        <v>1609</v>
      </c>
      <c r="C542" s="3" t="s">
        <v>1610</v>
      </c>
      <c r="D542" s="3" t="s">
        <v>89</v>
      </c>
      <c r="E542" s="3" t="s">
        <v>14</v>
      </c>
      <c r="F542" s="3" t="s">
        <v>15</v>
      </c>
      <c r="G542" s="3" t="s">
        <v>1611</v>
      </c>
      <c r="H542" s="3" t="s">
        <v>898</v>
      </c>
      <c r="I542" s="3" t="str">
        <f>IFERROR(__xludf.DUMMYFUNCTION("GOOGLETRANSLATE(C542,""fr"",""en"")"),"Hello, member of Maif since 1970, I note a disappointing drift of what is only a mutual pseudo towards the world of trade. While my vehicle is ensured fullness, I have just been refused to take care of the rain sensor during a change in the windshield. Th"&amp;"e BMW garage which made the repair ensures that this sensor is united with the windshield and cannot be reused and no other insurer has refused to take care of it to date. At the MAIF also we will have to get into the habit of reading between the lines be"&amp;"fore signing a contract. Patrick.")</f>
        <v>Hello, member of Maif since 1970, I note a disappointing drift of what is only a mutual pseudo towards the world of trade. While my vehicle is ensured fullness, I have just been refused to take care of the rain sensor during a change in the windshield. The BMW garage which made the repair ensures that this sensor is united with the windshield and cannot be reused and no other insurer has refused to take care of it to date. At the MAIF also we will have to get into the habit of reading between the lines before signing a contract. Patrick.</v>
      </c>
    </row>
    <row r="543" ht="15.75" customHeight="1">
      <c r="A543" s="3">
        <v>1.0</v>
      </c>
      <c r="B543" s="3" t="s">
        <v>1612</v>
      </c>
      <c r="C543" s="3" t="s">
        <v>1613</v>
      </c>
      <c r="D543" s="3" t="s">
        <v>81</v>
      </c>
      <c r="E543" s="3" t="s">
        <v>33</v>
      </c>
      <c r="F543" s="3" t="s">
        <v>15</v>
      </c>
      <c r="G543" s="3" t="s">
        <v>1614</v>
      </c>
      <c r="H543" s="3" t="s">
        <v>1156</v>
      </c>
      <c r="I543" s="3" t="str">
        <f>IFERROR(__xludf.DUMMYFUNCTION("GOOGLETRANSLATE(C543,""fr"",""en"")"),"Very disapointed")</f>
        <v>Very disapointed</v>
      </c>
    </row>
    <row r="544" ht="15.75" customHeight="1">
      <c r="A544" s="3">
        <v>2.0</v>
      </c>
      <c r="B544" s="3" t="s">
        <v>1615</v>
      </c>
      <c r="C544" s="3" t="s">
        <v>1616</v>
      </c>
      <c r="D544" s="3" t="s">
        <v>42</v>
      </c>
      <c r="E544" s="3" t="s">
        <v>33</v>
      </c>
      <c r="F544" s="3" t="s">
        <v>15</v>
      </c>
      <c r="G544" s="3" t="s">
        <v>1617</v>
      </c>
      <c r="H544" s="3" t="s">
        <v>207</v>
      </c>
      <c r="I544" s="3" t="str">
        <f>IFERROR(__xludf.DUMMYFUNCTION("GOOGLETRANSLATE(C544,""fr"",""en"")"),"The insurer is incompetent
It is in collusion with the experts, and they are remunerated according to their opinion unfavorable to the care of the claim.
Following the climatic conditions of September 2016, my daughter has a fence wall of her small gard"&amp;"en which fell to the neighbor.
Insurance call: OK is supported, we send you an entrepreneur to establish a quote.
The entrepreneur comes hands in his pockets, does not measure anything, ""a tourist"", is leaving saying: ""It will be expensive"", 12,000 "&amp;"to 15,000 €.
Of course direct insurance beyond an amount sends an expert.
2 months after the expert arrives, and establishes a report saying: ""The wall was not made in the rules of the art with reinforcement""
The reinforcement is there but he did not"&amp;" see it, or not looking for, the construction is from 1978.
Conclusion of insurance: we cannot take care of the work.
Thank you Direct Assurances.
If you have an old house, which over time has weaknesses, it is useless to ensure you, you will not be re"&amp;"imbursed in the event of a claim.
And yet insurance is compulsory.
  ")</f>
        <v>The insurer is incompetent
It is in collusion with the experts, and they are remunerated according to their opinion unfavorable to the care of the claim.
Following the climatic conditions of September 2016, my daughter has a fence wall of her small garden which fell to the neighbor.
Insurance call: OK is supported, we send you an entrepreneur to establish a quote.
The entrepreneur comes hands in his pockets, does not measure anything, "a tourist", is leaving saying: "It will be expensive", 12,000 to 15,000 €.
Of course direct insurance beyond an amount sends an expert.
2 months after the expert arrives, and establishes a report saying: "The wall was not made in the rules of the art with reinforcement"
The reinforcement is there but he did not see it, or not looking for, the construction is from 1978.
Conclusion of insurance: we cannot take care of the work.
Thank you Direct Assurances.
If you have an old house, which over time has weaknesses, it is useless to ensure you, you will not be reimbursed in the event of a claim.
And yet insurance is compulsory.
  </v>
      </c>
    </row>
    <row r="545" ht="15.75" customHeight="1">
      <c r="A545" s="3">
        <v>1.0</v>
      </c>
      <c r="B545" s="3" t="s">
        <v>1618</v>
      </c>
      <c r="C545" s="3" t="s">
        <v>1619</v>
      </c>
      <c r="D545" s="3" t="s">
        <v>81</v>
      </c>
      <c r="E545" s="3" t="s">
        <v>14</v>
      </c>
      <c r="F545" s="3" t="s">
        <v>15</v>
      </c>
      <c r="G545" s="3" t="s">
        <v>1620</v>
      </c>
      <c r="H545" s="3" t="s">
        <v>105</v>
      </c>
      <c r="I545" s="3" t="str">
        <f>IFERROR(__xludf.DUMMYFUNCTION("GOOGLETRANSLATE(C545,""fr"",""en"")"),"The insurer makes mistakes on your coefficient and he drills you when it is their fault. Imomprehensible my treatments always pay and no accident but he does not continue your insurance because of their error ?????????? ???????")</f>
        <v>The insurer makes mistakes on your coefficient and he drills you when it is their fault. Imomprehensible my treatments always pay and no accident but he does not continue your insurance because of their error ?????????? ???????</v>
      </c>
    </row>
    <row r="546" ht="15.75" customHeight="1">
      <c r="A546" s="3">
        <v>5.0</v>
      </c>
      <c r="B546" s="3" t="s">
        <v>1621</v>
      </c>
      <c r="C546" s="3" t="s">
        <v>1622</v>
      </c>
      <c r="D546" s="3" t="s">
        <v>42</v>
      </c>
      <c r="E546" s="3" t="s">
        <v>14</v>
      </c>
      <c r="F546" s="3" t="s">
        <v>15</v>
      </c>
      <c r="G546" s="3" t="s">
        <v>1142</v>
      </c>
      <c r="H546" s="3" t="s">
        <v>115</v>
      </c>
      <c r="I546" s="3" t="str">
        <f>IFERROR(__xludf.DUMMYFUNCTION("GOOGLETRANSLATE(C546,""fr"",""en"")"),"I am already a customer for a car at Direct Insurance .. Let still have a better price with my wife as a main driver for this car. This is the secondary car of the couple and is about 5,000 kilometers per year")</f>
        <v>I am already a customer for a car at Direct Insurance .. Let still have a better price with my wife as a main driver for this car. This is the secondary car of the couple and is about 5,000 kilometers per year</v>
      </c>
    </row>
    <row r="547" ht="15.75" customHeight="1">
      <c r="A547" s="3">
        <v>2.0</v>
      </c>
      <c r="B547" s="3" t="s">
        <v>1623</v>
      </c>
      <c r="C547" s="3" t="s">
        <v>1624</v>
      </c>
      <c r="D547" s="3" t="s">
        <v>47</v>
      </c>
      <c r="E547" s="3" t="s">
        <v>33</v>
      </c>
      <c r="F547" s="3" t="s">
        <v>15</v>
      </c>
      <c r="G547" s="3" t="s">
        <v>1625</v>
      </c>
      <c r="H547" s="3" t="s">
        <v>270</v>
      </c>
      <c r="I547" s="3" t="str">
        <f>IFERROR(__xludf.DUMMYFUNCTION("GOOGLETRANSLATE(C547,""fr"",""en"")"),"If you have a disaster, your advisor asks you not to renew the contract.
The expert goes in a small tailor, and is more girlfriend with the opposing expert than to help you; Do not go on a scale to see the disaster!")</f>
        <v>If you have a disaster, your advisor asks you not to renew the contract.
The expert goes in a small tailor, and is more girlfriend with the opposing expert than to help you; Do not go on a scale to see the disaster!</v>
      </c>
    </row>
    <row r="548" ht="15.75" customHeight="1">
      <c r="A548" s="3">
        <v>1.0</v>
      </c>
      <c r="B548" s="3" t="s">
        <v>1626</v>
      </c>
      <c r="C548" s="3" t="s">
        <v>1627</v>
      </c>
      <c r="D548" s="3" t="s">
        <v>227</v>
      </c>
      <c r="E548" s="3" t="s">
        <v>98</v>
      </c>
      <c r="F548" s="3" t="s">
        <v>15</v>
      </c>
      <c r="G548" s="3" t="s">
        <v>774</v>
      </c>
      <c r="H548" s="3" t="s">
        <v>75</v>
      </c>
      <c r="I548" s="3" t="str">
        <f>IFERROR(__xludf.DUMMYFUNCTION("GOOGLETRANSLATE(C548,""fr"",""en"")"),"Save yourself from this mutual. Impossible to have a person for a telephone interview. Refund on average 1 month after sending the reimbursement. We were in the Malakoff group ever we had a problem on the contrary with very competent people and always to "&amp;"solve your problems with a smile ??")</f>
        <v>Save yourself from this mutual. Impossible to have a person for a telephone interview. Refund on average 1 month after sending the reimbursement. We were in the Malakoff group ever we had a problem on the contrary with very competent people and always to solve your problems with a smile ??</v>
      </c>
    </row>
    <row r="549" ht="15.75" customHeight="1">
      <c r="A549" s="3">
        <v>1.0</v>
      </c>
      <c r="B549" s="3" t="s">
        <v>1628</v>
      </c>
      <c r="C549" s="3" t="s">
        <v>1629</v>
      </c>
      <c r="D549" s="3" t="s">
        <v>81</v>
      </c>
      <c r="E549" s="3" t="s">
        <v>14</v>
      </c>
      <c r="F549" s="3" t="s">
        <v>15</v>
      </c>
      <c r="G549" s="3" t="s">
        <v>252</v>
      </c>
      <c r="H549" s="3" t="s">
        <v>253</v>
      </c>
      <c r="I549" s="3" t="str">
        <f>IFERROR(__xludf.DUMMYFUNCTION("GOOGLETRANSLATE(C549,""fr"",""en"")"),"Macif no human value
The Macif left us with our 4 children in a hassle 450 km from our home for a deductible of 350 euros that we cannot pay immediately and the garage does not want to give us the vehicle and despite our requests to the Macif To cancel t"&amp;"he franchise exceptionally and reimburse them at the end of the month, we had refusals. It's disgusting and after the Macif says he has values! Damn! No difference with other insurance groups. Before going to pay millions of euros to associations they wou"&amp;"ld better deal with their member above all")</f>
        <v>Macif no human value
The Macif left us with our 4 children in a hassle 450 km from our home for a deductible of 350 euros that we cannot pay immediately and the garage does not want to give us the vehicle and despite our requests to the Macif To cancel the franchise exceptionally and reimburse them at the end of the month, we had refusals. It's disgusting and after the Macif says he has values! Damn! No difference with other insurance groups. Before going to pay millions of euros to associations they would better deal with their member above all</v>
      </c>
    </row>
    <row r="550" ht="15.75" customHeight="1">
      <c r="A550" s="3">
        <v>5.0</v>
      </c>
      <c r="B550" s="3" t="s">
        <v>1630</v>
      </c>
      <c r="C550" s="3" t="s">
        <v>1631</v>
      </c>
      <c r="D550" s="3" t="s">
        <v>42</v>
      </c>
      <c r="E550" s="3" t="s">
        <v>14</v>
      </c>
      <c r="F550" s="3" t="s">
        <v>15</v>
      </c>
      <c r="G550" s="3" t="s">
        <v>1300</v>
      </c>
      <c r="H550" s="3" t="s">
        <v>506</v>
      </c>
      <c r="I550" s="3" t="str">
        <f>IFERROR(__xludf.DUMMYFUNCTION("GOOGLETRANSLATE(C550,""fr"",""en"")"),"Very satisfied with services and information; We have been customers for many years at Direct Insurance. The prices are also attractive")</f>
        <v>Very satisfied with services and information; We have been customers for many years at Direct Insurance. The prices are also attractive</v>
      </c>
    </row>
    <row r="551" ht="15.75" customHeight="1">
      <c r="A551" s="3">
        <v>2.0</v>
      </c>
      <c r="B551" s="3" t="s">
        <v>1632</v>
      </c>
      <c r="C551" s="3" t="s">
        <v>1633</v>
      </c>
      <c r="D551" s="3" t="s">
        <v>549</v>
      </c>
      <c r="E551" s="3" t="s">
        <v>21</v>
      </c>
      <c r="F551" s="3" t="s">
        <v>15</v>
      </c>
      <c r="G551" s="3" t="s">
        <v>1634</v>
      </c>
      <c r="H551" s="3" t="s">
        <v>506</v>
      </c>
      <c r="I551" s="3" t="str">
        <f>IFERROR(__xludf.DUMMYFUNCTION("GOOGLETRANSLATE(C551,""fr"",""en"")"),"Two years ago I arrived at home as a new insured and new biker.
At the time I had to have my MOTO Non A2 assured in the name of one of my colleagues so that he could pick it up and take it to the dealership to make it restrained. As soon as I received my"&amp;" license. Call to customer service to change drivers with email sending my license copy.
For the past three days I have realized that a driver's change has not taken place. That is to say that I ride without being insured for two years!
And like many I "&amp;"can't contact them.
So I can neither use my motorcycle nor resell my motorcycle! Since I had the bridge and that I will change motorcycles.
This situation has nothing to do with the COVID19 but has a gross negligence and which could have had serious con"&amp;"sequences for my life if I had had an accident.
 ")</f>
        <v>Two years ago I arrived at home as a new insured and new biker.
At the time I had to have my MOTO Non A2 assured in the name of one of my colleagues so that he could pick it up and take it to the dealership to make it restrained. As soon as I received my license. Call to customer service to change drivers with email sending my license copy.
For the past three days I have realized that a driver's change has not taken place. That is to say that I ride without being insured for two years!
And like many I can't contact them.
So I can neither use my motorcycle nor resell my motorcycle! Since I had the bridge and that I will change motorcycles.
This situation has nothing to do with the COVID19 but has a gross negligence and which could have had serious consequences for my life if I had had an accident.
 </v>
      </c>
    </row>
    <row r="552" ht="15.75" customHeight="1">
      <c r="A552" s="3">
        <v>5.0</v>
      </c>
      <c r="B552" s="3" t="s">
        <v>1635</v>
      </c>
      <c r="C552" s="3" t="s">
        <v>1636</v>
      </c>
      <c r="D552" s="3" t="s">
        <v>42</v>
      </c>
      <c r="E552" s="3" t="s">
        <v>14</v>
      </c>
      <c r="F552" s="3" t="s">
        <v>15</v>
      </c>
      <c r="G552" s="3" t="s">
        <v>1401</v>
      </c>
      <c r="H552" s="3" t="s">
        <v>429</v>
      </c>
      <c r="I552" s="3" t="str">
        <f>IFERROR(__xludf.DUMMYFUNCTION("GOOGLETRANSLATE(C552,""fr"",""en"")"),"Direct Asdurance has the best service. And cheaper in France. I advise all my knowledge to join Direct Insurance. In addition, customer advisers are to welcome.
A thousand thanks and thank you.")</f>
        <v>Direct Asdurance has the best service. And cheaper in France. I advise all my knowledge to join Direct Insurance. In addition, customer advisers are to welcome.
A thousand thanks and thank you.</v>
      </c>
    </row>
    <row r="553" ht="15.75" customHeight="1">
      <c r="A553" s="3">
        <v>4.0</v>
      </c>
      <c r="B553" s="3" t="s">
        <v>1637</v>
      </c>
      <c r="C553" s="3" t="s">
        <v>1638</v>
      </c>
      <c r="D553" s="3" t="s">
        <v>251</v>
      </c>
      <c r="E553" s="3" t="s">
        <v>311</v>
      </c>
      <c r="F553" s="3" t="s">
        <v>15</v>
      </c>
      <c r="G553" s="3" t="s">
        <v>1639</v>
      </c>
      <c r="H553" s="3" t="s">
        <v>551</v>
      </c>
      <c r="I553" s="3" t="str">
        <f>IFERROR(__xludf.DUMMYFUNCTION("GOOGLETRANSLATE(C553,""fr"",""en"")"),"I am in disability 2 and I would like to perceive the capital to change houses suitable for my degenerative disease. I am currently reimbursed monthly 100%. On the phone I am told that my file was recorded in ITT and passing it into IPT seems unrealizable"&amp;" and I seized a complaint. If I have no response I will grasp the mediation-assurance. Apart from this PB, effective reimbursement for me!")</f>
        <v>I am in disability 2 and I would like to perceive the capital to change houses suitable for my degenerative disease. I am currently reimbursed monthly 100%. On the phone I am told that my file was recorded in ITT and passing it into IPT seems unrealizable and I seized a complaint. If I have no response I will grasp the mediation-assurance. Apart from this PB, effective reimbursement for me!</v>
      </c>
    </row>
    <row r="554" ht="15.75" customHeight="1">
      <c r="A554" s="3">
        <v>1.0</v>
      </c>
      <c r="B554" s="3" t="s">
        <v>1640</v>
      </c>
      <c r="C554" s="3" t="s">
        <v>1641</v>
      </c>
      <c r="D554" s="3" t="s">
        <v>69</v>
      </c>
      <c r="E554" s="3" t="s">
        <v>14</v>
      </c>
      <c r="F554" s="3" t="s">
        <v>15</v>
      </c>
      <c r="G554" s="3" t="s">
        <v>1642</v>
      </c>
      <c r="H554" s="3" t="s">
        <v>345</v>
      </c>
      <c r="I554" s="3" t="str">
        <f>IFERROR(__xludf.DUMMYFUNCTION("GOOGLETRANSLATE(C554,""fr"",""en"")"),"  I am a period of 20 years at Euophil today I am to be this insurer
 I am what we have been a good driver SS accident for 30 years
 I asked for a commercial gesture for my insurance all risk which was given to me and then withdraw this year the interlo"&amp;"cutor I had is we can no longer unknown I therefore who")</f>
        <v>  I am a period of 20 years at Euophil today I am to be this insurer
 I am what we have been a good driver SS accident for 30 years
 I asked for a commercial gesture for my insurance all risk which was given to me and then withdraw this year the interlocutor I had is we can no longer unknown I therefore who</v>
      </c>
    </row>
    <row r="555" ht="15.75" customHeight="1">
      <c r="A555" s="3">
        <v>5.0</v>
      </c>
      <c r="B555" s="3" t="s">
        <v>1643</v>
      </c>
      <c r="C555" s="3" t="s">
        <v>1644</v>
      </c>
      <c r="D555" s="3" t="s">
        <v>13</v>
      </c>
      <c r="E555" s="3" t="s">
        <v>14</v>
      </c>
      <c r="F555" s="3" t="s">
        <v>15</v>
      </c>
      <c r="G555" s="3" t="s">
        <v>1134</v>
      </c>
      <c r="H555" s="3" t="s">
        <v>86</v>
      </c>
      <c r="I555" s="3" t="str">
        <f>IFERROR(__xludf.DUMMYFUNCTION("GOOGLETRANSLATE(C555,""fr"",""en"")"),"As for the subscription, nothing to say, simple quick and efficient, for the a priori price I have not found more competitive, I hope that the service behind will also be of quality the day it will have to be")</f>
        <v>As for the subscription, nothing to say, simple quick and efficient, for the a priori price I have not found more competitive, I hope that the service behind will also be of quality the day it will have to be</v>
      </c>
    </row>
    <row r="556" ht="15.75" customHeight="1">
      <c r="A556" s="3">
        <v>1.0</v>
      </c>
      <c r="B556" s="3" t="s">
        <v>1645</v>
      </c>
      <c r="C556" s="3" t="s">
        <v>1646</v>
      </c>
      <c r="D556" s="3" t="s">
        <v>1647</v>
      </c>
      <c r="E556" s="3" t="s">
        <v>33</v>
      </c>
      <c r="F556" s="3" t="s">
        <v>15</v>
      </c>
      <c r="G556" s="3" t="s">
        <v>1648</v>
      </c>
      <c r="H556" s="3" t="s">
        <v>506</v>
      </c>
      <c r="I556" s="3" t="str">
        <f>IFERROR(__xludf.DUMMYFUNCTION("GOOGLETRANSLATE(C556,""fr"",""en"")"),"It all starts with a sunny day when I will follow the progress of the work that took place during the week.
Arrived on site I see that the sky is covered and becomes cloudy.
I approach the bay window and there I see that it is ajar. Farmed up the amou"&amp;"nt and supervision of the bay window were forced! Someone returned to my house after a flawless determination. I only go around in my head, what could they fly?
The house is empty and under construction, the screed has just dried.
What do I see?, Two ot"&amp;"her bay windows and a upstairs window were also forced!
I keep my cold, nothing special was stolen in this empty house apart from two stains upstairs. Why so much relentlessness for two stains?
Immediately, I move away from the house observes an overv"&amp;"iew of it, the sky is covered, the rain falls, I call our project manager to inform him.
Also amazed, he asks me in a fairly worried but courteous tone to check immediately if the electrical panel is still present.
I run to the technical room, phew! Eve"&amp;"rything is in place. Only a bay window that will have to be changed completely and two others with rooms to change. After the arrival of the gendarmes who move quickly to see the facts and raise gloved hands footprints. I will file a complaint in pouring "&amp;"rain and start to set up the file that Sogessur insurance asked me to establish. A real investigation begins, outside the flood falls in our village. I attach to the expertise file, photographs, house plan, the state of losses of damaged and / or stolen o"&amp;"bjects, quotes and supporting documents for repairs to be started, 72 hours before the arrival of the expert an amount of more than 10,600 euros.
During the visit of the expert Le Temps, the file scanned 72 hours before could not reach him but he begin"&amp;"s to work despite this and makes us a real interrogation:
Question: ""Sir, madam, do you live in the accommodation?""
Answer: ""No sir, he is under construction without water or electricity.""
Question: ""Is it out of air and out of water?""
Answer: "&amp;"""Yes sir""
Directive: ""Show me all the degradations noted for this attempted theft by break-in"".
In the company of the prime contractor and my wife, we go around the house, the expert takes the photos of all the degradations and the equipment to chan"&amp;"ge.
After 1:30 am, he greets us, I accompany him and the expert in home insurance, mandated by Sogessur leaves behind the wheel of his car, in the neighboring big city in order to write his report to Sogessur.
Outside the blackened sky.
A few days la"&amp;"ter, I receive an email, explaining myself that nothing, no nothing will be taken care of by Sogessur insurance. This kind of disaster is not supported by Sogessur insurance because I do not live in the premises. I specify again that the home is under con"&amp;"struction without water or electricity.
Outside there is a rain of a lifetime in a few hours.
Quickly, I call SOGESSUR insurance to protect myself, if the brigands come back, I will not be able to leave € 10,600 from the magician's hat of one of my th"&amp;"ree children.
The wait on the phone seems endless to me. That's it, a charming lady answers me.
After exchanging by phone and in order to cover myself for a possible other claim to come, this one explains to me that the insurance of the general company,"&amp;" sogessur there is neither option nor package for this kind of claim . That is to say, as long as the owner does not live on site, in this accommodation under construction, he can be degraded, destroy his house without being compensated everything will be"&amp;" his wallet.
It was my duty as a husband and father to take this kind of home insurance.
When I had asked my advisor to the General Societe, she had told me verbally that everything was taken care of by omitting to tell me, only, from the date of entry "&amp;"into the premises.
Knowing that the prime contractor, having his ten -year guarantee like that of the craftsmen, not being obliged to take home insurance for my construction and thinking that I was insured at Sogessur, I did not subscribe to Home insuran"&amp;"ce against break -in flight.
Today I am obliged to contract home insurance with a competitor of the general company to be covered until the end of the work since Sogessur is unable to offer this insurance coverage.
I just lost 10,600 euros in a few time"&amp;"s on a new construction project.
Attention dear consumer who, like me, were forced to subscribe to the SOGESSUR home insurance with your mortgage to the general company!
If you are degrading your home before living there, you will not be reimbursed an"&amp;"d lose your child's dream from new construction.
Today, I am indebted for a house that is not even finished and I have to pay for bad advisers, ready to do anything to obtain insurance contracts.
Dear consumer, I give you the alert, flee this insurance "&amp;"is a lure.
Proof :
""We inform you that we cannot intervene for the management of your damage.
Indeed, as your general conditions specify, the building under construction, as soon as it is built by building professionals, and closed and covered, is gua"&amp;"ranteed within the framework of the following events:
• Civil liability owner of the building,
• fire and similar events,
• Water and frost damage,
• Storm, hail, snow,
• attacks or acts of terrorism,
• Natural or technological disasters.
The other"&amp;" guarantees, including the flight guarantee and real estate deterioration following theft or attempted flight, are acquired on the date of entry into the premises. The latter is set by your special conditions on September 1, 2020.
The claim being prior t"&amp;"o this date, the damage you have suffered are therefore not guaranteed.
We thank you for your understanding.
")</f>
        <v>It all starts with a sunny day when I will follow the progress of the work that took place during the week.
Arrived on site I see that the sky is covered and becomes cloudy.
I approach the bay window and there I see that it is ajar. Farmed up the amount and supervision of the bay window were forced! Someone returned to my house after a flawless determination. I only go around in my head, what could they fly?
The house is empty and under construction, the screed has just dried.
What do I see?, Two other bay windows and a upstairs window were also forced!
I keep my cold, nothing special was stolen in this empty house apart from two stains upstairs. Why so much relentlessness for two stains?
Immediately, I move away from the house observes an overview of it, the sky is covered, the rain falls, I call our project manager to inform him.
Also amazed, he asks me in a fairly worried but courteous tone to check immediately if the electrical panel is still present.
I run to the technical room, phew! Everything is in place. Only a bay window that will have to be changed completely and two others with rooms to change. After the arrival of the gendarmes who move quickly to see the facts and raise gloved hands footprints. I will file a complaint in pouring rain and start to set up the file that Sogessur insurance asked me to establish. A real investigation begins, outside the flood falls in our village. I attach to the expertise file, photographs, house plan, the state of losses of damaged and / or stolen objects, quotes and supporting documents for repairs to be started, 72 hours before the arrival of the expert an amount of more than 10,600 euros.
During the visit of the expert Le Temps, the file scanned 72 hours before could not reach him but he begins to work despite this and makes us a real interrogation:
Question: "Sir, madam, do you live in the accommodation?"
Answer: "No sir, he is under construction without water or electricity."
Question: "Is it out of air and out of water?"
Answer: "Yes sir"
Directive: "Show me all the degradations noted for this attempted theft by break-in".
In the company of the prime contractor and my wife, we go around the house, the expert takes the photos of all the degradations and the equipment to change.
After 1:30 am, he greets us, I accompany him and the expert in home insurance, mandated by Sogessur leaves behind the wheel of his car, in the neighboring big city in order to write his report to Sogessur.
Outside the blackened sky.
A few days later, I receive an email, explaining myself that nothing, no nothing will be taken care of by Sogessur insurance. This kind of disaster is not supported by Sogessur insurance because I do not live in the premises. I specify again that the home is under construction without water or electricity.
Outside there is a rain of a lifetime in a few hours.
Quickly, I call SOGESSUR insurance to protect myself, if the brigands come back, I will not be able to leave € 10,600 from the magician's hat of one of my three children.
The wait on the phone seems endless to me. That's it, a charming lady answers me.
After exchanging by phone and in order to cover myself for a possible other claim to come, this one explains to me that the insurance of the general company, sogessur there is neither option nor package for this kind of claim . That is to say, as long as the owner does not live on site, in this accommodation under construction, he can be degraded, destroy his house without being compensated everything will be his wallet.
It was my duty as a husband and father to take this kind of home insurance.
When I had asked my advisor to the General Societe, she had told me verbally that everything was taken care of by omitting to tell me, only, from the date of entry into the premises.
Knowing that the prime contractor, having his ten -year guarantee like that of the craftsmen, not being obliged to take home insurance for my construction and thinking that I was insured at Sogessur, I did not subscribe to Home insurance against break -in flight.
Today I am obliged to contract home insurance with a competitor of the general company to be covered until the end of the work since Sogessur is unable to offer this insurance coverage.
I just lost 10,600 euros in a few times on a new construction project.
Attention dear consumer who, like me, were forced to subscribe to the SOGESSUR home insurance with your mortgage to the general company!
If you are degrading your home before living there, you will not be reimbursed and lose your child's dream from new construction.
Today, I am indebted for a house that is not even finished and I have to pay for bad advisers, ready to do anything to obtain insurance contracts.
Dear consumer, I give you the alert, flee this insurance is a lure.
Proof :
"We inform you that we cannot intervene for the management of your damage.
Indeed, as your general conditions specify, the building under construction, as soon as it is built by building professionals, and closed and covered, is guaranteed within the framework of the following events:
• Civil liability owner of the building,
• fire and similar events,
• Water and frost damage,
• Storm, hail, snow,
• attacks or acts of terrorism,
• Natural or technological disasters.
The other guarantees, including the flight guarantee and real estate deterioration following theft or attempted flight, are acquired on the date of entry into the premises. The latter is set by your special conditions on September 1, 2020.
The claim being prior to this date, the damage you have suffered are therefore not guaranteed.
We thank you for your understanding.
</v>
      </c>
    </row>
    <row r="557" ht="15.75" customHeight="1">
      <c r="A557" s="3">
        <v>1.0</v>
      </c>
      <c r="B557" s="3" t="s">
        <v>1649</v>
      </c>
      <c r="C557" s="3" t="s">
        <v>1650</v>
      </c>
      <c r="D557" s="3" t="s">
        <v>81</v>
      </c>
      <c r="E557" s="3" t="s">
        <v>14</v>
      </c>
      <c r="F557" s="3" t="s">
        <v>15</v>
      </c>
      <c r="G557" s="3" t="s">
        <v>1651</v>
      </c>
      <c r="H557" s="3" t="s">
        <v>240</v>
      </c>
      <c r="I557" s="3" t="str">
        <f>IFERROR(__xludf.DUMMYFUNCTION("GOOGLETRANSLATE(C557,""fr"",""en"")"),"Customer for 40 years of the Macif I was terminated for payment delay, it is not easy to reassure myself at my age despite 50%of bonuses the double prices when you want to take me again what is not the case, the Grise card being in the name of my husband "&amp;"deceased 5 years ago, lamentable more customer service waiting for payment of D.Eaux claims for 3 years of who has fun? Classes Files Failure")</f>
        <v>Customer for 40 years of the Macif I was terminated for payment delay, it is not easy to reassure myself at my age despite 50%of bonuses the double prices when you want to take me again what is not the case, the Grise card being in the name of my husband deceased 5 years ago, lamentable more customer service waiting for payment of D.Eaux claims for 3 years of who has fun? Classes Files Failure</v>
      </c>
    </row>
    <row r="558" ht="15.75" customHeight="1">
      <c r="A558" s="3">
        <v>4.0</v>
      </c>
      <c r="B558" s="3" t="s">
        <v>1652</v>
      </c>
      <c r="C558" s="3" t="s">
        <v>1653</v>
      </c>
      <c r="D558" s="3" t="s">
        <v>42</v>
      </c>
      <c r="E558" s="3" t="s">
        <v>14</v>
      </c>
      <c r="F558" s="3" t="s">
        <v>15</v>
      </c>
      <c r="G558" s="3" t="s">
        <v>1654</v>
      </c>
      <c r="H558" s="3" t="s">
        <v>506</v>
      </c>
      <c r="I558" s="3" t="str">
        <f>IFERROR(__xludf.DUMMYFUNCTION("GOOGLETRANSLATE(C558,""fr"",""en"")"),"Being a young driver the prices are very advantageous, I am waiting to receive the quote so to study it before confirming my commitment! But it's on the right track")</f>
        <v>Being a young driver the prices are very advantageous, I am waiting to receive the quote so to study it before confirming my commitment! But it's on the right track</v>
      </c>
    </row>
    <row r="559" ht="15.75" customHeight="1">
      <c r="A559" s="3">
        <v>1.0</v>
      </c>
      <c r="B559" s="3" t="s">
        <v>1655</v>
      </c>
      <c r="C559" s="3" t="s">
        <v>1656</v>
      </c>
      <c r="D559" s="3" t="s">
        <v>704</v>
      </c>
      <c r="E559" s="3" t="s">
        <v>27</v>
      </c>
      <c r="F559" s="3" t="s">
        <v>15</v>
      </c>
      <c r="G559" s="3" t="s">
        <v>525</v>
      </c>
      <c r="H559" s="3" t="s">
        <v>60</v>
      </c>
      <c r="I559" s="3" t="str">
        <f>IFERROR(__xludf.DUMMYFUNCTION("GOOGLETRANSLATE(C559,""fr"",""en"")"),"If there was the possibility of negative notes, I will put them without hesitation. My repurchase request took several weeks before arriving on my bank account when I reported that I need this emergency money.")</f>
        <v>If there was the possibility of negative notes, I will put them without hesitation. My repurchase request took several weeks before arriving on my bank account when I reported that I need this emergency money.</v>
      </c>
    </row>
    <row r="560" ht="15.75" customHeight="1">
      <c r="A560" s="3">
        <v>5.0</v>
      </c>
      <c r="B560" s="3" t="s">
        <v>1657</v>
      </c>
      <c r="C560" s="3" t="s">
        <v>1658</v>
      </c>
      <c r="D560" s="3" t="s">
        <v>42</v>
      </c>
      <c r="E560" s="3" t="s">
        <v>14</v>
      </c>
      <c r="F560" s="3" t="s">
        <v>15</v>
      </c>
      <c r="G560" s="3" t="s">
        <v>1659</v>
      </c>
      <c r="H560" s="3" t="s">
        <v>39</v>
      </c>
      <c r="I560" s="3" t="str">
        <f>IFERROR(__xludf.DUMMYFUNCTION("GOOGLETRANSLATE(C560,""fr"",""en"")"),"Everything is fine for me I find that the price is a bit high I hope that in the future I would need to be reduced because I am already a customer at Direct Insurance")</f>
        <v>Everything is fine for me I find that the price is a bit high I hope that in the future I would need to be reduced because I am already a customer at Direct Insurance</v>
      </c>
    </row>
    <row r="561" ht="15.75" customHeight="1">
      <c r="A561" s="3">
        <v>2.0</v>
      </c>
      <c r="B561" s="3" t="s">
        <v>1660</v>
      </c>
      <c r="C561" s="3" t="s">
        <v>1661</v>
      </c>
      <c r="D561" s="3" t="s">
        <v>716</v>
      </c>
      <c r="E561" s="3" t="s">
        <v>98</v>
      </c>
      <c r="F561" s="3" t="s">
        <v>15</v>
      </c>
      <c r="G561" s="3" t="s">
        <v>1662</v>
      </c>
      <c r="H561" s="3" t="s">
        <v>119</v>
      </c>
      <c r="I561" s="3" t="str">
        <f>IFERROR(__xludf.DUMMYFUNCTION("GOOGLETRANSLATE(C561,""fr"",""en"")"),"I do not know how it gives with the other mutuals but this one is horrible.
No file follow -up; Several months to write to you every week refund
You confuse current invoices all the time with past invoices.
In all my customer monitoring experience,"&amp;" I think you are the worst.
That said, I don't even know how it goes elsewhere. That's in fact you are in the top 10 worse .....")</f>
        <v>I do not know how it gives with the other mutuals but this one is horrible.
No file follow -up; Several months to write to you every week refund
You confuse current invoices all the time with past invoices.
In all my customer monitoring experience, I think you are the worst.
That said, I don't even know how it goes elsewhere. That's in fact you are in the top 10 worse .....</v>
      </c>
    </row>
    <row r="562" ht="15.75" customHeight="1">
      <c r="A562" s="3">
        <v>4.0</v>
      </c>
      <c r="B562" s="3" t="s">
        <v>1663</v>
      </c>
      <c r="C562" s="3" t="s">
        <v>1664</v>
      </c>
      <c r="D562" s="3" t="s">
        <v>42</v>
      </c>
      <c r="E562" s="3" t="s">
        <v>14</v>
      </c>
      <c r="F562" s="3" t="s">
        <v>15</v>
      </c>
      <c r="G562" s="3" t="s">
        <v>1665</v>
      </c>
      <c r="H562" s="3" t="s">
        <v>506</v>
      </c>
      <c r="I562" s="3" t="str">
        <f>IFERROR(__xludf.DUMMYFUNCTION("GOOGLETRANSLATE(C562,""fr"",""en"")"),"Hello, I am satisfied with the service, it's fast and the prices seem very correct. I recommend this service to other people, do not hesitate")</f>
        <v>Hello, I am satisfied with the service, it's fast and the prices seem very correct. I recommend this service to other people, do not hesitate</v>
      </c>
    </row>
    <row r="563" ht="15.75" customHeight="1">
      <c r="A563" s="3">
        <v>4.0</v>
      </c>
      <c r="B563" s="3" t="s">
        <v>1666</v>
      </c>
      <c r="C563" s="3" t="s">
        <v>1667</v>
      </c>
      <c r="D563" s="3" t="s">
        <v>140</v>
      </c>
      <c r="E563" s="3" t="s">
        <v>98</v>
      </c>
      <c r="F563" s="3" t="s">
        <v>15</v>
      </c>
      <c r="G563" s="3" t="s">
        <v>1668</v>
      </c>
      <c r="H563" s="3" t="s">
        <v>660</v>
      </c>
      <c r="I563" s="3" t="str">
        <f>IFERROR(__xludf.DUMMYFUNCTION("GOOGLETRANSLATE(C563,""fr"",""en"")"),"Clear explanations .................................................... .................................................. ....................................")</f>
        <v>Clear explanations .................................................... .................................................. ....................................</v>
      </c>
    </row>
    <row r="564" ht="15.75" customHeight="1">
      <c r="A564" s="3">
        <v>3.0</v>
      </c>
      <c r="B564" s="3" t="s">
        <v>1669</v>
      </c>
      <c r="C564" s="3" t="s">
        <v>1670</v>
      </c>
      <c r="D564" s="3" t="s">
        <v>42</v>
      </c>
      <c r="E564" s="3" t="s">
        <v>14</v>
      </c>
      <c r="F564" s="3" t="s">
        <v>15</v>
      </c>
      <c r="G564" s="3" t="s">
        <v>1665</v>
      </c>
      <c r="H564" s="3" t="s">
        <v>506</v>
      </c>
      <c r="I564" s="3" t="str">
        <f>IFERROR(__xludf.DUMMYFUNCTION("GOOGLETRANSLATE(C564,""fr"",""en"")"),"The cheapest insurance I have found, the service looks pretty good, easy to use and complete website.
The call service is also good")</f>
        <v>The cheapest insurance I have found, the service looks pretty good, easy to use and complete website.
The call service is also good</v>
      </c>
    </row>
    <row r="565" ht="15.75" customHeight="1">
      <c r="A565" s="3">
        <v>2.0</v>
      </c>
      <c r="B565" s="3" t="s">
        <v>1671</v>
      </c>
      <c r="C565" s="3" t="s">
        <v>1672</v>
      </c>
      <c r="D565" s="3" t="s">
        <v>97</v>
      </c>
      <c r="E565" s="3" t="s">
        <v>98</v>
      </c>
      <c r="F565" s="3" t="s">
        <v>15</v>
      </c>
      <c r="G565" s="3" t="s">
        <v>1673</v>
      </c>
      <c r="H565" s="3" t="s">
        <v>86</v>
      </c>
      <c r="I565" s="3" t="str">
        <f>IFERROR(__xludf.DUMMYFUNCTION("GOOGLETRANSLATE(C565,""fr"",""en"")"),"I sent several letters by emails and by post with acknowledgment of receipt to cancel my contract with them. I sent 2 letters to the brokerage cabinet accepted the request and why not you.
The new insurance to send 2 mails, still refused
Before subscrib"&amp;"ing to Néoliane inquire, I advise you to avoid brokerage firms. I will see with the help of my grandson to take a tour on social networks to say what I think of you. I will reserve you surprises, am a patient at risk so I will heal myself a little more of"&amp;"ten")</f>
        <v>I sent several letters by emails and by post with acknowledgment of receipt to cancel my contract with them. I sent 2 letters to the brokerage cabinet accepted the request and why not you.
The new insurance to send 2 mails, still refused
Before subscribing to Néoliane inquire, I advise you to avoid brokerage firms. I will see with the help of my grandson to take a tour on social networks to say what I think of you. I will reserve you surprises, am a patient at risk so I will heal myself a little more often</v>
      </c>
    </row>
    <row r="566" ht="15.75" customHeight="1">
      <c r="A566" s="3">
        <v>3.0</v>
      </c>
      <c r="B566" s="3" t="s">
        <v>1674</v>
      </c>
      <c r="C566" s="3" t="s">
        <v>1675</v>
      </c>
      <c r="D566" s="3" t="s">
        <v>89</v>
      </c>
      <c r="E566" s="3" t="s">
        <v>14</v>
      </c>
      <c r="F566" s="3" t="s">
        <v>15</v>
      </c>
      <c r="G566" s="3" t="s">
        <v>696</v>
      </c>
      <c r="H566" s="3" t="s">
        <v>660</v>
      </c>
      <c r="I566" s="3" t="str">
        <f>IFERROR(__xludf.DUMMYFUNCTION("GOOGLETRANSLATE(C566,""fr"",""en"")"),"Hello, I contacted the Maif to find out after how many years the increase coefficient applies during a first responsible disaster? Maif's response is 4 years with a bonus at 0.50. Is it correct?")</f>
        <v>Hello, I contacted the Maif to find out after how many years the increase coefficient applies during a first responsible disaster? Maif's response is 4 years with a bonus at 0.50. Is it correct?</v>
      </c>
    </row>
    <row r="567" ht="15.75" customHeight="1">
      <c r="A567" s="3">
        <v>2.0</v>
      </c>
      <c r="B567" s="3" t="s">
        <v>1676</v>
      </c>
      <c r="C567" s="3" t="s">
        <v>1677</v>
      </c>
      <c r="D567" s="3" t="s">
        <v>89</v>
      </c>
      <c r="E567" s="3" t="s">
        <v>33</v>
      </c>
      <c r="F567" s="3" t="s">
        <v>15</v>
      </c>
      <c r="G567" s="3" t="s">
        <v>452</v>
      </c>
      <c r="H567" s="3" t="s">
        <v>56</v>
      </c>
      <c r="I567" s="3" t="str">
        <f>IFERROR(__xludf.DUMMYFUNCTION("GOOGLETRANSLATE(C567,""fr"",""en"")"),"very bad handling of the file.")</f>
        <v>very bad handling of the file.</v>
      </c>
    </row>
    <row r="568" ht="15.75" customHeight="1">
      <c r="A568" s="3">
        <v>4.0</v>
      </c>
      <c r="B568" s="3" t="s">
        <v>1678</v>
      </c>
      <c r="C568" s="3" t="s">
        <v>1679</v>
      </c>
      <c r="D568" s="3" t="s">
        <v>42</v>
      </c>
      <c r="E568" s="3" t="s">
        <v>14</v>
      </c>
      <c r="F568" s="3" t="s">
        <v>15</v>
      </c>
      <c r="G568" s="3" t="s">
        <v>1680</v>
      </c>
      <c r="H568" s="3" t="s">
        <v>39</v>
      </c>
      <c r="I568" s="3" t="str">
        <f>IFERROR(__xludf.DUMMYFUNCTION("GOOGLETRANSLATE(C568,""fr"",""en"")"),"Fast but could be clearer for options. Very good price, to see if customer service is also reactive in the future if necessary.")</f>
        <v>Fast but could be clearer for options. Very good price, to see if customer service is also reactive in the future if necessary.</v>
      </c>
    </row>
    <row r="569" ht="15.75" customHeight="1">
      <c r="A569" s="3">
        <v>1.0</v>
      </c>
      <c r="B569" s="3" t="s">
        <v>1681</v>
      </c>
      <c r="C569" s="3" t="s">
        <v>1682</v>
      </c>
      <c r="D569" s="3" t="s">
        <v>13</v>
      </c>
      <c r="E569" s="3" t="s">
        <v>14</v>
      </c>
      <c r="F569" s="3" t="s">
        <v>15</v>
      </c>
      <c r="G569" s="3" t="s">
        <v>22</v>
      </c>
      <c r="H569" s="3" t="s">
        <v>23</v>
      </c>
      <c r="I569" s="3" t="str">
        <f>IFERROR(__xludf.DUMMYFUNCTION("GOOGLETRANSLATE(C569,""fr"",""en"")"),"To avoid ! Ensuring at home for 3 years I have never had everything to a disaster non -responsible there is 2 months and the horror
I bring my vehicle to the bodybuilder gives a check in the meantime, he tells me 48 hours after receiving the invoice I wi"&amp;"ll be reimbursed, until today it is 1 month and 3 weeks that they have the invoice every day on call
""The answer is"" file to the study ""suddenly the bodybuilder wants to wait any longer and cash in my check for 1100th
")</f>
        <v>To avoid ! Ensuring at home for 3 years I have never had everything to a disaster non -responsible there is 2 months and the horror
I bring my vehicle to the bodybuilder gives a check in the meantime, he tells me 48 hours after receiving the invoice I will be reimbursed, until today it is 1 month and 3 weeks that they have the invoice every day on call
"The answer is" file to the study "suddenly the bodybuilder wants to wait any longer and cash in my check for 1100th
</v>
      </c>
    </row>
    <row r="570" ht="15.75" customHeight="1">
      <c r="A570" s="3">
        <v>1.0</v>
      </c>
      <c r="B570" s="3" t="s">
        <v>1683</v>
      </c>
      <c r="C570" s="3" t="s">
        <v>1684</v>
      </c>
      <c r="D570" s="3" t="s">
        <v>476</v>
      </c>
      <c r="E570" s="3" t="s">
        <v>33</v>
      </c>
      <c r="F570" s="3" t="s">
        <v>15</v>
      </c>
      <c r="G570" s="3" t="s">
        <v>104</v>
      </c>
      <c r="H570" s="3" t="s">
        <v>105</v>
      </c>
      <c r="I570" s="3" t="str">
        <f>IFERROR(__xludf.DUMMYFUNCTION("GOOGLETRANSLATE(C570,""fr"",""en"")"),"Victim of 1 water degat I found myself after AcM? Domomus? ARETECH?
F3G? To be unveiled for 1 payment of work poorly done to pay 1 franchise! 1 procedure will be engaged
I terminated my ACM insurance. Flery")</f>
        <v>Victim of 1 water degat I found myself after AcM? Domomus? ARETECH?
F3G? To be unveiled for 1 payment of work poorly done to pay 1 franchise! 1 procedure will be engaged
I terminated my ACM insurance. Flery</v>
      </c>
    </row>
    <row r="571" ht="15.75" customHeight="1">
      <c r="A571" s="3">
        <v>1.0</v>
      </c>
      <c r="B571" s="3" t="s">
        <v>1685</v>
      </c>
      <c r="C571" s="3" t="s">
        <v>1686</v>
      </c>
      <c r="D571" s="3" t="s">
        <v>81</v>
      </c>
      <c r="E571" s="3" t="s">
        <v>194</v>
      </c>
      <c r="F571" s="3" t="s">
        <v>15</v>
      </c>
      <c r="G571" s="3" t="s">
        <v>1687</v>
      </c>
      <c r="H571" s="3" t="s">
        <v>304</v>
      </c>
      <c r="I571" s="3" t="str">
        <f>IFERROR(__xludf.DUMMYFUNCTION("GOOGLETRANSLATE(C571,""fr"",""en"")"),"My son wears glasses, a small accident at Lécole. He breaks his glasses.
We hold a housing contract in which the civil liability and accident guaranteed contract is included.
We are asked for a medical certificate that we transmit !! Just because he bro"&amp;"ke his glasses.
Then I am asked to transmit TT it has the security and mutual because the Macif completes the restful dependent.
Of course the mutual does not take care of normal since it is not a year that it has them.
And I am told to see with my sch"&amp;"ool insurance since it is an accident.
And I am called me saying that if the Mut and the Socius does nothing in charge Ben them more.!
So my question what is the use of the accident guarantee (ah if it is used for disability) ok so my son would have had"&amp;" to be disabled to be able to be Ermboursé of 365 euros!
Thank you the Macif but as the manager said you don't pay much as a subscription !!!!!!")</f>
        <v>My son wears glasses, a small accident at Lécole. He breaks his glasses.
We hold a housing contract in which the civil liability and accident guaranteed contract is included.
We are asked for a medical certificate that we transmit !! Just because he broke his glasses.
Then I am asked to transmit TT it has the security and mutual because the Macif completes the restful dependent.
Of course the mutual does not take care of normal since it is not a year that it has them.
And I am told to see with my school insurance since it is an accident.
And I am called me saying that if the Mut and the Socius does nothing in charge Ben them more.!
So my question what is the use of the accident guarantee (ah if it is used for disability) ok so my son would have had to be disabled to be able to be Ermboursé of 365 euros!
Thank you the Macif but as the manager said you don't pay much as a subscription !!!!!!</v>
      </c>
    </row>
    <row r="572" ht="15.75" customHeight="1">
      <c r="A572" s="3">
        <v>2.0</v>
      </c>
      <c r="B572" s="3" t="s">
        <v>1688</v>
      </c>
      <c r="C572" s="3" t="s">
        <v>1689</v>
      </c>
      <c r="D572" s="3" t="s">
        <v>246</v>
      </c>
      <c r="E572" s="3" t="s">
        <v>14</v>
      </c>
      <c r="F572" s="3" t="s">
        <v>15</v>
      </c>
      <c r="G572" s="3" t="s">
        <v>1690</v>
      </c>
      <c r="H572" s="3" t="s">
        <v>216</v>
      </c>
      <c r="I572" s="3" t="str">
        <f>IFERROR(__xludf.DUMMYFUNCTION("GOOGLETRANSLATE(C572,""fr"",""en"")"),"Total incompetence. No consistency between services. My car has been immobilized for a week, I have been working in an industrial zone but they are unable to find a solution to me and I have to call managers every day, GARAE and AXA agency to have informa"&amp;"tion. Fed up")</f>
        <v>Total incompetence. No consistency between services. My car has been immobilized for a week, I have been working in an industrial zone but they are unable to find a solution to me and I have to call managers every day, GARAE and AXA agency to have information. Fed up</v>
      </c>
    </row>
    <row r="573" ht="15.75" customHeight="1">
      <c r="A573" s="3">
        <v>5.0</v>
      </c>
      <c r="B573" s="3" t="s">
        <v>1691</v>
      </c>
      <c r="C573" s="3" t="s">
        <v>1692</v>
      </c>
      <c r="D573" s="3" t="s">
        <v>42</v>
      </c>
      <c r="E573" s="3" t="s">
        <v>14</v>
      </c>
      <c r="F573" s="3" t="s">
        <v>15</v>
      </c>
      <c r="G573" s="3" t="s">
        <v>944</v>
      </c>
      <c r="H573" s="3" t="s">
        <v>86</v>
      </c>
      <c r="I573" s="3" t="str">
        <f>IFERROR(__xludf.DUMMYFUNCTION("GOOGLETRANSLATE(C573,""fr"",""en"")"),"Fast and good value for money, after comparing several insurances, Direct Insurance is largely the best placed, remains to see its efficiency and its responsiveness in the event of a disaster")</f>
        <v>Fast and good value for money, after comparing several insurances, Direct Insurance is largely the best placed, remains to see its efficiency and its responsiveness in the event of a disaster</v>
      </c>
    </row>
    <row r="574" ht="15.75" customHeight="1">
      <c r="A574" s="3">
        <v>5.0</v>
      </c>
      <c r="B574" s="3" t="s">
        <v>1693</v>
      </c>
      <c r="C574" s="3" t="s">
        <v>1694</v>
      </c>
      <c r="D574" s="3" t="s">
        <v>384</v>
      </c>
      <c r="E574" s="3" t="s">
        <v>21</v>
      </c>
      <c r="F574" s="3" t="s">
        <v>15</v>
      </c>
      <c r="G574" s="3" t="s">
        <v>483</v>
      </c>
      <c r="H574" s="3" t="s">
        <v>23</v>
      </c>
      <c r="I574" s="3" t="str">
        <f>IFERROR(__xludf.DUMMYFUNCTION("GOOGLETRANSLATE(C574,""fr"",""en"")"),"I am satisfied with the price of the speed of information services that I had at the phones as well as the information I had on my contract the fluidity of the website")</f>
        <v>I am satisfied with the price of the speed of information services that I had at the phones as well as the information I had on my contract the fluidity of the website</v>
      </c>
    </row>
    <row r="575" ht="15.75" customHeight="1">
      <c r="A575" s="3">
        <v>1.0</v>
      </c>
      <c r="B575" s="3" t="s">
        <v>1695</v>
      </c>
      <c r="C575" s="3" t="s">
        <v>1696</v>
      </c>
      <c r="D575" s="3" t="s">
        <v>13</v>
      </c>
      <c r="E575" s="3" t="s">
        <v>14</v>
      </c>
      <c r="F575" s="3" t="s">
        <v>15</v>
      </c>
      <c r="G575" s="3" t="s">
        <v>483</v>
      </c>
      <c r="H575" s="3" t="s">
        <v>23</v>
      </c>
      <c r="I575" s="3" t="str">
        <f>IFERROR(__xludf.DUMMYFUNCTION("GOOGLETRANSLATE(C575,""fr"",""en"")"),"Worse world insurance.
Insurance that terminates your contract without valid reason.
Worse standard telephone, it is impossible to have a drinking telephone standard.
No officials present and reachable today.
Condescending interlocutor who does not "&amp;"understand anything when talking to him, the intellectual quotient is not very high in this society.
We are harassing when it is to sell us their insurance but to ask for explanations no one is available.
Take care. Go to AXA it's the best.")</f>
        <v>Worse world insurance.
Insurance that terminates your contract without valid reason.
Worse standard telephone, it is impossible to have a drinking telephone standard.
No officials present and reachable today.
Condescending interlocutor who does not understand anything when talking to him, the intellectual quotient is not very high in this society.
We are harassing when it is to sell us their insurance but to ask for explanations no one is available.
Take care. Go to AXA it's the best.</v>
      </c>
    </row>
    <row r="576" ht="15.75" customHeight="1">
      <c r="A576" s="3">
        <v>3.0</v>
      </c>
      <c r="B576" s="3" t="s">
        <v>1697</v>
      </c>
      <c r="C576" s="3" t="s">
        <v>1698</v>
      </c>
      <c r="D576" s="3" t="s">
        <v>47</v>
      </c>
      <c r="E576" s="3" t="s">
        <v>33</v>
      </c>
      <c r="F576" s="3" t="s">
        <v>15</v>
      </c>
      <c r="G576" s="3" t="s">
        <v>1699</v>
      </c>
      <c r="H576" s="3" t="s">
        <v>360</v>
      </c>
      <c r="I576" s="3" t="str">
        <f>IFERROR(__xludf.DUMMYFUNCTION("GOOGLETRANSLATE(C576,""fr"",""en"")"),"Very zero the Pacifica insurance. why they send the expert and go against him and classify the file
poor assurance
I had a lot of water
The manager quickly claims the files c not her agency")</f>
        <v>Very zero the Pacifica insurance. why they send the expert and go against him and classify the file
poor assurance
I had a lot of water
The manager quickly claims the files c not her agency</v>
      </c>
    </row>
    <row r="577" ht="15.75" customHeight="1">
      <c r="A577" s="3">
        <v>5.0</v>
      </c>
      <c r="B577" s="3" t="s">
        <v>1700</v>
      </c>
      <c r="C577" s="3" t="s">
        <v>1701</v>
      </c>
      <c r="D577" s="3" t="s">
        <v>42</v>
      </c>
      <c r="E577" s="3" t="s">
        <v>14</v>
      </c>
      <c r="F577" s="3" t="s">
        <v>15</v>
      </c>
      <c r="G577" s="3" t="s">
        <v>1702</v>
      </c>
      <c r="H577" s="3" t="s">
        <v>75</v>
      </c>
      <c r="I577" s="3" t="str">
        <f>IFERROR(__xludf.DUMMYFUNCTION("GOOGLETRANSLATE(C577,""fr"",""en"")"),"I am satisfied with your service and the prices made. The site is functional and easy to use. It's simple enough for someone like me who does not necessarily master the computer tool")</f>
        <v>I am satisfied with your service and the prices made. The site is functional and easy to use. It's simple enough for someone like me who does not necessarily master the computer tool</v>
      </c>
    </row>
    <row r="578" ht="15.75" customHeight="1">
      <c r="A578" s="3">
        <v>2.0</v>
      </c>
      <c r="B578" s="3" t="s">
        <v>1703</v>
      </c>
      <c r="C578" s="3" t="s">
        <v>1704</v>
      </c>
      <c r="D578" s="3" t="s">
        <v>78</v>
      </c>
      <c r="E578" s="3" t="s">
        <v>14</v>
      </c>
      <c r="F578" s="3" t="s">
        <v>15</v>
      </c>
      <c r="G578" s="3" t="s">
        <v>1705</v>
      </c>
      <c r="H578" s="3" t="s">
        <v>248</v>
      </c>
      <c r="I578" s="3" t="str">
        <f>IFERROR(__xludf.DUMMYFUNCTION("GOOGLETRANSLATE(C578,""fr"",""en"")"),"A little expensive, especially for an old customer.")</f>
        <v>A little expensive, especially for an old customer.</v>
      </c>
    </row>
    <row r="579" ht="15.75" customHeight="1">
      <c r="A579" s="3">
        <v>3.0</v>
      </c>
      <c r="B579" s="3" t="s">
        <v>1706</v>
      </c>
      <c r="C579" s="3" t="s">
        <v>1707</v>
      </c>
      <c r="D579" s="3" t="s">
        <v>13</v>
      </c>
      <c r="E579" s="3" t="s">
        <v>14</v>
      </c>
      <c r="F579" s="3" t="s">
        <v>15</v>
      </c>
      <c r="G579" s="3" t="s">
        <v>1070</v>
      </c>
      <c r="H579" s="3" t="s">
        <v>165</v>
      </c>
      <c r="I579" s="3" t="str">
        <f>IFERROR(__xludf.DUMMYFUNCTION("GOOGLETRANSLATE(C579,""fr"",""en"")"),"I am satisfied with the price, I expect to see in case of a problem how my insurance manages their promised services. I hope they will be up to it.")</f>
        <v>I am satisfied with the price, I expect to see in case of a problem how my insurance manages their promised services. I hope they will be up to it.</v>
      </c>
    </row>
    <row r="580" ht="15.75" customHeight="1">
      <c r="A580" s="3">
        <v>3.0</v>
      </c>
      <c r="B580" s="3" t="s">
        <v>1708</v>
      </c>
      <c r="C580" s="3" t="s">
        <v>1709</v>
      </c>
      <c r="D580" s="3" t="s">
        <v>78</v>
      </c>
      <c r="E580" s="3" t="s">
        <v>14</v>
      </c>
      <c r="F580" s="3" t="s">
        <v>15</v>
      </c>
      <c r="G580" s="3" t="s">
        <v>1710</v>
      </c>
      <c r="H580" s="3" t="s">
        <v>100</v>
      </c>
      <c r="I580" s="3" t="str">
        <f>IFERROR(__xludf.DUMMYFUNCTION("GOOGLETRANSLATE(C580,""fr"",""en"")"),"You disgust me price level .... it's over. You are not serious.")</f>
        <v>You disgust me price level .... it's over. You are not serious.</v>
      </c>
    </row>
    <row r="581" ht="15.75" customHeight="1">
      <c r="A581" s="3">
        <v>4.0</v>
      </c>
      <c r="B581" s="3" t="s">
        <v>1711</v>
      </c>
      <c r="C581" s="3" t="s">
        <v>1712</v>
      </c>
      <c r="D581" s="3" t="s">
        <v>42</v>
      </c>
      <c r="E581" s="3" t="s">
        <v>14</v>
      </c>
      <c r="F581" s="3" t="s">
        <v>15</v>
      </c>
      <c r="G581" s="3" t="s">
        <v>1713</v>
      </c>
      <c r="H581" s="3" t="s">
        <v>115</v>
      </c>
      <c r="I581" s="3" t="str">
        <f>IFERROR(__xludf.DUMMYFUNCTION("GOOGLETRANSLATE(C581,""fr"",""en"")"),"I am satisfied with the service thank you and it is very much dear that any other insurance I have been paying for several years my insurance and God thank you I never have them to have to serve.")</f>
        <v>I am satisfied with the service thank you and it is very much dear that any other insurance I have been paying for several years my insurance and God thank you I never have them to have to serve.</v>
      </c>
    </row>
    <row r="582" ht="15.75" customHeight="1">
      <c r="A582" s="3">
        <v>1.0</v>
      </c>
      <c r="B582" s="3" t="s">
        <v>1714</v>
      </c>
      <c r="C582" s="3" t="s">
        <v>1715</v>
      </c>
      <c r="D582" s="3" t="s">
        <v>42</v>
      </c>
      <c r="E582" s="3" t="s">
        <v>14</v>
      </c>
      <c r="F582" s="3" t="s">
        <v>15</v>
      </c>
      <c r="G582" s="3" t="s">
        <v>71</v>
      </c>
      <c r="H582" s="3" t="s">
        <v>71</v>
      </c>
      <c r="I582" s="3" t="str">
        <f>IFERROR(__xludf.DUMMYFUNCTION("GOOGLETRANSLATE(C582,""fr"",""en"")"),"A shame this insurance save you quickly accident even not wrong I was returned to me from behind and c who was wrong he does not even defend their client there is nothing to fuck you")</f>
        <v>A shame this insurance save you quickly accident even not wrong I was returned to me from behind and c who was wrong he does not even defend their client there is nothing to fuck you</v>
      </c>
    </row>
    <row r="583" ht="15.75" customHeight="1">
      <c r="A583" s="3">
        <v>2.0</v>
      </c>
      <c r="B583" s="3" t="s">
        <v>1716</v>
      </c>
      <c r="C583" s="3" t="s">
        <v>1717</v>
      </c>
      <c r="D583" s="3" t="s">
        <v>466</v>
      </c>
      <c r="E583" s="3" t="s">
        <v>33</v>
      </c>
      <c r="F583" s="3" t="s">
        <v>15</v>
      </c>
      <c r="G583" s="3" t="s">
        <v>805</v>
      </c>
      <c r="H583" s="3" t="s">
        <v>86</v>
      </c>
      <c r="I583" s="3" t="str">
        <f>IFERROR(__xludf.DUMMYFUNCTION("GOOGLETRANSLATE(C583,""fr"",""en"")"),"Tented after 35 years (€ 40,000 in contributions) for 3 claims over the last 3 years (€ 3,000 euros in compensation). Where is the mutualist spirit?")</f>
        <v>Tented after 35 years (€ 40,000 in contributions) for 3 claims over the last 3 years (€ 3,000 euros in compensation). Where is the mutualist spirit?</v>
      </c>
    </row>
    <row r="584" ht="15.75" customHeight="1">
      <c r="A584" s="3">
        <v>1.0</v>
      </c>
      <c r="B584" s="3" t="s">
        <v>1718</v>
      </c>
      <c r="C584" s="3" t="s">
        <v>1719</v>
      </c>
      <c r="D584" s="3" t="s">
        <v>214</v>
      </c>
      <c r="E584" s="3" t="s">
        <v>98</v>
      </c>
      <c r="F584" s="3" t="s">
        <v>15</v>
      </c>
      <c r="G584" s="3" t="s">
        <v>1720</v>
      </c>
      <c r="H584" s="3" t="s">
        <v>337</v>
      </c>
      <c r="I584" s="3" t="str">
        <f>IFERROR(__xludf.DUMMYFUNCTION("GOOGLETRANSLATE(C584,""fr"",""en"")"),"It is not at all a harmony. With this group, everything is good to refuse your quotes, a document is still missing blocking the file. I have had several appointments with a Visu advisor, she tells me each time that she has done the necessary and that all "&amp;"will return to normal. However, each time, in the process, I receive letters from the management center still telling me that docs are missing (I specify that I have given them these damn docs several times). It is very frustrating not to be able to be tr"&amp;"eated, suddenly I decided to terminate this mutual. To be fleeing absolutely, I have never seen an organization so little motivated to solve the problems of its members.")</f>
        <v>It is not at all a harmony. With this group, everything is good to refuse your quotes, a document is still missing blocking the file. I have had several appointments with a Visu advisor, she tells me each time that she has done the necessary and that all will return to normal. However, each time, in the process, I receive letters from the management center still telling me that docs are missing (I specify that I have given them these damn docs several times). It is very frustrating not to be able to be treated, suddenly I decided to terminate this mutual. To be fleeing absolutely, I have never seen an organization so little motivated to solve the problems of its members.</v>
      </c>
    </row>
    <row r="585" ht="15.75" customHeight="1">
      <c r="A585" s="3">
        <v>1.0</v>
      </c>
      <c r="B585" s="3" t="s">
        <v>1721</v>
      </c>
      <c r="C585" s="3" t="s">
        <v>1722</v>
      </c>
      <c r="D585" s="3" t="s">
        <v>140</v>
      </c>
      <c r="E585" s="3" t="s">
        <v>98</v>
      </c>
      <c r="F585" s="3" t="s">
        <v>15</v>
      </c>
      <c r="G585" s="3" t="s">
        <v>1723</v>
      </c>
      <c r="H585" s="3" t="s">
        <v>220</v>
      </c>
      <c r="I585" s="3" t="str">
        <f>IFERROR(__xludf.DUMMYFUNCTION("GOOGLETRANSLATE(C585,""fr"",""en"")"),"Very disrespectful customer service. On February 20, a call at 7:30 p.m., I politely answer that I am busy and that I can be joined tomorrow or at the end of the week. Madame then answers me with deep respect ""I can never remind you if not""
")</f>
        <v>Very disrespectful customer service. On February 20, a call at 7:30 p.m., I politely answer that I am busy and that I can be joined tomorrow or at the end of the week. Madame then answers me with deep respect "I can never remind you if not"
</v>
      </c>
    </row>
    <row r="586" ht="15.75" customHeight="1">
      <c r="A586" s="3">
        <v>1.0</v>
      </c>
      <c r="B586" s="3" t="s">
        <v>1724</v>
      </c>
      <c r="C586" s="3" t="s">
        <v>1725</v>
      </c>
      <c r="D586" s="3" t="s">
        <v>42</v>
      </c>
      <c r="E586" s="3" t="s">
        <v>14</v>
      </c>
      <c r="F586" s="3" t="s">
        <v>15</v>
      </c>
      <c r="G586" s="3" t="s">
        <v>1726</v>
      </c>
      <c r="H586" s="3" t="s">
        <v>248</v>
      </c>
      <c r="I586" s="3" t="str">
        <f>IFERROR(__xludf.DUMMYFUNCTION("GOOGLETRANSLATE(C586,""fr"",""en"")"),"Dramatic, my car insurance subscription increased by 8%, while my bonus increased by 4%, that makes no sense. The only reason invoked by the after -sales service is the rise in broken ice in France and the rain. Direct Insurance Do you have financial diff"&amp;"iculties?")</f>
        <v>Dramatic, my car insurance subscription increased by 8%, while my bonus increased by 4%, that makes no sense. The only reason invoked by the after -sales service is the rise in broken ice in France and the rain. Direct Insurance Do you have financial difficulties?</v>
      </c>
    </row>
    <row r="587" ht="15.75" customHeight="1">
      <c r="A587" s="3">
        <v>3.0</v>
      </c>
      <c r="B587" s="3" t="s">
        <v>1727</v>
      </c>
      <c r="C587" s="3" t="s">
        <v>1728</v>
      </c>
      <c r="D587" s="3" t="s">
        <v>42</v>
      </c>
      <c r="E587" s="3" t="s">
        <v>14</v>
      </c>
      <c r="F587" s="3" t="s">
        <v>15</v>
      </c>
      <c r="G587" s="3" t="s">
        <v>1729</v>
      </c>
      <c r="H587" s="3" t="s">
        <v>287</v>
      </c>
      <c r="I587" s="3" t="str">
        <f>IFERROR(__xludf.DUMMYFUNCTION("GOOGLETRANSLATE(C587,""fr"",""en"")"),"Insurance that provides nothing at all. And in addition who takes before ensuring. I don't recommend you at all. I was insured for the house and the car. It took once to realize that we were poorly assured.")</f>
        <v>Insurance that provides nothing at all. And in addition who takes before ensuring. I don't recommend you at all. I was insured for the house and the car. It took once to realize that we were poorly assured.</v>
      </c>
    </row>
    <row r="588" ht="15.75" customHeight="1">
      <c r="A588" s="3">
        <v>1.0</v>
      </c>
      <c r="B588" s="3" t="s">
        <v>1730</v>
      </c>
      <c r="C588" s="3" t="s">
        <v>1731</v>
      </c>
      <c r="D588" s="3" t="s">
        <v>251</v>
      </c>
      <c r="E588" s="3" t="s">
        <v>27</v>
      </c>
      <c r="F588" s="3" t="s">
        <v>15</v>
      </c>
      <c r="G588" s="3" t="s">
        <v>572</v>
      </c>
      <c r="H588" s="3" t="s">
        <v>23</v>
      </c>
      <c r="I588" s="3" t="str">
        <f>IFERROR(__xludf.DUMMYFUNCTION("GOOGLETRANSLATE(C588,""fr"",""en"")"),"My husband who died on March 8 had life insurance from which I am the sole heiress and they do not want to pay it to me despite the documents provided. They lead me by boat")</f>
        <v>My husband who died on March 8 had life insurance from which I am the sole heiress and they do not want to pay it to me despite the documents provided. They lead me by boat</v>
      </c>
    </row>
    <row r="589" ht="15.75" customHeight="1">
      <c r="A589" s="3">
        <v>2.0</v>
      </c>
      <c r="B589" s="3" t="s">
        <v>1732</v>
      </c>
      <c r="C589" s="3" t="s">
        <v>1733</v>
      </c>
      <c r="D589" s="3" t="s">
        <v>81</v>
      </c>
      <c r="E589" s="3" t="s">
        <v>14</v>
      </c>
      <c r="F589" s="3" t="s">
        <v>15</v>
      </c>
      <c r="G589" s="3" t="s">
        <v>1734</v>
      </c>
      <c r="H589" s="3" t="s">
        <v>91</v>
      </c>
      <c r="I589" s="3" t="str">
        <f>IFERROR(__xludf.DUMMYFUNCTION("GOOGLETRANSLATE(C589,""fr"",""en"")"),"The management and monitoring of claims is nightmarish. Everything is done so that you are compensated at least. My vehicle was struck by a bus in front of my home. The 2 left rims were damaged and the 2 tires. After the repair I noticed a noise of bearin"&amp;"gs. I asked the Macif to change the 2 left bearings. The expert saw my vehicle a 1st time and noticed the noise. He sent me to Audi who also noticed the noise. The expert reviewed my vehicle during a 3rd appointment with the Audi technician. In the end he"&amp;" proposes to change only a bearing and concludes that I do not provide proof that the noise is linked to the disaster. In the end I lost 3 chewed on my working time and I still have to ask for a counter-expertise which can in the end be at my expense. It "&amp;"is simply scandalous. All this for a disaster for which I am not responsible. For me the Macif is definitely finished.")</f>
        <v>The management and monitoring of claims is nightmarish. Everything is done so that you are compensated at least. My vehicle was struck by a bus in front of my home. The 2 left rims were damaged and the 2 tires. After the repair I noticed a noise of bearings. I asked the Macif to change the 2 left bearings. The expert saw my vehicle a 1st time and noticed the noise. He sent me to Audi who also noticed the noise. The expert reviewed my vehicle during a 3rd appointment with the Audi technician. In the end he proposes to change only a bearing and concludes that I do not provide proof that the noise is linked to the disaster. In the end I lost 3 chewed on my working time and I still have to ask for a counter-expertise which can in the end be at my expense. It is simply scandalous. All this for a disaster for which I am not responsible. For me the Macif is definitely finished.</v>
      </c>
    </row>
    <row r="590" ht="15.75" customHeight="1">
      <c r="A590" s="3">
        <v>1.0</v>
      </c>
      <c r="B590" s="3" t="s">
        <v>1735</v>
      </c>
      <c r="C590" s="3" t="s">
        <v>1736</v>
      </c>
      <c r="D590" s="3" t="s">
        <v>32</v>
      </c>
      <c r="E590" s="3" t="s">
        <v>14</v>
      </c>
      <c r="F590" s="3" t="s">
        <v>15</v>
      </c>
      <c r="G590" s="3" t="s">
        <v>1737</v>
      </c>
      <c r="H590" s="3" t="s">
        <v>39</v>
      </c>
      <c r="I590" s="3" t="str">
        <f>IFERROR(__xludf.DUMMYFUNCTION("GOOGLETRANSLATE(C590,""fr"",""en"")"),"After several complaints on our change of address, the 2021/2022 school insurance certificate from our son Charles is always at our old address ..... !!!
")</f>
        <v>After several complaints on our change of address, the 2021/2022 school insurance certificate from our son Charles is always at our old address ..... !!!
</v>
      </c>
    </row>
    <row r="591" ht="15.75" customHeight="1">
      <c r="A591" s="3">
        <v>2.0</v>
      </c>
      <c r="B591" s="3" t="s">
        <v>1738</v>
      </c>
      <c r="C591" s="3" t="s">
        <v>1739</v>
      </c>
      <c r="D591" s="3" t="s">
        <v>466</v>
      </c>
      <c r="E591" s="3" t="s">
        <v>14</v>
      </c>
      <c r="F591" s="3" t="s">
        <v>15</v>
      </c>
      <c r="G591" s="3" t="s">
        <v>1740</v>
      </c>
      <c r="H591" s="3" t="s">
        <v>517</v>
      </c>
      <c r="I591" s="3" t="str">
        <f>IFERROR(__xludf.DUMMYFUNCTION("GOOGLETRANSLATE(C591,""fr"",""en"")"),"There is no point in going to an agency since they will tell you that everything is on the site that nothing more can be done ... So you might as well take online insurance which will be cheaper. The guarantees are good but the price is not negligible thi"&amp;"s seems rather ""normal"" that the guarantees are correct.")</f>
        <v>There is no point in going to an agency since they will tell you that everything is on the site that nothing more can be done ... So you might as well take online insurance which will be cheaper. The guarantees are good but the price is not negligible this seems rather "normal" that the guarantees are correct.</v>
      </c>
    </row>
    <row r="592" ht="15.75" customHeight="1">
      <c r="A592" s="3">
        <v>1.0</v>
      </c>
      <c r="B592" s="3" t="s">
        <v>1741</v>
      </c>
      <c r="C592" s="3" t="s">
        <v>1742</v>
      </c>
      <c r="D592" s="3" t="s">
        <v>42</v>
      </c>
      <c r="E592" s="3" t="s">
        <v>14</v>
      </c>
      <c r="F592" s="3" t="s">
        <v>15</v>
      </c>
      <c r="G592" s="3" t="s">
        <v>1743</v>
      </c>
      <c r="H592" s="3" t="s">
        <v>236</v>
      </c>
      <c r="I592" s="3" t="str">
        <f>IFERROR(__xludf.DUMMYFUNCTION("GOOGLETRANSLATE(C592,""fr"",""en"")"),"Incompetent customer service. Are not able to recognize their wrongs even in a situation where they have put us in danger. We cannot communicate with them they turn and recite their texts.")</f>
        <v>Incompetent customer service. Are not able to recognize their wrongs even in a situation where they have put us in danger. We cannot communicate with them they turn and recite their texts.</v>
      </c>
    </row>
    <row r="593" ht="15.75" customHeight="1">
      <c r="A593" s="3">
        <v>1.0</v>
      </c>
      <c r="B593" s="3" t="s">
        <v>1744</v>
      </c>
      <c r="C593" s="3" t="s">
        <v>1745</v>
      </c>
      <c r="D593" s="3" t="s">
        <v>13</v>
      </c>
      <c r="E593" s="3" t="s">
        <v>14</v>
      </c>
      <c r="F593" s="3" t="s">
        <v>15</v>
      </c>
      <c r="G593" s="3" t="s">
        <v>1746</v>
      </c>
      <c r="H593" s="3" t="s">
        <v>854</v>
      </c>
      <c r="I593" s="3" t="str">
        <f>IFERROR(__xludf.DUMMYFUNCTION("GOOGLETRANSLATE(C593,""fr"",""en"")"),"Shameful service, price fixed and paid, sending documents with difficulty because no way to attach them to which they answer (while to subscribe it is very easy to have someone!) And after the end of the withdrawal period, I am announced an increase in th"&amp;"e price with immediate bank direct debit ??? Insurers to flee")</f>
        <v>Shameful service, price fixed and paid, sending documents with difficulty because no way to attach them to which they answer (while to subscribe it is very easy to have someone!) And after the end of the withdrawal period, I am announced an increase in the price with immediate bank direct debit ??? Insurers to flee</v>
      </c>
    </row>
    <row r="594" ht="15.75" customHeight="1">
      <c r="A594" s="3">
        <v>1.0</v>
      </c>
      <c r="B594" s="3" t="s">
        <v>1747</v>
      </c>
      <c r="C594" s="3" t="s">
        <v>1748</v>
      </c>
      <c r="D594" s="3" t="s">
        <v>227</v>
      </c>
      <c r="E594" s="3" t="s">
        <v>98</v>
      </c>
      <c r="F594" s="3" t="s">
        <v>15</v>
      </c>
      <c r="G594" s="3" t="s">
        <v>1749</v>
      </c>
      <c r="H594" s="3" t="s">
        <v>184</v>
      </c>
      <c r="I594" s="3" t="str">
        <f>IFERROR(__xludf.DUMMYFUNCTION("GOOGLETRANSLATE(C594,""fr"",""en"")"),"Member of Cégéma since January 1, 2014, I too have some comments to make:")</f>
        <v>Member of Cégéma since January 1, 2014, I too have some comments to make:</v>
      </c>
    </row>
    <row r="595" ht="15.75" customHeight="1">
      <c r="A595" s="3">
        <v>4.0</v>
      </c>
      <c r="B595" s="3" t="s">
        <v>1750</v>
      </c>
      <c r="C595" s="3" t="s">
        <v>1751</v>
      </c>
      <c r="D595" s="3" t="s">
        <v>13</v>
      </c>
      <c r="E595" s="3" t="s">
        <v>14</v>
      </c>
      <c r="F595" s="3" t="s">
        <v>15</v>
      </c>
      <c r="G595" s="3" t="s">
        <v>1752</v>
      </c>
      <c r="H595" s="3" t="s">
        <v>17</v>
      </c>
      <c r="I595" s="3" t="str">
        <f>IFERROR(__xludf.DUMMYFUNCTION("GOOGLETRANSLATE(C595,""fr"",""en"")"),"I am satisfied with the quality /price ratio. The service is fast and efficient, the advisers very attentive, which is very appreciable, I recommend!")</f>
        <v>I am satisfied with the quality /price ratio. The service is fast and efficient, the advisers very attentive, which is very appreciable, I recommend!</v>
      </c>
    </row>
    <row r="596" ht="15.75" customHeight="1">
      <c r="A596" s="3">
        <v>1.0</v>
      </c>
      <c r="B596" s="3" t="s">
        <v>1753</v>
      </c>
      <c r="C596" s="3" t="s">
        <v>1754</v>
      </c>
      <c r="D596" s="3" t="s">
        <v>140</v>
      </c>
      <c r="E596" s="3" t="s">
        <v>98</v>
      </c>
      <c r="F596" s="3" t="s">
        <v>15</v>
      </c>
      <c r="G596" s="3" t="s">
        <v>784</v>
      </c>
      <c r="H596" s="3" t="s">
        <v>39</v>
      </c>
      <c r="I596" s="3" t="str">
        <f>IFERROR(__xludf.DUMMYFUNCTION("GOOGLETRANSLATE(C596,""fr"",""en"")"),"A shame! I have never seen that in a mutual ... Loss of time and money insured. No remote transmission on a large number of professionals who forces us to advance the costs and return the bill to Santiane. As if that was not enough you must constantly cal"&amp;"l them to verify that the payments have been made without it beware of payment defects due to ""lack of documents"" which you only tell you about once you have called. No confidence between you and your mutual .... if that is what you want, subscribe, if "&amp;"not, have the intelligence not to subscribe. A complaint for lack of information to the signing of the contract and termination made on 30.06 and always no response or how to blur your customers and let the contract run. You shouldn't be surprised that cu"&amp;"stomers simply stop paying. Solution for which I will surely opt since no solution in sight.
")</f>
        <v>A shame! I have never seen that in a mutual ... Loss of time and money insured. No remote transmission on a large number of professionals who forces us to advance the costs and return the bill to Santiane. As if that was not enough you must constantly call them to verify that the payments have been made without it beware of payment defects due to "lack of documents" which you only tell you about once you have called. No confidence between you and your mutual .... if that is what you want, subscribe, if not, have the intelligence not to subscribe. A complaint for lack of information to the signing of the contract and termination made on 30.06 and always no response or how to blur your customers and let the contract run. You shouldn't be surprised that customers simply stop paying. Solution for which I will surely opt since no solution in sight.
</v>
      </c>
    </row>
    <row r="597" ht="15.75" customHeight="1">
      <c r="A597" s="3">
        <v>3.0</v>
      </c>
      <c r="B597" s="3" t="s">
        <v>1755</v>
      </c>
      <c r="C597" s="3" t="s">
        <v>1756</v>
      </c>
      <c r="D597" s="3" t="s">
        <v>13</v>
      </c>
      <c r="E597" s="3" t="s">
        <v>14</v>
      </c>
      <c r="F597" s="3" t="s">
        <v>15</v>
      </c>
      <c r="G597" s="3" t="s">
        <v>1757</v>
      </c>
      <c r="H597" s="3" t="s">
        <v>115</v>
      </c>
      <c r="I597" s="3" t="str">
        <f>IFERROR(__xludf.DUMMYFUNCTION("GOOGLETRANSLATE(C597,""fr"",""en"")"),"Being already a customer for another vehicle, I do not understand why I have to bother to retype all my information to add a second insurance contract. It should be much simpler than that. Give up the information please.")</f>
        <v>Being already a customer for another vehicle, I do not understand why I have to bother to retype all my information to add a second insurance contract. It should be much simpler than that. Give up the information please.</v>
      </c>
    </row>
    <row r="598" ht="15.75" customHeight="1">
      <c r="A598" s="3">
        <v>1.0</v>
      </c>
      <c r="B598" s="3" t="s">
        <v>1758</v>
      </c>
      <c r="C598" s="3" t="s">
        <v>1759</v>
      </c>
      <c r="D598" s="3" t="s">
        <v>1207</v>
      </c>
      <c r="E598" s="3" t="s">
        <v>194</v>
      </c>
      <c r="F598" s="3" t="s">
        <v>15</v>
      </c>
      <c r="G598" s="3" t="s">
        <v>1760</v>
      </c>
      <c r="H598" s="3" t="s">
        <v>439</v>
      </c>
      <c r="I598" s="3" t="str">
        <f>IFERROR(__xludf.DUMMYFUNCTION("GOOGLETRANSLATE(C598,""fr"",""en"")"),"Acquire of a Madelin law contract. 1 month after transmitting documents, emails without answers or partial answers sometimes a week later, incessant changes of interlocutors, unreachable hotline or incredibly long waiting period, etc. It seems very simple"&amp;" and quick to deposit money at La Mondiale than to withdraw it.
Never place your money in this company.")</f>
        <v>Acquire of a Madelin law contract. 1 month after transmitting documents, emails without answers or partial answers sometimes a week later, incessant changes of interlocutors, unreachable hotline or incredibly long waiting period, etc. It seems very simple and quick to deposit money at La Mondiale than to withdraw it.
Never place your money in this company.</v>
      </c>
    </row>
    <row r="599" ht="15.75" customHeight="1">
      <c r="A599" s="3">
        <v>2.0</v>
      </c>
      <c r="B599" s="3" t="s">
        <v>1761</v>
      </c>
      <c r="C599" s="3" t="s">
        <v>1762</v>
      </c>
      <c r="D599" s="3" t="s">
        <v>26</v>
      </c>
      <c r="E599" s="3" t="s">
        <v>194</v>
      </c>
      <c r="F599" s="3" t="s">
        <v>15</v>
      </c>
      <c r="G599" s="3" t="s">
        <v>1763</v>
      </c>
      <c r="H599" s="3" t="s">
        <v>478</v>
      </c>
      <c r="I599" s="3" t="str">
        <f>IFERROR(__xludf.DUMMYFUNCTION("GOOGLETRANSLATE(C599,""fr"",""en"")"),"I had a stop almost 4 months ago and still no independed! I am liberal without any other source of income! something is always missing !! Finally without really explaining to me, I am fired!")</f>
        <v>I had a stop almost 4 months ago and still no independed! I am liberal without any other source of income! something is always missing !! Finally without really explaining to me, I am fired!</v>
      </c>
    </row>
    <row r="600" ht="15.75" customHeight="1">
      <c r="A600" s="3">
        <v>3.0</v>
      </c>
      <c r="B600" s="3" t="s">
        <v>1764</v>
      </c>
      <c r="C600" s="3" t="s">
        <v>1765</v>
      </c>
      <c r="D600" s="3" t="s">
        <v>42</v>
      </c>
      <c r="E600" s="3" t="s">
        <v>14</v>
      </c>
      <c r="F600" s="3" t="s">
        <v>15</v>
      </c>
      <c r="G600" s="3" t="s">
        <v>1680</v>
      </c>
      <c r="H600" s="3" t="s">
        <v>39</v>
      </c>
      <c r="I600" s="3" t="str">
        <f>IFERROR(__xludf.DUMMYFUNCTION("GOOGLETRANSLATE(C600,""fr"",""en"")"),"I suspect the service and the online procedure, however your prices are a little student compared to my driver profile for thirty years not having been the source of an accident and in addition I am already customer at your home for my Home Insurance.")</f>
        <v>I suspect the service and the online procedure, however your prices are a little student compared to my driver profile for thirty years not having been the source of an accident and in addition I am already customer at your home for my Home Insurance.</v>
      </c>
    </row>
    <row r="601" ht="15.75" customHeight="1">
      <c r="A601" s="3">
        <v>1.0</v>
      </c>
      <c r="B601" s="3" t="s">
        <v>1766</v>
      </c>
      <c r="C601" s="3" t="s">
        <v>1767</v>
      </c>
      <c r="D601" s="3" t="s">
        <v>13</v>
      </c>
      <c r="E601" s="3" t="s">
        <v>14</v>
      </c>
      <c r="F601" s="3" t="s">
        <v>15</v>
      </c>
      <c r="G601" s="3" t="s">
        <v>972</v>
      </c>
      <c r="H601" s="3" t="s">
        <v>165</v>
      </c>
      <c r="I601" s="3" t="str">
        <f>IFERROR(__xludf.DUMMYFUNCTION("GOOGLETRANSLATE(C601,""fr"",""en"")"),"I am satisfied with good service and good telephone price, fast thank you very much cordially Mr Benghali remains to speak there is too much character to mark")</f>
        <v>I am satisfied with good service and good telephone price, fast thank you very much cordially Mr Benghali remains to speak there is too much character to mark</v>
      </c>
    </row>
    <row r="602" ht="15.75" customHeight="1">
      <c r="A602" s="3">
        <v>4.0</v>
      </c>
      <c r="B602" s="3" t="s">
        <v>1768</v>
      </c>
      <c r="C602" s="3" t="s">
        <v>1769</v>
      </c>
      <c r="D602" s="3" t="s">
        <v>20</v>
      </c>
      <c r="E602" s="3" t="s">
        <v>21</v>
      </c>
      <c r="F602" s="3" t="s">
        <v>15</v>
      </c>
      <c r="G602" s="3" t="s">
        <v>753</v>
      </c>
      <c r="H602" s="3" t="s">
        <v>23</v>
      </c>
      <c r="I602" s="3" t="str">
        <f>IFERROR(__xludf.DUMMYFUNCTION("GOOGLETRANSLATE(C602,""fr"",""en"")"),"I am satisfied with the service
The price is suitable
Good file management
Give very good advice
Explains all the options for motorcycle insurance")</f>
        <v>I am satisfied with the service
The price is suitable
Good file management
Give very good advice
Explains all the options for motorcycle insurance</v>
      </c>
    </row>
    <row r="603" ht="15.75" customHeight="1">
      <c r="A603" s="3">
        <v>4.0</v>
      </c>
      <c r="B603" s="3" t="s">
        <v>1770</v>
      </c>
      <c r="C603" s="3" t="s">
        <v>1771</v>
      </c>
      <c r="D603" s="3" t="s">
        <v>13</v>
      </c>
      <c r="E603" s="3" t="s">
        <v>14</v>
      </c>
      <c r="F603" s="3" t="s">
        <v>15</v>
      </c>
      <c r="G603" s="3" t="s">
        <v>38</v>
      </c>
      <c r="H603" s="3" t="s">
        <v>39</v>
      </c>
      <c r="I603" s="3" t="str">
        <f>IFERROR(__xludf.DUMMYFUNCTION("GOOGLETRANSLATE(C603,""fr"",""en"")"),"Very professional welcome, clear explanation. Complete support for customers.
I was well advised and guided, I am satisfied with the service, thank you")</f>
        <v>Very professional welcome, clear explanation. Complete support for customers.
I was well advised and guided, I am satisfied with the service, thank you</v>
      </c>
    </row>
    <row r="604" ht="15.75" customHeight="1">
      <c r="A604" s="3">
        <v>4.0</v>
      </c>
      <c r="B604" s="3" t="s">
        <v>1772</v>
      </c>
      <c r="C604" s="3" t="s">
        <v>1773</v>
      </c>
      <c r="D604" s="3" t="s">
        <v>42</v>
      </c>
      <c r="E604" s="3" t="s">
        <v>14</v>
      </c>
      <c r="F604" s="3" t="s">
        <v>15</v>
      </c>
      <c r="G604" s="3" t="s">
        <v>747</v>
      </c>
      <c r="H604" s="3" t="s">
        <v>23</v>
      </c>
      <c r="I604" s="3" t="str">
        <f>IFERROR(__xludf.DUMMYFUNCTION("GOOGLETRANSLATE(C604,""fr"",""en"")"),"I am satisfied with the service thus the price and without forgetting the advisor was nice and patient thank you to all of you and good luck.
Cordially.")</f>
        <v>I am satisfied with the service thus the price and without forgetting the advisor was nice and patient thank you to all of you and good luck.
Cordially.</v>
      </c>
    </row>
    <row r="605" ht="15.75" customHeight="1">
      <c r="A605" s="3">
        <v>1.0</v>
      </c>
      <c r="B605" s="3" t="s">
        <v>1774</v>
      </c>
      <c r="C605" s="3" t="s">
        <v>1775</v>
      </c>
      <c r="D605" s="3" t="s">
        <v>549</v>
      </c>
      <c r="E605" s="3" t="s">
        <v>21</v>
      </c>
      <c r="F605" s="3" t="s">
        <v>15</v>
      </c>
      <c r="G605" s="3" t="s">
        <v>1459</v>
      </c>
      <c r="H605" s="3" t="s">
        <v>86</v>
      </c>
      <c r="I605" s="3" t="str">
        <f>IFERROR(__xludf.DUMMYFUNCTION("GOOGLETRANSLATE(C605,""fr"",""en"")"),"Everything is better than elsewhere when he presents the conditions, the contracts ...
At the subscription, the first year, I am asked 1 anti -theft sra ... I find the invoice and take it to the Lyon office and there, surprise I am told ""to be insured a"&amp;"gainst the flight, you need two anti -theft sra!
Second surprise, the second year, when everyone announces, because of confinement, a very significant drop in accidents, I am surprised to discover an increase 16.89% of my annual subscription. It's just a"&amp;" shame!")</f>
        <v>Everything is better than elsewhere when he presents the conditions, the contracts ...
At the subscription, the first year, I am asked 1 anti -theft sra ... I find the invoice and take it to the Lyon office and there, surprise I am told "to be insured against the flight, you need two anti -theft sra!
Second surprise, the second year, when everyone announces, because of confinement, a very significant drop in accidents, I am surprised to discover an increase 16.89% of my annual subscription. It's just a shame!</v>
      </c>
    </row>
    <row r="606" ht="15.75" customHeight="1">
      <c r="A606" s="3">
        <v>2.0</v>
      </c>
      <c r="B606" s="3" t="s">
        <v>1776</v>
      </c>
      <c r="C606" s="3" t="s">
        <v>1777</v>
      </c>
      <c r="D606" s="3" t="s">
        <v>42</v>
      </c>
      <c r="E606" s="3" t="s">
        <v>14</v>
      </c>
      <c r="F606" s="3" t="s">
        <v>15</v>
      </c>
      <c r="G606" s="3" t="s">
        <v>1030</v>
      </c>
      <c r="H606" s="3" t="s">
        <v>86</v>
      </c>
      <c r="I606" s="3" t="str">
        <f>IFERROR(__xludf.DUMMYFUNCTION("GOOGLETRANSLATE(C606,""fr"",""en"")"),"Difficulty communicating with customer service to obtain a document. We don't know what service to contact! Following a sinister break in ice with theft of objects inside the car (telephone and laptop), we need a certificate of non -management by direct i"&amp;"nsurance that we must give to the 'Laptop insurance for compensation. It is impossible for us to have someone to provide us with this document despite several calls and request by email!")</f>
        <v>Difficulty communicating with customer service to obtain a document. We don't know what service to contact! Following a sinister break in ice with theft of objects inside the car (telephone and laptop), we need a certificate of non -management by direct insurance that we must give to the 'Laptop insurance for compensation. It is impossible for us to have someone to provide us with this document despite several calls and request by email!</v>
      </c>
    </row>
    <row r="607" ht="15.75" customHeight="1">
      <c r="A607" s="3">
        <v>5.0</v>
      </c>
      <c r="B607" s="3" t="s">
        <v>1778</v>
      </c>
      <c r="C607" s="3" t="s">
        <v>1779</v>
      </c>
      <c r="D607" s="3" t="s">
        <v>81</v>
      </c>
      <c r="E607" s="3" t="s">
        <v>14</v>
      </c>
      <c r="F607" s="3" t="s">
        <v>15</v>
      </c>
      <c r="G607" s="3" t="s">
        <v>1780</v>
      </c>
      <c r="H607" s="3" t="s">
        <v>23</v>
      </c>
      <c r="I607" s="3" t="str">
        <f>IFERROR(__xludf.DUMMYFUNCTION("GOOGLETRANSLATE(C607,""fr"",""en"")"),"Following a brake break on my Jaguar, the Macif at all costs in charge and without any worries, moreover it offered us the choice of different taxi transport, so as not to spoil our weekend, we put us In our hotel reservations and resumed the next day to "&amp;"repatriate us to our home.
By passing it I changed insurance (the olive tree) but following a non -responsible accident. Thank you for your services and your contacts (trices).")</f>
        <v>Following a brake break on my Jaguar, the Macif at all costs in charge and without any worries, moreover it offered us the choice of different taxi transport, so as not to spoil our weekend, we put us In our hotel reservations and resumed the next day to repatriate us to our home.
By passing it I changed insurance (the olive tree) but following a non -responsible accident. Thank you for your services and your contacts (trices).</v>
      </c>
    </row>
    <row r="608" ht="15.75" customHeight="1">
      <c r="A608" s="3">
        <v>5.0</v>
      </c>
      <c r="B608" s="3" t="s">
        <v>1781</v>
      </c>
      <c r="C608" s="3" t="s">
        <v>1782</v>
      </c>
      <c r="D608" s="3" t="s">
        <v>13</v>
      </c>
      <c r="E608" s="3" t="s">
        <v>14</v>
      </c>
      <c r="F608" s="3" t="s">
        <v>15</v>
      </c>
      <c r="G608" s="3" t="s">
        <v>16</v>
      </c>
      <c r="H608" s="3" t="s">
        <v>17</v>
      </c>
      <c r="I608" s="3" t="str">
        <f>IFERROR(__xludf.DUMMYFUNCTION("GOOGLETRANSLATE(C608,""fr"",""en"")"),"Very satisfied advisor very listening No surprise happy to insure my second vehicle as some members of my family who are also a customer at the Olivier Insurance")</f>
        <v>Very satisfied advisor very listening No surprise happy to insure my second vehicle as some members of my family who are also a customer at the Olivier Insurance</v>
      </c>
    </row>
    <row r="609" ht="15.75" customHeight="1">
      <c r="A609" s="3">
        <v>4.0</v>
      </c>
      <c r="B609" s="3" t="s">
        <v>1783</v>
      </c>
      <c r="C609" s="3" t="s">
        <v>1784</v>
      </c>
      <c r="D609" s="3" t="s">
        <v>42</v>
      </c>
      <c r="E609" s="3" t="s">
        <v>14</v>
      </c>
      <c r="F609" s="3" t="s">
        <v>15</v>
      </c>
      <c r="G609" s="3" t="s">
        <v>1785</v>
      </c>
      <c r="H609" s="3" t="s">
        <v>115</v>
      </c>
      <c r="I609" s="3" t="str">
        <f>IFERROR(__xludf.DUMMYFUNCTION("GOOGLETRANSLATE(C609,""fr"",""en"")"),"Today I am still satisfied with the offers offered.
The price of the contribution suits me
I have been a customer at Direct Insurance for over 10 years
")</f>
        <v>Today I am still satisfied with the offers offered.
The price of the contribution suits me
I have been a customer at Direct Insurance for over 10 years
</v>
      </c>
    </row>
    <row r="610" ht="15.75" customHeight="1">
      <c r="A610" s="3">
        <v>1.0</v>
      </c>
      <c r="B610" s="3" t="s">
        <v>1786</v>
      </c>
      <c r="C610" s="3" t="s">
        <v>1787</v>
      </c>
      <c r="D610" s="3" t="s">
        <v>674</v>
      </c>
      <c r="E610" s="3" t="s">
        <v>194</v>
      </c>
      <c r="F610" s="3" t="s">
        <v>15</v>
      </c>
      <c r="G610" s="3" t="s">
        <v>1788</v>
      </c>
      <c r="H610" s="3" t="s">
        <v>898</v>
      </c>
      <c r="I610" s="3" t="str">
        <f>IFERROR(__xludf.DUMMYFUNCTION("GOOGLETRANSLATE(C610,""fr"",""en"")"),"File sent since September 10, 2018, after 30 days, no return from CNPF Assurances ... almost 30 minutes to stay online and listen to their waiting music ... and still no customer officer at the tip ... hello ?? There is someone ?? ...")</f>
        <v>File sent since September 10, 2018, after 30 days, no return from CNPF Assurances ... almost 30 minutes to stay online and listen to their waiting music ... and still no customer officer at the tip ... hello ?? There is someone ?? ...</v>
      </c>
    </row>
    <row r="611" ht="15.75" customHeight="1">
      <c r="A611" s="3">
        <v>1.0</v>
      </c>
      <c r="B611" s="3" t="s">
        <v>1789</v>
      </c>
      <c r="C611" s="3" t="s">
        <v>1790</v>
      </c>
      <c r="D611" s="3" t="s">
        <v>78</v>
      </c>
      <c r="E611" s="3" t="s">
        <v>14</v>
      </c>
      <c r="F611" s="3" t="s">
        <v>15</v>
      </c>
      <c r="G611" s="3" t="s">
        <v>499</v>
      </c>
      <c r="H611" s="3" t="s">
        <v>91</v>
      </c>
      <c r="I611" s="3" t="str">
        <f>IFERROR(__xludf.DUMMYFUNCTION("GOOGLETRANSLATE(C611,""fr"",""en"")"),"We pay a professional insurance policy of 210 euros per month.
More than 6 months after the declaration of claim we have still not been reimbursed. We have no follow -up worthy of the name and we must believe that the person in charge of our file has oth"&amp;"er priorities to deal with despite our various calls. When we call to try to have information it is always the same answers: ""The person in charge of the file will remind you"" or ""it is missing documents (docs that we have sent"".
They do not even kno"&amp;"w how to give us a clear vision of the procedure to follow and it is a few months after the declaration of the disaster that we learn by chance that we must transmit a doc (they could not have called us, no no , too tedious).
It is insurance is a horror."&amp;" To flee!
")</f>
        <v>We pay a professional insurance policy of 210 euros per month.
More than 6 months after the declaration of claim we have still not been reimbursed. We have no follow -up worthy of the name and we must believe that the person in charge of our file has other priorities to deal with despite our various calls. When we call to try to have information it is always the same answers: "The person in charge of the file will remind you" or "it is missing documents (docs that we have sent".
They do not even know how to give us a clear vision of the procedure to follow and it is a few months after the declaration of the disaster that we learn by chance that we must transmit a doc (they could not have called us, no no , too tedious).
It is insurance is a horror. To flee!
</v>
      </c>
    </row>
    <row r="612" ht="15.75" customHeight="1">
      <c r="A612" s="3">
        <v>1.0</v>
      </c>
      <c r="B612" s="3" t="s">
        <v>1791</v>
      </c>
      <c r="C612" s="3" t="s">
        <v>1792</v>
      </c>
      <c r="D612" s="3" t="s">
        <v>256</v>
      </c>
      <c r="E612" s="3" t="s">
        <v>109</v>
      </c>
      <c r="F612" s="3" t="s">
        <v>15</v>
      </c>
      <c r="G612" s="3" t="s">
        <v>1793</v>
      </c>
      <c r="H612" s="3" t="s">
        <v>207</v>
      </c>
      <c r="I612" s="3" t="str">
        <f>IFERROR(__xludf.DUMMYFUNCTION("GOOGLETRANSLATE(C612,""fr"",""en"")"),"TO FLEE !!!!
I am assured at home for my dog.
30 min to have them on the phone ...
are not at all coherent concerning the contract he says that he covers you for the disease knowing that I took the most expensive option
And here is that at the time of"&amp;" reimbursement he finds the pretext of a hereditary disease of my dog ​​so as not to reimburse me !!!
If you had a Labrador the hip problems will not be taken into account.
 If you had a bulldog, the puck problem will not be reimbursed either ...
Becau"&amp;"se if I believe what I say to me all the dogs we hereditary disease ...
But of course we have to know everything about the animals forward to pay ?? !!!
But of course all of it, he tells you once the contract signed to you !!! and the costs incurred !!!"&amp;"
I am really very disappointed !!!")</f>
        <v>TO FLEE !!!!
I am assured at home for my dog.
30 min to have them on the phone ...
are not at all coherent concerning the contract he says that he covers you for the disease knowing that I took the most expensive option
And here is that at the time of reimbursement he finds the pretext of a hereditary disease of my dog ​​so as not to reimburse me !!!
If you had a Labrador the hip problems will not be taken into account.
 If you had a bulldog, the puck problem will not be reimbursed either ...
Because if I believe what I say to me all the dogs we hereditary disease ...
But of course we have to know everything about the animals forward to pay ?? !!!
But of course all of it, he tells you once the contract signed to you !!! and the costs incurred !!!
I am really very disappointed !!!</v>
      </c>
    </row>
    <row r="613" ht="15.75" customHeight="1">
      <c r="A613" s="3">
        <v>1.0</v>
      </c>
      <c r="B613" s="3" t="s">
        <v>1794</v>
      </c>
      <c r="C613" s="3" t="s">
        <v>1795</v>
      </c>
      <c r="D613" s="3" t="s">
        <v>42</v>
      </c>
      <c r="E613" s="3" t="s">
        <v>14</v>
      </c>
      <c r="F613" s="3" t="s">
        <v>15</v>
      </c>
      <c r="G613" s="3" t="s">
        <v>1796</v>
      </c>
      <c r="H613" s="3" t="s">
        <v>220</v>
      </c>
      <c r="I613" s="3" t="str">
        <f>IFERROR(__xludf.DUMMYFUNCTION("GOOGLETRANSLATE(C613,""fr"",""en"")"),"I have 2 vehicles insured and this year (like every year) an increase of 14% on one and 8% on the other. No declared claim, bonus at 50% and in addition a big difference in increases. Customer service does not really know how to explain why. I am thinking"&amp;" of returning to insurance with an office and a real customer service.")</f>
        <v>I have 2 vehicles insured and this year (like every year) an increase of 14% on one and 8% on the other. No declared claim, bonus at 50% and in addition a big difference in increases. Customer service does not really know how to explain why. I am thinking of returning to insurance with an office and a real customer service.</v>
      </c>
    </row>
    <row r="614" ht="15.75" customHeight="1">
      <c r="A614" s="3">
        <v>5.0</v>
      </c>
      <c r="B614" s="3" t="s">
        <v>1797</v>
      </c>
      <c r="C614" s="3" t="s">
        <v>1798</v>
      </c>
      <c r="D614" s="3" t="s">
        <v>20</v>
      </c>
      <c r="E614" s="3" t="s">
        <v>21</v>
      </c>
      <c r="F614" s="3" t="s">
        <v>15</v>
      </c>
      <c r="G614" s="3" t="s">
        <v>1702</v>
      </c>
      <c r="H614" s="3" t="s">
        <v>75</v>
      </c>
      <c r="I614" s="3" t="str">
        <f>IFERROR(__xludf.DUMMYFUNCTION("GOOGLETRANSLATE(C614,""fr"",""en"")"),"I am very happy to have concluded a contract with you and I hope to have a happy new year with your service I am very happy to have concluded a contract with you and I hope to have a happy new year with your service")</f>
        <v>I am very happy to have concluded a contract with you and I hope to have a happy new year with your service I am very happy to have concluded a contract with you and I hope to have a happy new year with your service</v>
      </c>
    </row>
    <row r="615" ht="15.75" customHeight="1">
      <c r="A615" s="3">
        <v>1.0</v>
      </c>
      <c r="B615" s="3" t="s">
        <v>1799</v>
      </c>
      <c r="C615" s="3" t="s">
        <v>1800</v>
      </c>
      <c r="D615" s="3" t="s">
        <v>42</v>
      </c>
      <c r="E615" s="3" t="s">
        <v>14</v>
      </c>
      <c r="F615" s="3" t="s">
        <v>15</v>
      </c>
      <c r="G615" s="3" t="s">
        <v>1801</v>
      </c>
      <c r="H615" s="3" t="s">
        <v>111</v>
      </c>
      <c r="I615" s="3" t="str">
        <f>IFERROR(__xludf.DUMMYFUNCTION("GOOGLETRANSLATE(C615,""fr"",""en"")"),"Do not take this ""insurer"". The prices seem competitive but this ""insurer"" terminates your contract because of a disaster or you are not responsible. The termination is done by mail without reason. You have to contact them and when you have someone, t"&amp;"he person in question is aggressive.
I am not surprised that this ""insurer"" is almost no agency in physics.")</f>
        <v>Do not take this "insurer". The prices seem competitive but this "insurer" terminates your contract because of a disaster or you are not responsible. The termination is done by mail without reason. You have to contact them and when you have someone, the person in question is aggressive.
I am not surprised that this "insurer" is almost no agency in physics.</v>
      </c>
    </row>
    <row r="616" ht="15.75" customHeight="1">
      <c r="A616" s="3">
        <v>5.0</v>
      </c>
      <c r="B616" s="3" t="s">
        <v>1802</v>
      </c>
      <c r="C616" s="3" t="s">
        <v>1803</v>
      </c>
      <c r="D616" s="3" t="s">
        <v>97</v>
      </c>
      <c r="E616" s="3" t="s">
        <v>98</v>
      </c>
      <c r="F616" s="3" t="s">
        <v>15</v>
      </c>
      <c r="G616" s="3" t="s">
        <v>1804</v>
      </c>
      <c r="H616" s="3" t="s">
        <v>184</v>
      </c>
      <c r="I616" s="3" t="str">
        <f>IFERROR(__xludf.DUMMYFUNCTION("GOOGLETRANSLATE(C616,""fr"",""en"")"),"This is my new competence I knew it less than my previous one that I saw everywhere on TV and yet I am much better with the news because it may not be on TV but at least it reimburses me and correctly!")</f>
        <v>This is my new competence I knew it less than my previous one that I saw everywhere on TV and yet I am much better with the news because it may not be on TV but at least it reimburses me and correctly!</v>
      </c>
    </row>
    <row r="617" ht="15.75" customHeight="1">
      <c r="A617" s="3">
        <v>1.0</v>
      </c>
      <c r="B617" s="3" t="s">
        <v>1805</v>
      </c>
      <c r="C617" s="3" t="s">
        <v>1806</v>
      </c>
      <c r="D617" s="3" t="s">
        <v>175</v>
      </c>
      <c r="E617" s="3" t="s">
        <v>98</v>
      </c>
      <c r="F617" s="3" t="s">
        <v>15</v>
      </c>
      <c r="G617" s="3" t="s">
        <v>1807</v>
      </c>
      <c r="H617" s="3" t="s">
        <v>56</v>
      </c>
      <c r="I617" s="3" t="str">
        <f>IFERROR(__xludf.DUMMYFUNCTION("GOOGLETRANSLATE(C617,""fr"",""en"")"),"Avoid at all costs! Watch out for the contract which is extremely misleading. Also pay attention to the Pole Cartage Land service who works in connection with April Health. Deplorable and not reliable service!")</f>
        <v>Avoid at all costs! Watch out for the contract which is extremely misleading. Also pay attention to the Pole Cartage Land service who works in connection with April Health. Deplorable and not reliable service!</v>
      </c>
    </row>
    <row r="618" ht="15.75" customHeight="1">
      <c r="A618" s="3">
        <v>1.0</v>
      </c>
      <c r="B618" s="3" t="s">
        <v>1808</v>
      </c>
      <c r="C618" s="3" t="s">
        <v>1809</v>
      </c>
      <c r="D618" s="3" t="s">
        <v>42</v>
      </c>
      <c r="E618" s="3" t="s">
        <v>14</v>
      </c>
      <c r="F618" s="3" t="s">
        <v>15</v>
      </c>
      <c r="G618" s="3" t="s">
        <v>336</v>
      </c>
      <c r="H618" s="3" t="s">
        <v>337</v>
      </c>
      <c r="I618" s="3" t="str">
        <f>IFERROR(__xludf.DUMMYFUNCTION("GOOGLETRANSLATE(C618,""fr"",""en"")"),"Abusive termination process and high prices throughout the contract:
1/ No digital termination procedure: you have to telephone and then send a Courier.
2/ First registered letter with acknowledgment of receipt: they refuse me the termination becaus"&amp;"e ""it lacked my signature"" (or this condition did not appear in their general condition, article 20.2)
I always wait for them to take into account my request for termination.")</f>
        <v>Abusive termination process and high prices throughout the contract:
1/ No digital termination procedure: you have to telephone and then send a Courier.
2/ First registered letter with acknowledgment of receipt: they refuse me the termination because "it lacked my signature" (or this condition did not appear in their general condition, article 20.2)
I always wait for them to take into account my request for termination.</v>
      </c>
    </row>
    <row r="619" ht="15.75" customHeight="1">
      <c r="A619" s="3">
        <v>1.0</v>
      </c>
      <c r="B619" s="3" t="s">
        <v>1810</v>
      </c>
      <c r="C619" s="3" t="s">
        <v>1811</v>
      </c>
      <c r="D619" s="3" t="s">
        <v>32</v>
      </c>
      <c r="E619" s="3" t="s">
        <v>14</v>
      </c>
      <c r="F619" s="3" t="s">
        <v>15</v>
      </c>
      <c r="G619" s="3" t="s">
        <v>1812</v>
      </c>
      <c r="H619" s="3" t="s">
        <v>248</v>
      </c>
      <c r="I619" s="3" t="str">
        <f>IFERROR(__xludf.DUMMYFUNCTION("GOOGLETRANSLATE(C619,""fr"",""en"")"),"I pay more than € 2,400 for a Honda Civic from 1996 21 years old therefore 1 year older than me and just 7CV tax and your services does not take into account the fact that for an accident that the person was driving with a rate of Higher alcohol to the au"&amp;"thorized limit that he was rolling the headlights were that he blocked by reaching me an ambush and that he fills the observation in my place and to their advantage and you did not take into account the complaint that I dropped off and you put me on the p"&amp;"enalty so I try to be polite in this little text but I think no less and there is not enough room in this box to say what I peel really your insurance company. Sincerely Pichard Guillaume")</f>
        <v>I pay more than € 2,400 for a Honda Civic from 1996 21 years old therefore 1 year older than me and just 7CV tax and your services does not take into account the fact that for an accident that the person was driving with a rate of Higher alcohol to the authorized limit that he was rolling the headlights were that he blocked by reaching me an ambush and that he fills the observation in my place and to their advantage and you did not take into account the complaint that I dropped off and you put me on the penalty so I try to be polite in this little text but I think no less and there is not enough room in this box to say what I peel really your insurance company. Sincerely Pichard Guillaume</v>
      </c>
    </row>
    <row r="620" ht="15.75" customHeight="1">
      <c r="A620" s="3">
        <v>3.0</v>
      </c>
      <c r="B620" s="3" t="s">
        <v>1813</v>
      </c>
      <c r="C620" s="3" t="s">
        <v>1814</v>
      </c>
      <c r="D620" s="3" t="s">
        <v>704</v>
      </c>
      <c r="E620" s="3" t="s">
        <v>27</v>
      </c>
      <c r="F620" s="3" t="s">
        <v>15</v>
      </c>
      <c r="G620" s="3" t="s">
        <v>1815</v>
      </c>
      <c r="H620" s="3" t="s">
        <v>337</v>
      </c>
      <c r="I620" s="3" t="str">
        <f>IFERROR(__xludf.DUMMYFUNCTION("GOOGLETRANSLATE(C620,""fr"",""en"")"),"Excellent placement until the death of the insured
The succession service is non -existent, do not respond to the phone does not require the documents necessary for the constitution of the payment of the premium .... a horror.
It was necessary to threat"&amp;"en a complaint for breach of trust to finally obtain in 2 days the transfer of the funds that we had been waiting for for several months
To flee")</f>
        <v>Excellent placement until the death of the insured
The succession service is non -existent, do not respond to the phone does not require the documents necessary for the constitution of the payment of the premium .... a horror.
It was necessary to threaten a complaint for breach of trust to finally obtain in 2 days the transfer of the funds that we had been waiting for for several months
To flee</v>
      </c>
    </row>
    <row r="621" ht="15.75" customHeight="1">
      <c r="A621" s="3">
        <v>2.0</v>
      </c>
      <c r="B621" s="3" t="s">
        <v>1816</v>
      </c>
      <c r="C621" s="3" t="s">
        <v>1817</v>
      </c>
      <c r="D621" s="3" t="s">
        <v>42</v>
      </c>
      <c r="E621" s="3" t="s">
        <v>14</v>
      </c>
      <c r="F621" s="3" t="s">
        <v>15</v>
      </c>
      <c r="G621" s="3" t="s">
        <v>1818</v>
      </c>
      <c r="H621" s="3" t="s">
        <v>341</v>
      </c>
      <c r="I621" s="3" t="str">
        <f>IFERROR(__xludf.DUMMYFUNCTION("GOOGLETRANSLATE(C621,""fr"",""en"")"),"I called this Direct Insurance day because my insurance has increased by 40%
My interlocutor's response was dry and final
Mr. first year we sell below the walk and the second year we take a normal rate
We are not there to work at a loss.
When I expres"&amp;"sed my entrance and my dissatisfaction
The answer was clear ""it's like that we don't hold back""
In addition, the character is shown odious
My 3 vehicles as well as my house will now be assured elsewhere")</f>
        <v>I called this Direct Insurance day because my insurance has increased by 40%
My interlocutor's response was dry and final
Mr. first year we sell below the walk and the second year we take a normal rate
We are not there to work at a loss.
When I expressed my entrance and my dissatisfaction
The answer was clear "it's like that we don't hold back"
In addition, the character is shown odious
My 3 vehicles as well as my house will now be assured elsewhere</v>
      </c>
    </row>
    <row r="622" ht="15.75" customHeight="1">
      <c r="A622" s="3">
        <v>1.0</v>
      </c>
      <c r="B622" s="3" t="s">
        <v>1819</v>
      </c>
      <c r="C622" s="3" t="s">
        <v>1820</v>
      </c>
      <c r="D622" s="3" t="s">
        <v>476</v>
      </c>
      <c r="E622" s="3" t="s">
        <v>109</v>
      </c>
      <c r="F622" s="3" t="s">
        <v>15</v>
      </c>
      <c r="G622" s="3" t="s">
        <v>572</v>
      </c>
      <c r="H622" s="3" t="s">
        <v>23</v>
      </c>
      <c r="I622" s="3" t="str">
        <f>IFERROR(__xludf.DUMMYFUNCTION("GOOGLETRANSLATE(C622,""fr"",""en"")"),"I assure my 2 dogs to Crédit Mutuel for surgery in January 2019. I ask if the herniated disc is ensured? I am answered yes madam no exclusion !! In June 2021 I sent an invoice of 1517 euros for herniated disc operated and I am not reimbursed .... because "&amp;"it is congenital !!! Animal insurance to flee ...")</f>
        <v>I assure my 2 dogs to Crédit Mutuel for surgery in January 2019. I ask if the herniated disc is ensured? I am answered yes madam no exclusion !! In June 2021 I sent an invoice of 1517 euros for herniated disc operated and I am not reimbursed .... because it is congenital !!! Animal insurance to flee ...</v>
      </c>
    </row>
    <row r="623" ht="15.75" customHeight="1">
      <c r="A623" s="3">
        <v>5.0</v>
      </c>
      <c r="B623" s="3" t="s">
        <v>1821</v>
      </c>
      <c r="C623" s="3" t="s">
        <v>1822</v>
      </c>
      <c r="D623" s="3" t="s">
        <v>13</v>
      </c>
      <c r="E623" s="3" t="s">
        <v>14</v>
      </c>
      <c r="F623" s="3" t="s">
        <v>15</v>
      </c>
      <c r="G623" s="3" t="s">
        <v>172</v>
      </c>
      <c r="H623" s="3" t="s">
        <v>115</v>
      </c>
      <c r="I623" s="3" t="str">
        <f>IFERROR(__xludf.DUMMYFUNCTION("GOOGLETRANSLATE(C623,""fr"",""en"")"),"We can only judge the quality of insurance after a disaster. However, the Olivier Insurance has very good salespeople and an online customer experience. The prices are also relatively competitive.")</f>
        <v>We can only judge the quality of insurance after a disaster. However, the Olivier Insurance has very good salespeople and an online customer experience. The prices are also relatively competitive.</v>
      </c>
    </row>
    <row r="624" ht="15.75" customHeight="1">
      <c r="A624" s="3">
        <v>1.0</v>
      </c>
      <c r="B624" s="3" t="s">
        <v>1823</v>
      </c>
      <c r="C624" s="3" t="s">
        <v>1824</v>
      </c>
      <c r="D624" s="3" t="s">
        <v>81</v>
      </c>
      <c r="E624" s="3" t="s">
        <v>33</v>
      </c>
      <c r="F624" s="3" t="s">
        <v>15</v>
      </c>
      <c r="G624" s="3" t="s">
        <v>1710</v>
      </c>
      <c r="H624" s="3" t="s">
        <v>100</v>
      </c>
      <c r="I624" s="3" t="str">
        <f>IFERROR(__xludf.DUMMYFUNCTION("GOOGLETRANSLATE(C624,""fr"",""en"")"),"Member for years, I had 3 concerns (housing and car).
Each time, the legal protection or accident service replies that it can do nothing following the response of the opposing party. Each time, I fought either with the help of the Automobile Club, or per"&amp;"sonally, and I won.
So apart from collecting our money, there is no one when we request a service.
To flee!!!")</f>
        <v>Member for years, I had 3 concerns (housing and car).
Each time, the legal protection or accident service replies that it can do nothing following the response of the opposing party. Each time, I fought either with the help of the Automobile Club, or personally, and I won.
So apart from collecting our money, there is no one when we request a service.
To flee!!!</v>
      </c>
    </row>
    <row r="625" ht="15.75" customHeight="1">
      <c r="A625" s="3">
        <v>1.0</v>
      </c>
      <c r="B625" s="3" t="s">
        <v>1825</v>
      </c>
      <c r="C625" s="3" t="s">
        <v>1826</v>
      </c>
      <c r="D625" s="3" t="s">
        <v>89</v>
      </c>
      <c r="E625" s="3" t="s">
        <v>33</v>
      </c>
      <c r="F625" s="3" t="s">
        <v>15</v>
      </c>
      <c r="G625" s="3" t="s">
        <v>1827</v>
      </c>
      <c r="H625" s="3" t="s">
        <v>39</v>
      </c>
      <c r="I625" s="3" t="str">
        <f>IFERROR(__xludf.DUMMYFUNCTION("GOOGLETRANSLATE(C625,""fr"",""en"")"),"hello
We had a water leak in the underground pipe in the garden between the counter and the house.
We are very disappointed with the answers that agent Maif has given us. In a very unpleasant tone, this agent argues us that no home insurance takes care "&amp;"of the costs due to a water leak of the pipes after meter in the garden (repair and overconsumption). We note that paying insurance for more than 20 years, high -end formula, for the house as for our 3 cars with Maif is a bad choice. We consider, therefor"&amp;"e, to see elsewhere")</f>
        <v>hello
We had a water leak in the underground pipe in the garden between the counter and the house.
We are very disappointed with the answers that agent Maif has given us. In a very unpleasant tone, this agent argues us that no home insurance takes care of the costs due to a water leak of the pipes after meter in the garden (repair and overconsumption). We note that paying insurance for more than 20 years, high -end formula, for the house as for our 3 cars with Maif is a bad choice. We consider, therefore, to see elsewhere</v>
      </c>
    </row>
    <row r="626" ht="15.75" customHeight="1">
      <c r="A626" s="3">
        <v>5.0</v>
      </c>
      <c r="B626" s="3" t="s">
        <v>1828</v>
      </c>
      <c r="C626" s="3" t="s">
        <v>1829</v>
      </c>
      <c r="D626" s="3" t="s">
        <v>13</v>
      </c>
      <c r="E626" s="3" t="s">
        <v>14</v>
      </c>
      <c r="F626" s="3" t="s">
        <v>15</v>
      </c>
      <c r="G626" s="3" t="s">
        <v>618</v>
      </c>
      <c r="H626" s="3" t="s">
        <v>71</v>
      </c>
      <c r="I626" s="3" t="str">
        <f>IFERROR(__xludf.DUMMYFUNCTION("GOOGLETRANSLATE(C626,""fr"",""en"")"),"After a break in ice, the Insurance Olivier quickly and correctly react my claim. Telephonic contacts were cordial and the interlocutor was attentive.
.")</f>
        <v>After a break in ice, the Insurance Olivier quickly and correctly react my claim. Telephonic contacts were cordial and the interlocutor was attentive.
.</v>
      </c>
    </row>
    <row r="627" ht="15.75" customHeight="1">
      <c r="A627" s="3">
        <v>5.0</v>
      </c>
      <c r="B627" s="3" t="s">
        <v>1830</v>
      </c>
      <c r="C627" s="3" t="s">
        <v>1831</v>
      </c>
      <c r="D627" s="3" t="s">
        <v>42</v>
      </c>
      <c r="E627" s="3" t="s">
        <v>14</v>
      </c>
      <c r="F627" s="3" t="s">
        <v>15</v>
      </c>
      <c r="G627" s="3" t="s">
        <v>1329</v>
      </c>
      <c r="H627" s="3" t="s">
        <v>86</v>
      </c>
      <c r="I627" s="3" t="str">
        <f>IFERROR(__xludf.DUMMYFUNCTION("GOOGLETRANSLATE(C627,""fr"",""en"")"),"Very satisfied with the Direct Insurance service, your colleague is very successful, precise and clear explanations, the price is top, I highly recommend, thank you.")</f>
        <v>Very satisfied with the Direct Insurance service, your colleague is very successful, precise and clear explanations, the price is top, I highly recommend, thank you.</v>
      </c>
    </row>
    <row r="628" ht="15.75" customHeight="1">
      <c r="A628" s="3">
        <v>1.0</v>
      </c>
      <c r="B628" s="3" t="s">
        <v>1832</v>
      </c>
      <c r="C628" s="3" t="s">
        <v>1833</v>
      </c>
      <c r="D628" s="3" t="s">
        <v>47</v>
      </c>
      <c r="E628" s="3" t="s">
        <v>14</v>
      </c>
      <c r="F628" s="3" t="s">
        <v>15</v>
      </c>
      <c r="G628" s="3" t="s">
        <v>1834</v>
      </c>
      <c r="H628" s="3" t="s">
        <v>287</v>
      </c>
      <c r="I628" s="3" t="str">
        <f>IFERROR(__xludf.DUMMYFUNCTION("GOOGLETRANSLATE(C628,""fr"",""en"")"),"Insurance that knows how to take on your account but when you are burgled you can forget. An advisor who takes you high and is not able to answer you or even process your file
To flee")</f>
        <v>Insurance that knows how to take on your account but when you are burgled you can forget. An advisor who takes you high and is not able to answer you or even process your file
To flee</v>
      </c>
    </row>
    <row r="629" ht="15.75" customHeight="1">
      <c r="A629" s="3">
        <v>1.0</v>
      </c>
      <c r="B629" s="3" t="s">
        <v>1835</v>
      </c>
      <c r="C629" s="3" t="s">
        <v>1836</v>
      </c>
      <c r="D629" s="3" t="s">
        <v>97</v>
      </c>
      <c r="E629" s="3" t="s">
        <v>98</v>
      </c>
      <c r="F629" s="3" t="s">
        <v>15</v>
      </c>
      <c r="G629" s="3" t="s">
        <v>1837</v>
      </c>
      <c r="H629" s="3" t="s">
        <v>211</v>
      </c>
      <c r="I629" s="3" t="str">
        <f>IFERROR(__xludf.DUMMYFUNCTION("GOOGLETRANSLATE(C629,""fr"",""en"")"),"Zero. I am currently in dispute because, despite proof of termination of the contract, the direct debits continued. Without response to my online complaints, I made opposition. They threaten to send the case to the litigation service. My emails are unansw"&amp;"ered, my phone calls ""kick"". The file is on the way to the ACPR. Without amicable resolution, I will go to court. For a common action, do not hesitate to contact me.")</f>
        <v>Zero. I am currently in dispute because, despite proof of termination of the contract, the direct debits continued. Without response to my online complaints, I made opposition. They threaten to send the case to the litigation service. My emails are unanswered, my phone calls "kick". The file is on the way to the ACPR. Without amicable resolution, I will go to court. For a common action, do not hesitate to contact me.</v>
      </c>
    </row>
    <row r="630" ht="15.75" customHeight="1">
      <c r="A630" s="3">
        <v>4.0</v>
      </c>
      <c r="B630" s="3" t="s">
        <v>1838</v>
      </c>
      <c r="C630" s="3" t="s">
        <v>1839</v>
      </c>
      <c r="D630" s="3" t="s">
        <v>13</v>
      </c>
      <c r="E630" s="3" t="s">
        <v>14</v>
      </c>
      <c r="F630" s="3" t="s">
        <v>15</v>
      </c>
      <c r="G630" s="3" t="s">
        <v>1840</v>
      </c>
      <c r="H630" s="3" t="s">
        <v>429</v>
      </c>
      <c r="I630" s="3" t="str">
        <f>IFERROR(__xludf.DUMMYFUNCTION("GOOGLETRANSLATE(C630,""fr"",""en"")"),"Listening, understanding, kindness of advisers. Speed ​​of processing my requests. very satisfied with this insurance, I highly recommend")</f>
        <v>Listening, understanding, kindness of advisers. Speed ​​of processing my requests. very satisfied with this insurance, I highly recommend</v>
      </c>
    </row>
    <row r="631" ht="15.75" customHeight="1">
      <c r="A631" s="3">
        <v>1.0</v>
      </c>
      <c r="B631" s="3" t="s">
        <v>1841</v>
      </c>
      <c r="C631" s="3" t="s">
        <v>1842</v>
      </c>
      <c r="D631" s="3" t="s">
        <v>716</v>
      </c>
      <c r="E631" s="3" t="s">
        <v>98</v>
      </c>
      <c r="F631" s="3" t="s">
        <v>15</v>
      </c>
      <c r="G631" s="3" t="s">
        <v>1843</v>
      </c>
      <c r="H631" s="3" t="s">
        <v>563</v>
      </c>
      <c r="I631" s="3" t="str">
        <f>IFERROR(__xludf.DUMMYFUNCTION("GOOGLETRANSLATE(C631,""fr"",""en"")"),"ASHAMED! Unfortunately it is the mutual insurance company selected by my company. They lose letters (with prescriptions and invoices !!!), do not warn when a document is missing and take more than 20 minutes to respond (with a paying number).
The operato"&amp;"r I had was very good but couldn't do anything for me. I bitterly regret my old mutual.")</f>
        <v>ASHAMED! Unfortunately it is the mutual insurance company selected by my company. They lose letters (with prescriptions and invoices !!!), do not warn when a document is missing and take more than 20 minutes to respond (with a paying number).
The operator I had was very good but couldn't do anything for me. I bitterly regret my old mutual.</v>
      </c>
    </row>
    <row r="632" ht="15.75" customHeight="1">
      <c r="A632" s="3">
        <v>1.0</v>
      </c>
      <c r="B632" s="3" t="s">
        <v>1844</v>
      </c>
      <c r="C632" s="3" t="s">
        <v>1845</v>
      </c>
      <c r="D632" s="3" t="s">
        <v>78</v>
      </c>
      <c r="E632" s="3" t="s">
        <v>27</v>
      </c>
      <c r="F632" s="3" t="s">
        <v>15</v>
      </c>
      <c r="G632" s="3" t="s">
        <v>1846</v>
      </c>
      <c r="H632" s="3" t="s">
        <v>341</v>
      </c>
      <c r="I632" s="3" t="str">
        <f>IFERROR(__xludf.DUMMYFUNCTION("GOOGLETRANSLATE(C632,""fr"",""en"")"),"I wanted to make a partial takeover on a 14 -year contract. Impossibility of unlocking money supposedly an advance of € 4 cents would block the transaction !!! .. Abstain especially I do not know why and or take out these 4 cents and no explanation on the"&amp;"ir part.
Theirs sent them a letter in AR but no response
And the advisor also turns a deaf ear. Now I cannot perform any online transaction they have blocked all my accounts and must go through the advisor
In short, avoid this company flee you will onl"&amp;"y have trouble")</f>
        <v>I wanted to make a partial takeover on a 14 -year contract. Impossibility of unlocking money supposedly an advance of € 4 cents would block the transaction !!! .. Abstain especially I do not know why and or take out these 4 cents and no explanation on their part.
Theirs sent them a letter in AR but no response
And the advisor also turns a deaf ear. Now I cannot perform any online transaction they have blocked all my accounts and must go through the advisor
In short, avoid this company flee you will only have trouble</v>
      </c>
    </row>
    <row r="633" ht="15.75" customHeight="1">
      <c r="A633" s="3">
        <v>5.0</v>
      </c>
      <c r="B633" s="3" t="s">
        <v>1847</v>
      </c>
      <c r="C633" s="3" t="s">
        <v>1848</v>
      </c>
      <c r="D633" s="3" t="s">
        <v>42</v>
      </c>
      <c r="E633" s="3" t="s">
        <v>14</v>
      </c>
      <c r="F633" s="3" t="s">
        <v>15</v>
      </c>
      <c r="G633" s="3" t="s">
        <v>779</v>
      </c>
      <c r="H633" s="3" t="s">
        <v>23</v>
      </c>
      <c r="I633" s="3" t="str">
        <f>IFERROR(__xludf.DUMMYFUNCTION("GOOGLETRANSLATE(C633,""fr"",""en"")"),"I am very satisfied with the service and reactivity at the top
Very good value for money. I recommend this insurance to my family and friends.")</f>
        <v>I am very satisfied with the service and reactivity at the top
Very good value for money. I recommend this insurance to my family and friends.</v>
      </c>
    </row>
    <row r="634" ht="15.75" customHeight="1">
      <c r="A634" s="3">
        <v>4.0</v>
      </c>
      <c r="B634" s="3" t="s">
        <v>1849</v>
      </c>
      <c r="C634" s="3" t="s">
        <v>1850</v>
      </c>
      <c r="D634" s="3" t="s">
        <v>32</v>
      </c>
      <c r="E634" s="3" t="s">
        <v>14</v>
      </c>
      <c r="F634" s="3" t="s">
        <v>15</v>
      </c>
      <c r="G634" s="3" t="s">
        <v>708</v>
      </c>
      <c r="H634" s="3" t="s">
        <v>115</v>
      </c>
      <c r="I634" s="3" t="str">
        <f>IFERROR(__xludf.DUMMYFUNCTION("GOOGLETRANSLATE(C634,""fr"",""en"")"),"I am satisfied. Management and monitoring in the event of a claim. Coherent and face -to -face pricing in the event of a request. Accessible and user -friendly virtual platform. Perfect.")</f>
        <v>I am satisfied. Management and monitoring in the event of a claim. Coherent and face -to -face pricing in the event of a request. Accessible and user -friendly virtual platform. Perfect.</v>
      </c>
    </row>
    <row r="635" ht="15.75" customHeight="1">
      <c r="A635" s="3">
        <v>4.0</v>
      </c>
      <c r="B635" s="3" t="s">
        <v>1851</v>
      </c>
      <c r="C635" s="3" t="s">
        <v>1852</v>
      </c>
      <c r="D635" s="3" t="s">
        <v>13</v>
      </c>
      <c r="E635" s="3" t="s">
        <v>14</v>
      </c>
      <c r="F635" s="3" t="s">
        <v>15</v>
      </c>
      <c r="G635" s="3" t="s">
        <v>784</v>
      </c>
      <c r="H635" s="3" t="s">
        <v>39</v>
      </c>
      <c r="I635" s="3" t="str">
        <f>IFERROR(__xludf.DUMMYFUNCTION("GOOGLETRANSLATE(C635,""fr"",""en"")"),"Very well with the advisers on the phone.
On the other hand, the quote on the website is scalable and does not allow the contract to be finalized correctly. It is surprising that changing the mileage cursor and going back does not allow you to find the s"&amp;"ame insurance price.")</f>
        <v>Very well with the advisers on the phone.
On the other hand, the quote on the website is scalable and does not allow the contract to be finalized correctly. It is surprising that changing the mileage cursor and going back does not allow you to find the same insurance price.</v>
      </c>
    </row>
    <row r="636" ht="15.75" customHeight="1">
      <c r="A636" s="3">
        <v>5.0</v>
      </c>
      <c r="B636" s="3" t="s">
        <v>1853</v>
      </c>
      <c r="C636" s="3" t="s">
        <v>1854</v>
      </c>
      <c r="D636" s="3" t="s">
        <v>13</v>
      </c>
      <c r="E636" s="3" t="s">
        <v>14</v>
      </c>
      <c r="F636" s="3" t="s">
        <v>15</v>
      </c>
      <c r="G636" s="3" t="s">
        <v>1545</v>
      </c>
      <c r="H636" s="3" t="s">
        <v>17</v>
      </c>
      <c r="I636" s="3" t="str">
        <f>IFERROR(__xludf.DUMMYFUNCTION("GOOGLETRANSLATE(C636,""fr"",""en"")"),"I am satisfied with the services and the reception of very clear and detailed advisers with very wise advice. I recommend the olive assurance")</f>
        <v>I am satisfied with the services and the reception of very clear and detailed advisers with very wise advice. I recommend the olive assurance</v>
      </c>
    </row>
    <row r="637" ht="15.75" customHeight="1">
      <c r="A637" s="3">
        <v>4.0</v>
      </c>
      <c r="B637" s="3" t="s">
        <v>1855</v>
      </c>
      <c r="C637" s="3" t="s">
        <v>1856</v>
      </c>
      <c r="D637" s="3" t="s">
        <v>13</v>
      </c>
      <c r="E637" s="3" t="s">
        <v>14</v>
      </c>
      <c r="F637" s="3" t="s">
        <v>15</v>
      </c>
      <c r="G637" s="3" t="s">
        <v>865</v>
      </c>
      <c r="H637" s="3" t="s">
        <v>115</v>
      </c>
      <c r="I637" s="3" t="str">
        <f>IFERROR(__xludf.DUMMYFUNCTION("GOOGLETRANSLATE(C637,""fr"",""en"")"),"Your price challenges competition, rapid and efficient formality.
On the other hand, the televisional officers speak very quickly and it is difficult to ""place one"", but very polite and responsive.
No waiting during the call, very appreciable.")</f>
        <v>Your price challenges competition, rapid and efficient formality.
On the other hand, the televisional officers speak very quickly and it is difficult to "place one", but very polite and responsive.
No waiting during the call, very appreciable.</v>
      </c>
    </row>
    <row r="638" ht="15.75" customHeight="1">
      <c r="A638" s="3">
        <v>1.0</v>
      </c>
      <c r="B638" s="3" t="s">
        <v>1857</v>
      </c>
      <c r="C638" s="3" t="s">
        <v>1858</v>
      </c>
      <c r="D638" s="3" t="s">
        <v>214</v>
      </c>
      <c r="E638" s="3" t="s">
        <v>98</v>
      </c>
      <c r="F638" s="3" t="s">
        <v>15</v>
      </c>
      <c r="G638" s="3" t="s">
        <v>1859</v>
      </c>
      <c r="H638" s="3" t="s">
        <v>207</v>
      </c>
      <c r="I638" s="3" t="str">
        <f>IFERROR(__xludf.DUMMYFUNCTION("GOOGLETRANSLATE(C638,""fr"",""en"")"),"that reimbursement errors he claims you 1 year after 21 euros because reimbursed for me it is a business mutual therefore compulsory I would be retired in September 2017 and I saw them immediately by speaking with work colleagues I am not the only one in "&amp;"this case it should do training to learn to work properly")</f>
        <v>that reimbursement errors he claims you 1 year after 21 euros because reimbursed for me it is a business mutual therefore compulsory I would be retired in September 2017 and I saw them immediately by speaking with work colleagues I am not the only one in this case it should do training to learn to work properly</v>
      </c>
    </row>
    <row r="639" ht="15.75" customHeight="1">
      <c r="A639" s="3">
        <v>3.0</v>
      </c>
      <c r="B639" s="3" t="s">
        <v>1860</v>
      </c>
      <c r="C639" s="3" t="s">
        <v>1861</v>
      </c>
      <c r="D639" s="3" t="s">
        <v>13</v>
      </c>
      <c r="E639" s="3" t="s">
        <v>14</v>
      </c>
      <c r="F639" s="3" t="s">
        <v>15</v>
      </c>
      <c r="G639" s="3" t="s">
        <v>1862</v>
      </c>
      <c r="H639" s="3" t="s">
        <v>44</v>
      </c>
      <c r="I639" s="3" t="str">
        <f>IFERROR(__xludf.DUMMYFUNCTION("GOOGLETRANSLATE(C639,""fr"",""en"")"),"Prices suit me. To see the attention paid later.
The telephone call was very good. The site seems easy to use.
To see later the support in the event of claims")</f>
        <v>Prices suit me. To see the attention paid later.
The telephone call was very good. The site seems easy to use.
To see later the support in the event of claims</v>
      </c>
    </row>
    <row r="640" ht="15.75" customHeight="1">
      <c r="A640" s="3">
        <v>3.0</v>
      </c>
      <c r="B640" s="3" t="s">
        <v>1863</v>
      </c>
      <c r="C640" s="3" t="s">
        <v>1864</v>
      </c>
      <c r="D640" s="3" t="s">
        <v>13</v>
      </c>
      <c r="E640" s="3" t="s">
        <v>14</v>
      </c>
      <c r="F640" s="3" t="s">
        <v>15</v>
      </c>
      <c r="G640" s="3" t="s">
        <v>645</v>
      </c>
      <c r="H640" s="3" t="s">
        <v>23</v>
      </c>
      <c r="I640" s="3" t="str">
        <f>IFERROR(__xludf.DUMMYFUNCTION("GOOGLETRANSLATE(C640,""fr"",""en"")"),"Too much negative feedback on this insurance company.
Very negative returns on the Internet as well.
Too much negative feedback on this insurance company.
Very negative returns on the Internet as well.")</f>
        <v>Too much negative feedback on this insurance company.
Very negative returns on the Internet as well.
Too much negative feedback on this insurance company.
Very negative returns on the Internet as well.</v>
      </c>
    </row>
    <row r="641" ht="15.75" customHeight="1">
      <c r="A641" s="3">
        <v>2.0</v>
      </c>
      <c r="B641" s="3" t="s">
        <v>1865</v>
      </c>
      <c r="C641" s="3" t="s">
        <v>1866</v>
      </c>
      <c r="D641" s="3" t="s">
        <v>32</v>
      </c>
      <c r="E641" s="3" t="s">
        <v>14</v>
      </c>
      <c r="F641" s="3" t="s">
        <v>15</v>
      </c>
      <c r="G641" s="3" t="s">
        <v>1291</v>
      </c>
      <c r="H641" s="3" t="s">
        <v>207</v>
      </c>
      <c r="I641" s="3" t="str">
        <f>IFERROR(__xludf.DUMMYFUNCTION("GOOGLETRANSLATE(C641,""fr"",""en"")"),"An insurer who favors new customers but does not take into account good drivers. Prefers to let her former members leave instead of retaining them.")</f>
        <v>An insurer who favors new customers but does not take into account good drivers. Prefers to let her former members leave instead of retaining them.</v>
      </c>
    </row>
    <row r="642" ht="15.75" customHeight="1">
      <c r="A642" s="3">
        <v>1.0</v>
      </c>
      <c r="B642" s="3" t="s">
        <v>1867</v>
      </c>
      <c r="C642" s="3" t="s">
        <v>1868</v>
      </c>
      <c r="D642" s="3" t="s">
        <v>251</v>
      </c>
      <c r="E642" s="3" t="s">
        <v>27</v>
      </c>
      <c r="F642" s="3" t="s">
        <v>15</v>
      </c>
      <c r="G642" s="3" t="s">
        <v>1726</v>
      </c>
      <c r="H642" s="3" t="s">
        <v>248</v>
      </c>
      <c r="I642" s="3" t="str">
        <f>IFERROR(__xludf.DUMMYFUNCTION("GOOGLETRANSLATE(C642,""fr"",""en"")"),"Cardif a nightmare. It starts with the medical service that harass you with mail and it is working with management monitoring or contributions change after 3 months for a reason of € 71 to € 339")</f>
        <v>Cardif a nightmare. It starts with the medical service that harass you with mail and it is working with management monitoring or contributions change after 3 months for a reason of € 71 to € 339</v>
      </c>
    </row>
    <row r="643" ht="15.75" customHeight="1">
      <c r="A643" s="3">
        <v>4.0</v>
      </c>
      <c r="B643" s="3" t="s">
        <v>1869</v>
      </c>
      <c r="C643" s="3" t="s">
        <v>1870</v>
      </c>
      <c r="D643" s="3" t="s">
        <v>384</v>
      </c>
      <c r="E643" s="3" t="s">
        <v>21</v>
      </c>
      <c r="F643" s="3" t="s">
        <v>15</v>
      </c>
      <c r="G643" s="3" t="s">
        <v>1871</v>
      </c>
      <c r="H643" s="3" t="s">
        <v>149</v>
      </c>
      <c r="I643" s="3" t="str">
        <f>IFERROR(__xludf.DUMMYFUNCTION("GOOGLETRANSLATE(C643,""fr"",""en"")"),"Clear and efficient service.
A quick and simple online registration.
Interesting price.
Customer service is available and professional. He quickly answers questions. I really recommend.")</f>
        <v>Clear and efficient service.
A quick and simple online registration.
Interesting price.
Customer service is available and professional. He quickly answers questions. I really recommend.</v>
      </c>
    </row>
    <row r="644" ht="15.75" customHeight="1">
      <c r="A644" s="3">
        <v>1.0</v>
      </c>
      <c r="B644" s="3" t="s">
        <v>1872</v>
      </c>
      <c r="C644" s="3" t="s">
        <v>1873</v>
      </c>
      <c r="D644" s="3" t="s">
        <v>81</v>
      </c>
      <c r="E644" s="3" t="s">
        <v>33</v>
      </c>
      <c r="F644" s="3" t="s">
        <v>15</v>
      </c>
      <c r="G644" s="3" t="s">
        <v>1874</v>
      </c>
      <c r="H644" s="3" t="s">
        <v>35</v>
      </c>
      <c r="I644" s="3" t="str">
        <f>IFERROR(__xludf.DUMMYFUNCTION("GOOGLETRANSLATE(C644,""fr"",""en"")"),"After a claim 1 month ago
Meeting with the expert 1 month after the loss of sinister
Amount evaluated at least
Despite several messages sent to the Macif I was never recalled
Macif has no consideration for its insured")</f>
        <v>After a claim 1 month ago
Meeting with the expert 1 month after the loss of sinister
Amount evaluated at least
Despite several messages sent to the Macif I was never recalled
Macif has no consideration for its insured</v>
      </c>
    </row>
    <row r="645" ht="15.75" customHeight="1">
      <c r="A645" s="3">
        <v>1.0</v>
      </c>
      <c r="B645" s="3" t="s">
        <v>1875</v>
      </c>
      <c r="C645" s="3" t="s">
        <v>1876</v>
      </c>
      <c r="D645" s="3" t="s">
        <v>81</v>
      </c>
      <c r="E645" s="3" t="s">
        <v>33</v>
      </c>
      <c r="F645" s="3" t="s">
        <v>15</v>
      </c>
      <c r="G645" s="3" t="s">
        <v>1877</v>
      </c>
      <c r="H645" s="3" t="s">
        <v>142</v>
      </c>
      <c r="I645" s="3" t="str">
        <f>IFERROR(__xludf.DUMMYFUNCTION("GOOGLETRANSLATE(C645,""fr"",""en"")"),"My mother -in -law died in the fire of her apartment. It took approximately 1 year and a half to obtain compensation repaired by the apartment. No compassion, written or words. Total inertia and probably ordered from the so -called experts. Mutual to flee"&amp;" despite more than 30 years of loyalty")</f>
        <v>My mother -in -law died in the fire of her apartment. It took approximately 1 year and a half to obtain compensation repaired by the apartment. No compassion, written or words. Total inertia and probably ordered from the so -called experts. Mutual to flee despite more than 30 years of loyalty</v>
      </c>
    </row>
    <row r="646" ht="15.75" customHeight="1">
      <c r="A646" s="3">
        <v>1.0</v>
      </c>
      <c r="B646" s="3" t="s">
        <v>1878</v>
      </c>
      <c r="C646" s="3" t="s">
        <v>1879</v>
      </c>
      <c r="D646" s="3" t="s">
        <v>42</v>
      </c>
      <c r="E646" s="3" t="s">
        <v>14</v>
      </c>
      <c r="F646" s="3" t="s">
        <v>15</v>
      </c>
      <c r="G646" s="3" t="s">
        <v>1880</v>
      </c>
      <c r="H646" s="3" t="s">
        <v>44</v>
      </c>
      <c r="I646" s="3" t="str">
        <f>IFERROR(__xludf.DUMMYFUNCTION("GOOGLETRANSLATE(C646,""fr"",""en"")"),"Your site is very opaque and you have to search to find important information.
I just saw that my insurance increases by € 70 compared to 2020 (without accidents). I cannot update my contract concerning my daughter who has just had her driving license an"&amp;"d is no longer in accompanied driving.
So no I'm not satisfied!")</f>
        <v>Your site is very opaque and you have to search to find important information.
I just saw that my insurance increases by € 70 compared to 2020 (without accidents). I cannot update my contract concerning my daughter who has just had her driving license and is no longer in accompanied driving.
So no I'm not satisfied!</v>
      </c>
    </row>
    <row r="647" ht="15.75" customHeight="1">
      <c r="A647" s="3">
        <v>2.0</v>
      </c>
      <c r="B647" s="3" t="s">
        <v>1881</v>
      </c>
      <c r="C647" s="3" t="s">
        <v>1882</v>
      </c>
      <c r="D647" s="3" t="s">
        <v>42</v>
      </c>
      <c r="E647" s="3" t="s">
        <v>14</v>
      </c>
      <c r="F647" s="3" t="s">
        <v>15</v>
      </c>
      <c r="G647" s="3" t="s">
        <v>1883</v>
      </c>
      <c r="H647" s="3" t="s">
        <v>207</v>
      </c>
      <c r="I647" s="3" t="str">
        <f>IFERROR(__xludf.DUMMYFUNCTION("GOOGLETRANSLATE(C647,""fr"",""en"")"),"A truly abused waiting time
It's been more than an hour lost without having someone at the end of the line !!!!!
It's really abused !!!!!!!!!!!!!!!!!!!!!!!!!!!!!!!!!!!!!!!!!!!!!!! !!!!!!!!!!!!!!!!!!")</f>
        <v>A truly abused waiting time
It's been more than an hour lost without having someone at the end of the line !!!!!
It's really abused !!!!!!!!!!!!!!!!!!!!!!!!!!!!!!!!!!!!!!!!!!!!!!! !!!!!!!!!!!!!!!!!!</v>
      </c>
    </row>
    <row r="648" ht="15.75" customHeight="1">
      <c r="A648" s="3">
        <v>1.0</v>
      </c>
      <c r="B648" s="3" t="s">
        <v>1884</v>
      </c>
      <c r="C648" s="3" t="s">
        <v>1885</v>
      </c>
      <c r="D648" s="3" t="s">
        <v>251</v>
      </c>
      <c r="E648" s="3" t="s">
        <v>311</v>
      </c>
      <c r="F648" s="3" t="s">
        <v>15</v>
      </c>
      <c r="G648" s="3" t="s">
        <v>1886</v>
      </c>
      <c r="H648" s="3" t="s">
        <v>184</v>
      </c>
      <c r="I648" s="3" t="str">
        <f>IFERROR(__xludf.DUMMYFUNCTION("GOOGLETRANSLATE(C648,""fr"",""en"")"),"Hello, following a purchase of Audi A3 car in 2014 my parents had confidently subscribed to death insurance. My father died on August 2, 2016. CBP Cardif led me by boat for 6 months with requests for documents to finally refuse reimbursement; The reason h"&amp;"e took a treatment when subscribing, the latter made without medical demand, and his death is natural so not related to his treatment. I am looking for similar cases to bring together our forces is to set up a complete file
No trouble that Cardif answers"&amp;" me with a boat response as she does on this site")</f>
        <v>Hello, following a purchase of Audi A3 car in 2014 my parents had confidently subscribed to death insurance. My father died on August 2, 2016. CBP Cardif led me by boat for 6 months with requests for documents to finally refuse reimbursement; The reason he took a treatment when subscribing, the latter made without medical demand, and his death is natural so not related to his treatment. I am looking for similar cases to bring together our forces is to set up a complete file
No trouble that Cardif answers me with a boat response as she does on this site</v>
      </c>
    </row>
    <row r="649" ht="15.75" customHeight="1">
      <c r="A649" s="3">
        <v>4.0</v>
      </c>
      <c r="B649" s="3" t="s">
        <v>1887</v>
      </c>
      <c r="C649" s="3" t="s">
        <v>1888</v>
      </c>
      <c r="D649" s="3" t="s">
        <v>13</v>
      </c>
      <c r="E649" s="3" t="s">
        <v>14</v>
      </c>
      <c r="F649" s="3" t="s">
        <v>15</v>
      </c>
      <c r="G649" s="3" t="s">
        <v>43</v>
      </c>
      <c r="H649" s="3" t="s">
        <v>44</v>
      </c>
      <c r="I649" s="3" t="str">
        <f>IFERROR(__xludf.DUMMYFUNCTION("GOOGLETRANSLATE(C649,""fr"",""en"")"),"I am satisfied with prices and insurance, I already have two insurance at the olive tree, I recommend this insurance to all my friends not that the insurance risc suits me with this price")</f>
        <v>I am satisfied with prices and insurance, I already have two insurance at the olive tree, I recommend this insurance to all my friends not that the insurance risc suits me with this price</v>
      </c>
    </row>
    <row r="650" ht="15.75" customHeight="1">
      <c r="A650" s="3">
        <v>2.0</v>
      </c>
      <c r="B650" s="3" t="s">
        <v>1889</v>
      </c>
      <c r="C650" s="3" t="s">
        <v>1890</v>
      </c>
      <c r="D650" s="3" t="s">
        <v>509</v>
      </c>
      <c r="E650" s="3" t="s">
        <v>33</v>
      </c>
      <c r="F650" s="3" t="s">
        <v>15</v>
      </c>
      <c r="G650" s="3" t="s">
        <v>44</v>
      </c>
      <c r="H650" s="3" t="s">
        <v>44</v>
      </c>
      <c r="I650" s="3" t="str">
        <f>IFERROR(__xludf.DUMMYFUNCTION("GOOGLETRANSLATE(C650,""fr"",""en"")"),"6 months in a few days that our disaster fire took place and still not the slightest compensation proposal from the MAAF despite the fact that the investigations and the reports of experts are established ...
Thank you the maaf for your responsiveness! A"&amp;"nd thank you to our Maaf advisor to Orvault! ??
How long will we still have to wait ??? ??")</f>
        <v>6 months in a few days that our disaster fire took place and still not the slightest compensation proposal from the MAAF despite the fact that the investigations and the reports of experts are established ...
Thank you the maaf for your responsiveness! And thank you to our Maaf advisor to Orvault! ??
How long will we still have to wait ??? ??</v>
      </c>
    </row>
    <row r="651" ht="15.75" customHeight="1">
      <c r="A651" s="3">
        <v>2.0</v>
      </c>
      <c r="B651" s="3" t="s">
        <v>1891</v>
      </c>
      <c r="C651" s="3" t="s">
        <v>1892</v>
      </c>
      <c r="D651" s="3" t="s">
        <v>13</v>
      </c>
      <c r="E651" s="3" t="s">
        <v>14</v>
      </c>
      <c r="F651" s="3" t="s">
        <v>15</v>
      </c>
      <c r="G651" s="3" t="s">
        <v>1893</v>
      </c>
      <c r="H651" s="3" t="s">
        <v>341</v>
      </c>
      <c r="I651" s="3" t="str">
        <f>IFERROR(__xludf.DUMMYFUNCTION("GOOGLETRANSLATE(C651,""fr"",""en"")"),"very disappointed ! Since December 27, I am waiting for my green card I was just told twice that my file was being processed, I pay however every month. I have also done the change of bank domiciliation and the same for 2 months of results.")</f>
        <v>very disappointed ! Since December 27, I am waiting for my green card I was just told twice that my file was being processed, I pay however every month. I have also done the change of bank domiciliation and the same for 2 months of results.</v>
      </c>
    </row>
    <row r="652" ht="15.75" customHeight="1">
      <c r="A652" s="3">
        <v>3.0</v>
      </c>
      <c r="B652" s="3" t="s">
        <v>1894</v>
      </c>
      <c r="C652" s="3" t="s">
        <v>1895</v>
      </c>
      <c r="D652" s="3" t="s">
        <v>42</v>
      </c>
      <c r="E652" s="3" t="s">
        <v>14</v>
      </c>
      <c r="F652" s="3" t="s">
        <v>15</v>
      </c>
      <c r="G652" s="3" t="s">
        <v>1459</v>
      </c>
      <c r="H652" s="3" t="s">
        <v>86</v>
      </c>
      <c r="I652" s="3" t="str">
        <f>IFERROR(__xludf.DUMMYFUNCTION("GOOGLETRANSLATE(C652,""fr"",""en"")"),"For the moment I am starting with you. In any case the young man was very kind and attentive and thanks to him I immediately subscribed my contract
")</f>
        <v>For the moment I am starting with you. In any case the young man was very kind and attentive and thanks to him I immediately subscribed my contract
</v>
      </c>
    </row>
    <row r="653" ht="15.75" customHeight="1">
      <c r="A653" s="3">
        <v>1.0</v>
      </c>
      <c r="B653" s="3" t="s">
        <v>1896</v>
      </c>
      <c r="C653" s="3" t="s">
        <v>1897</v>
      </c>
      <c r="D653" s="3" t="s">
        <v>214</v>
      </c>
      <c r="E653" s="3" t="s">
        <v>98</v>
      </c>
      <c r="F653" s="3" t="s">
        <v>15</v>
      </c>
      <c r="G653" s="3" t="s">
        <v>1898</v>
      </c>
      <c r="H653" s="3" t="s">
        <v>321</v>
      </c>
      <c r="I653" s="3" t="str">
        <f>IFERROR(__xludf.DUMMYFUNCTION("GOOGLETRANSLATE(C653,""fr"",""en"")"),"I simply ask for the termination of my contract that I have requested as a recommended letter since 06.12.2019 and 07.02.2020 to date none of its requests or taking into account so I ask you once again respect for the Chatel laws.")</f>
        <v>I simply ask for the termination of my contract that I have requested as a recommended letter since 06.12.2019 and 07.02.2020 to date none of its requests or taking into account so I ask you once again respect for the Chatel laws.</v>
      </c>
    </row>
    <row r="654" ht="15.75" customHeight="1">
      <c r="A654" s="3">
        <v>5.0</v>
      </c>
      <c r="B654" s="3" t="s">
        <v>1899</v>
      </c>
      <c r="C654" s="3" t="s">
        <v>1900</v>
      </c>
      <c r="D654" s="3" t="s">
        <v>20</v>
      </c>
      <c r="E654" s="3" t="s">
        <v>21</v>
      </c>
      <c r="F654" s="3" t="s">
        <v>15</v>
      </c>
      <c r="G654" s="3" t="s">
        <v>198</v>
      </c>
      <c r="H654" s="3" t="s">
        <v>75</v>
      </c>
      <c r="I654" s="3" t="str">
        <f>IFERROR(__xludf.DUMMYFUNCTION("GOOGLETRANSLATE(C654,""fr"",""en"")"),"I am very happy to be part of your group I would like to know if you could send me my insurance for the motorcycle at my postal address' M Corbin Christophe rue Due Général Pol Dupy Btm10 Aptm2 L'Arche 16000 Angoulême Thank you")</f>
        <v>I am very happy to be part of your group I would like to know if you could send me my insurance for the motorcycle at my postal address' M Corbin Christophe rue Due Général Pol Dupy Btm10 Aptm2 L'Arche 16000 Angoulême Thank you</v>
      </c>
    </row>
    <row r="655" ht="15.75" customHeight="1">
      <c r="A655" s="3">
        <v>4.0</v>
      </c>
      <c r="B655" s="3" t="s">
        <v>1901</v>
      </c>
      <c r="C655" s="3" t="s">
        <v>1902</v>
      </c>
      <c r="D655" s="3" t="s">
        <v>42</v>
      </c>
      <c r="E655" s="3" t="s">
        <v>14</v>
      </c>
      <c r="F655" s="3" t="s">
        <v>15</v>
      </c>
      <c r="G655" s="3" t="s">
        <v>172</v>
      </c>
      <c r="H655" s="3" t="s">
        <v>115</v>
      </c>
      <c r="I655" s="3" t="str">
        <f>IFERROR(__xludf.DUMMYFUNCTION("GOOGLETRANSLATE(C655,""fr"",""en"")"),"A very attractive price offer, with products adapted to your budget
The contract is very well explained, the guarantee options or extensions are very good.")</f>
        <v>A very attractive price offer, with products adapted to your budget
The contract is very well explained, the guarantee options or extensions are very good.</v>
      </c>
    </row>
    <row r="656" ht="15.75" customHeight="1">
      <c r="A656" s="3">
        <v>2.0</v>
      </c>
      <c r="B656" s="3" t="s">
        <v>1903</v>
      </c>
      <c r="C656" s="3" t="s">
        <v>1904</v>
      </c>
      <c r="D656" s="3" t="s">
        <v>32</v>
      </c>
      <c r="E656" s="3" t="s">
        <v>33</v>
      </c>
      <c r="F656" s="3" t="s">
        <v>15</v>
      </c>
      <c r="G656" s="3" t="s">
        <v>1905</v>
      </c>
      <c r="H656" s="3" t="s">
        <v>551</v>
      </c>
      <c r="I656" s="3" t="str">
        <f>IFERROR(__xludf.DUMMYFUNCTION("GOOGLETRANSLATE(C656,""fr"",""en"")"),"Unreachable and incompetent sinister service. 6 months spent without door following a burglary. I have to do all the steps myself and send them the quotes of the providers and wait 1 hour on the phone to have an answer. I have never dealt with such a bad "&amp;"service.")</f>
        <v>Unreachable and incompetent sinister service. 6 months spent without door following a burglary. I have to do all the steps myself and send them the quotes of the providers and wait 1 hour on the phone to have an answer. I have never dealt with such a bad service.</v>
      </c>
    </row>
    <row r="657" ht="15.75" customHeight="1">
      <c r="A657" s="3">
        <v>1.0</v>
      </c>
      <c r="B657" s="3" t="s">
        <v>1906</v>
      </c>
      <c r="C657" s="3" t="s">
        <v>1907</v>
      </c>
      <c r="D657" s="3" t="s">
        <v>97</v>
      </c>
      <c r="E657" s="3" t="s">
        <v>98</v>
      </c>
      <c r="F657" s="3" t="s">
        <v>15</v>
      </c>
      <c r="G657" s="3" t="s">
        <v>70</v>
      </c>
      <c r="H657" s="3" t="s">
        <v>71</v>
      </c>
      <c r="I657" s="3" t="str">
        <f>IFERROR(__xludf.DUMMYFUNCTION("GOOGLETRANSLATE(C657,""fr"",""en"")"),"Insurance too dear waiting period Reimbursement too long and impossible to have a correspondent in the event of a dispute. disappointed by the services of this insurer")</f>
        <v>Insurance too dear waiting period Reimbursement too long and impossible to have a correspondent in the event of a dispute. disappointed by the services of this insurer</v>
      </c>
    </row>
    <row r="658" ht="15.75" customHeight="1">
      <c r="A658" s="3">
        <v>1.0</v>
      </c>
      <c r="B658" s="3" t="s">
        <v>1908</v>
      </c>
      <c r="C658" s="3" t="s">
        <v>1909</v>
      </c>
      <c r="D658" s="3" t="s">
        <v>81</v>
      </c>
      <c r="E658" s="3" t="s">
        <v>14</v>
      </c>
      <c r="F658" s="3" t="s">
        <v>15</v>
      </c>
      <c r="G658" s="3" t="s">
        <v>1910</v>
      </c>
      <c r="H658" s="3" t="s">
        <v>17</v>
      </c>
      <c r="I658" s="3" t="str">
        <f>IFERROR(__xludf.DUMMYFUNCTION("GOOGLETRANSLATE(C658,""fr"",""en"")"),"I just spent 46 minute pending and always no one bravos
Felicition I block my levies while waiting for you to call me
Cordially")</f>
        <v>I just spent 46 minute pending and always no one bravos
Felicition I block my levies while waiting for you to call me
Cordially</v>
      </c>
    </row>
    <row r="659" ht="15.75" customHeight="1">
      <c r="A659" s="3">
        <v>2.0</v>
      </c>
      <c r="B659" s="3" t="s">
        <v>1911</v>
      </c>
      <c r="C659" s="3" t="s">
        <v>1912</v>
      </c>
      <c r="D659" s="3" t="s">
        <v>466</v>
      </c>
      <c r="E659" s="3" t="s">
        <v>33</v>
      </c>
      <c r="F659" s="3" t="s">
        <v>15</v>
      </c>
      <c r="G659" s="3" t="s">
        <v>860</v>
      </c>
      <c r="H659" s="3" t="s">
        <v>44</v>
      </c>
      <c r="I659" s="3" t="str">
        <f>IFERROR(__xludf.DUMMYFUNCTION("GOOGLETRANSLATE(C659,""fr"",""en"")"),"Following a water damage occurred during confinement, I relaunched the Matmut in early June because not yet vaccinated it was out of the question to bring people to my house. If the staff of the Poissy agency is always very friendly and available, the sin"&amp;"ister service does not really move and indicates to me various and varied information according to my interlocutors.
 The deadline of an expert (not planned at the base) has taken an incredible time and despite the urgency for the handing over the keys, "&amp;"it would be available only after my departure, which will prevent my owner from renting and will put me In the overhang with risks not being able to recover my deposit and a bad image of me.
I have 3 insurance still at home, my ex and a health option f"&amp;"or my daughter as well as my new home, I will terminate respecting the deadlines and encourage you to do the same before the arrival of a disaster.")</f>
        <v>Following a water damage occurred during confinement, I relaunched the Matmut in early June because not yet vaccinated it was out of the question to bring people to my house. If the staff of the Poissy agency is always very friendly and available, the sinister service does not really move and indicates to me various and varied information according to my interlocutors.
 The deadline of an expert (not planned at the base) has taken an incredible time and despite the urgency for the handing over the keys, it would be available only after my departure, which will prevent my owner from renting and will put me In the overhang with risks not being able to recover my deposit and a bad image of me.
I have 3 insurance still at home, my ex and a health option for my daughter as well as my new home, I will terminate respecting the deadlines and encourage you to do the same before the arrival of a disaster.</v>
      </c>
    </row>
    <row r="660" ht="15.75" customHeight="1">
      <c r="A660" s="3">
        <v>5.0</v>
      </c>
      <c r="B660" s="3" t="s">
        <v>1913</v>
      </c>
      <c r="C660" s="3" t="s">
        <v>1914</v>
      </c>
      <c r="D660" s="3" t="s">
        <v>13</v>
      </c>
      <c r="E660" s="3" t="s">
        <v>14</v>
      </c>
      <c r="F660" s="3" t="s">
        <v>15</v>
      </c>
      <c r="G660" s="3" t="s">
        <v>528</v>
      </c>
      <c r="H660" s="3" t="s">
        <v>86</v>
      </c>
      <c r="I660" s="3" t="str">
        <f>IFERROR(__xludf.DUMMYFUNCTION("GOOGLETRANSLATE(C660,""fr"",""en"")"),"I am very satisfied with prices, offers and very attentive. It's very simple and I will recommend knowledge.
Thank you very much for patience.
")</f>
        <v>I am very satisfied with prices, offers and very attentive. It's very simple and I will recommend knowledge.
Thank you very much for patience.
</v>
      </c>
    </row>
    <row r="661" ht="15.75" customHeight="1">
      <c r="A661" s="3">
        <v>1.0</v>
      </c>
      <c r="B661" s="3" t="s">
        <v>1915</v>
      </c>
      <c r="C661" s="3" t="s">
        <v>1916</v>
      </c>
      <c r="D661" s="3" t="s">
        <v>674</v>
      </c>
      <c r="E661" s="3" t="s">
        <v>194</v>
      </c>
      <c r="F661" s="3" t="s">
        <v>15</v>
      </c>
      <c r="G661" s="3" t="s">
        <v>1121</v>
      </c>
      <c r="H661" s="3" t="s">
        <v>898</v>
      </c>
      <c r="I661" s="3" t="str">
        <f>IFERROR(__xludf.DUMMYFUNCTION("GOOGLETRANSLATE(C661,""fr"",""en"")"),"To flee this insurance. I broke one foot by falling stairs, well for them it is not part of accidents, so no care on their part on my real estate loan. It is a platform that manages the file. He asks us to reconstruct the whole file I say whole, health qu"&amp;"estionnaire, loan, price offer etc. And all this to tell you that I am not covered scandalous, why take insurance under these conditions!")</f>
        <v>To flee this insurance. I broke one foot by falling stairs, well for them it is not part of accidents, so no care on their part on my real estate loan. It is a platform that manages the file. He asks us to reconstruct the whole file I say whole, health questionnaire, loan, price offer etc. And all this to tell you that I am not covered scandalous, why take insurance under these conditions!</v>
      </c>
    </row>
    <row r="662" ht="15.75" customHeight="1">
      <c r="A662" s="3">
        <v>2.0</v>
      </c>
      <c r="B662" s="3" t="s">
        <v>1917</v>
      </c>
      <c r="C662" s="3" t="s">
        <v>1918</v>
      </c>
      <c r="D662" s="3" t="s">
        <v>42</v>
      </c>
      <c r="E662" s="3" t="s">
        <v>14</v>
      </c>
      <c r="F662" s="3" t="s">
        <v>15</v>
      </c>
      <c r="G662" s="3" t="s">
        <v>1329</v>
      </c>
      <c r="H662" s="3" t="s">
        <v>86</v>
      </c>
      <c r="I662" s="3" t="str">
        <f>IFERROR(__xludf.DUMMYFUNCTION("GOOGLETRANSLATE(C662,""fr"",""en"")"),"I find it a shame to be penalized in terms of the price of the contribution by considering myself as a risk driver at that the 2 accidents I had, were not my fault.")</f>
        <v>I find it a shame to be penalized in terms of the price of the contribution by considering myself as a risk driver at that the 2 accidents I had, were not my fault.</v>
      </c>
    </row>
    <row r="663" ht="15.75" customHeight="1">
      <c r="A663" s="3">
        <v>2.0</v>
      </c>
      <c r="B663" s="3" t="s">
        <v>1919</v>
      </c>
      <c r="C663" s="3" t="s">
        <v>1920</v>
      </c>
      <c r="D663" s="3" t="s">
        <v>140</v>
      </c>
      <c r="E663" s="3" t="s">
        <v>98</v>
      </c>
      <c r="F663" s="3" t="s">
        <v>15</v>
      </c>
      <c r="G663" s="3" t="s">
        <v>1921</v>
      </c>
      <c r="H663" s="3" t="s">
        <v>270</v>
      </c>
      <c r="I663" s="3" t="str">
        <f>IFERROR(__xludf.DUMMYFUNCTION("GOOGLETRANSLATE(C663,""fr"",""en"")"),"Hello
Dissatisfied because at the time of membership I can be believed
I have never received anything, sending several unanswered emails, several calls telling me that it will come, a month and a half later, I still have nothing
Customer service and in"&amp;"correct quality with respect to members")</f>
        <v>Hello
Dissatisfied because at the time of membership I can be believed
I have never received anything, sending several unanswered emails, several calls telling me that it will come, a month and a half later, I still have nothing
Customer service and incorrect quality with respect to members</v>
      </c>
    </row>
    <row r="664" ht="15.75" customHeight="1">
      <c r="A664" s="3">
        <v>5.0</v>
      </c>
      <c r="B664" s="3" t="s">
        <v>1922</v>
      </c>
      <c r="C664" s="3" t="s">
        <v>1923</v>
      </c>
      <c r="D664" s="3" t="s">
        <v>13</v>
      </c>
      <c r="E664" s="3" t="s">
        <v>14</v>
      </c>
      <c r="F664" s="3" t="s">
        <v>15</v>
      </c>
      <c r="G664" s="3" t="s">
        <v>1106</v>
      </c>
      <c r="H664" s="3" t="s">
        <v>165</v>
      </c>
      <c r="I664" s="3" t="str">
        <f>IFERROR(__xludf.DUMMYFUNCTION("GOOGLETRANSLATE(C664,""fr"",""en"")"),"Very satisfied with customer service, very fast and competent.
The prices are competitive
To see now in the long term
Thank you for the services")</f>
        <v>Very satisfied with customer service, very fast and competent.
The prices are competitive
To see now in the long term
Thank you for the services</v>
      </c>
    </row>
    <row r="665" ht="15.75" customHeight="1">
      <c r="A665" s="3">
        <v>5.0</v>
      </c>
      <c r="B665" s="3" t="s">
        <v>1924</v>
      </c>
      <c r="C665" s="3" t="s">
        <v>1925</v>
      </c>
      <c r="D665" s="3" t="s">
        <v>97</v>
      </c>
      <c r="E665" s="3" t="s">
        <v>98</v>
      </c>
      <c r="F665" s="3" t="s">
        <v>15</v>
      </c>
      <c r="G665" s="3" t="s">
        <v>699</v>
      </c>
      <c r="H665" s="3" t="s">
        <v>44</v>
      </c>
      <c r="I665" s="3" t="str">
        <f>IFERROR(__xludf.DUMMYFUNCTION("GOOGLETRANSLATE(C665,""fr"",""en"")"),"My request this day concerned an update of my file and the sending of my mutual card. Thank you very much Maria for your service and your responsiveness. Courteous and effective call. Request treated instantly. I'm satisfied.")</f>
        <v>My request this day concerned an update of my file and the sending of my mutual card. Thank you very much Maria for your service and your responsiveness. Courteous and effective call. Request treated instantly. I'm satisfied.</v>
      </c>
    </row>
    <row r="666" ht="15.75" customHeight="1">
      <c r="A666" s="3">
        <v>5.0</v>
      </c>
      <c r="B666" s="3" t="s">
        <v>1926</v>
      </c>
      <c r="C666" s="3" t="s">
        <v>1927</v>
      </c>
      <c r="D666" s="3" t="s">
        <v>509</v>
      </c>
      <c r="E666" s="3" t="s">
        <v>14</v>
      </c>
      <c r="F666" s="3" t="s">
        <v>15</v>
      </c>
      <c r="G666" s="3" t="s">
        <v>1680</v>
      </c>
      <c r="H666" s="3" t="s">
        <v>39</v>
      </c>
      <c r="I666" s="3" t="str">
        <f>IFERROR(__xludf.DUMMYFUNCTION("GOOGLETRANSLATE(C666,""fr"",""en"")"),"It's really a pleasure I saved they are extremely available and very professional responsive
So I also chose to take the mutual for my daughter at home also savings and a little better assured than it is Pacifica")</f>
        <v>It's really a pleasure I saved they are extremely available and very professional responsive
So I also chose to take the mutual for my daughter at home also savings and a little better assured than it is Pacifica</v>
      </c>
    </row>
    <row r="667" ht="15.75" customHeight="1">
      <c r="A667" s="3">
        <v>4.0</v>
      </c>
      <c r="B667" s="3" t="s">
        <v>1928</v>
      </c>
      <c r="C667" s="3" t="s">
        <v>1929</v>
      </c>
      <c r="D667" s="3" t="s">
        <v>89</v>
      </c>
      <c r="E667" s="3" t="s">
        <v>14</v>
      </c>
      <c r="F667" s="3" t="s">
        <v>15</v>
      </c>
      <c r="G667" s="3" t="s">
        <v>232</v>
      </c>
      <c r="H667" s="3" t="s">
        <v>91</v>
      </c>
      <c r="I667" s="3" t="str">
        <f>IFERROR(__xludf.DUMMYFUNCTION("GOOGLETRANSLATE(C667,""fr"",""en"")"),"The prices are not the lowest on the market but the service largely compensates for this difference.
It is mutual insurance that seeks to help the member the member at the maximum! A person is always listening to you in order to serve you at best. All th"&amp;"e claims I have had in 30 years of insurance have always been treated positively for me.")</f>
        <v>The prices are not the lowest on the market but the service largely compensates for this difference.
It is mutual insurance that seeks to help the member the member at the maximum! A person is always listening to you in order to serve you at best. All the claims I have had in 30 years of insurance have always been treated positively for me.</v>
      </c>
    </row>
    <row r="668" ht="15.75" customHeight="1">
      <c r="A668" s="3">
        <v>5.0</v>
      </c>
      <c r="B668" s="3" t="s">
        <v>1930</v>
      </c>
      <c r="C668" s="3" t="s">
        <v>1931</v>
      </c>
      <c r="D668" s="3" t="s">
        <v>103</v>
      </c>
      <c r="E668" s="3" t="s">
        <v>98</v>
      </c>
      <c r="F668" s="3" t="s">
        <v>15</v>
      </c>
      <c r="G668" s="3" t="s">
        <v>1932</v>
      </c>
      <c r="H668" s="3" t="s">
        <v>337</v>
      </c>
      <c r="I668" s="3" t="str">
        <f>IFERROR(__xludf.DUMMYFUNCTION("GOOGLETRANSLATE(C668,""fr"",""en"")"),"Excellent mutual. Very easy to contact. Very available advisers always listening to you remind you if necessary. The cost of insurance is justified in relation to the risks covered (complementary health and additional salary). Excellent price report. Very"&amp;" good care in general and in particular the additional salary. Refunds are fast. The support for the additional salary is rapid and the compensation is in accordance with the amounts provided for in the contract. I am very satisfied with the MGP and I rec"&amp;"ommend it without any hesitation.")</f>
        <v>Excellent mutual. Very easy to contact. Very available advisers always listening to you remind you if necessary. The cost of insurance is justified in relation to the risks covered (complementary health and additional salary). Excellent price report. Very good care in general and in particular the additional salary. Refunds are fast. The support for the additional salary is rapid and the compensation is in accordance with the amounts provided for in the contract. I am very satisfied with the MGP and I recommend it without any hesitation.</v>
      </c>
    </row>
    <row r="669" ht="15.75" customHeight="1">
      <c r="A669" s="3">
        <v>4.0</v>
      </c>
      <c r="B669" s="3" t="s">
        <v>1933</v>
      </c>
      <c r="C669" s="3" t="s">
        <v>1934</v>
      </c>
      <c r="D669" s="3" t="s">
        <v>42</v>
      </c>
      <c r="E669" s="3" t="s">
        <v>14</v>
      </c>
      <c r="F669" s="3" t="s">
        <v>15</v>
      </c>
      <c r="G669" s="3" t="s">
        <v>134</v>
      </c>
      <c r="H669" s="3" t="s">
        <v>86</v>
      </c>
      <c r="I669" s="3" t="str">
        <f>IFERROR(__xludf.DUMMYFUNCTION("GOOGLETRANSLATE(C669,""fr"",""en"")"),"I am satisfied with my contract. The prices are very correct. I was effectively advised. I will possibly recommend to friends. Thank you")</f>
        <v>I am satisfied with my contract. The prices are very correct. I was effectively advised. I will possibly recommend to friends. Thank you</v>
      </c>
    </row>
    <row r="670" ht="15.75" customHeight="1">
      <c r="A670" s="3">
        <v>4.0</v>
      </c>
      <c r="B670" s="3" t="s">
        <v>1935</v>
      </c>
      <c r="C670" s="3" t="s">
        <v>1936</v>
      </c>
      <c r="D670" s="3" t="s">
        <v>42</v>
      </c>
      <c r="E670" s="3" t="s">
        <v>14</v>
      </c>
      <c r="F670" s="3" t="s">
        <v>15</v>
      </c>
      <c r="G670" s="3" t="s">
        <v>1937</v>
      </c>
      <c r="H670" s="3" t="s">
        <v>86</v>
      </c>
      <c r="I670" s="3" t="str">
        <f>IFERROR(__xludf.DUMMYFUNCTION("GOOGLETRANSLATE(C670,""fr"",""en"")"),"Simple and practical. In general good follow -up of files at Direct Insurance.
Clear and easy to use site. Fast when examining the personal situation. Recommended.")</f>
        <v>Simple and practical. In general good follow -up of files at Direct Insurance.
Clear and easy to use site. Fast when examining the personal situation. Recommended.</v>
      </c>
    </row>
    <row r="671" ht="15.75" customHeight="1">
      <c r="A671" s="3">
        <v>2.0</v>
      </c>
      <c r="B671" s="3" t="s">
        <v>1938</v>
      </c>
      <c r="C671" s="3" t="s">
        <v>1939</v>
      </c>
      <c r="D671" s="3" t="s">
        <v>13</v>
      </c>
      <c r="E671" s="3" t="s">
        <v>14</v>
      </c>
      <c r="F671" s="3" t="s">
        <v>15</v>
      </c>
      <c r="G671" s="3" t="s">
        <v>1940</v>
      </c>
      <c r="H671" s="3" t="s">
        <v>517</v>
      </c>
      <c r="I671" s="3" t="str">
        <f>IFERROR(__xludf.DUMMYFUNCTION("GOOGLETRANSLATE(C671,""fr"",""en"")"),"Dropping a good customer (0 broken ice, 0 accident, always paying on time) for a new vehicle is that the olive tree does not want a vehicle because it is in ww, pff really disappointed")</f>
        <v>Dropping a good customer (0 broken ice, 0 accident, always paying on time) for a new vehicle is that the olive tree does not want a vehicle because it is in ww, pff really disappointed</v>
      </c>
    </row>
    <row r="672" ht="15.75" customHeight="1">
      <c r="A672" s="3">
        <v>2.0</v>
      </c>
      <c r="B672" s="3" t="s">
        <v>1941</v>
      </c>
      <c r="C672" s="3" t="s">
        <v>1942</v>
      </c>
      <c r="D672" s="3" t="s">
        <v>42</v>
      </c>
      <c r="E672" s="3" t="s">
        <v>14</v>
      </c>
      <c r="F672" s="3" t="s">
        <v>15</v>
      </c>
      <c r="G672" s="3" t="s">
        <v>385</v>
      </c>
      <c r="H672" s="3" t="s">
        <v>23</v>
      </c>
      <c r="I672" s="3" t="str">
        <f>IFERROR(__xludf.DUMMYFUNCTION("GOOGLETRANSLATE(C672,""fr"",""en"")"),"Insured at DA for over 10 years with bonus 50 for life. One day I have the misfortune to lend the car to a friend to do her shopping. She has a small hung. Without damage. The insurer claims me a deductible of € 2,000. My friend sends a check immediately."&amp;" Following several recovery to find out if one expert has passed and the other car had a repair. In fact no, the other car has nothing at all. She had no repair and no expert. I therefore ask for refund. I am told we have the right to keep the franchise f"&amp;"or 2 years. It's been 26 months now. Still no news. It's a box of M ... in addition they have the cheek to send me a letter to tell me that they no longer wanted to make sure. Never a hanging of my life and they allow themselves to turn me. Bonus 50 for l"&amp;"ife is pipo")</f>
        <v>Insured at DA for over 10 years with bonus 50 for life. One day I have the misfortune to lend the car to a friend to do her shopping. She has a small hung. Without damage. The insurer claims me a deductible of € 2,000. My friend sends a check immediately. Following several recovery to find out if one expert has passed and the other car had a repair. In fact no, the other car has nothing at all. She had no repair and no expert. I therefore ask for refund. I am told we have the right to keep the franchise for 2 years. It's been 26 months now. Still no news. It's a box of M ... in addition they have the cheek to send me a letter to tell me that they no longer wanted to make sure. Never a hanging of my life and they allow themselves to turn me. Bonus 50 for life is pipo</v>
      </c>
    </row>
    <row r="673" ht="15.75" customHeight="1">
      <c r="A673" s="3">
        <v>2.0</v>
      </c>
      <c r="B673" s="3" t="s">
        <v>1943</v>
      </c>
      <c r="C673" s="3" t="s">
        <v>1944</v>
      </c>
      <c r="D673" s="3" t="s">
        <v>42</v>
      </c>
      <c r="E673" s="3" t="s">
        <v>14</v>
      </c>
      <c r="F673" s="3" t="s">
        <v>15</v>
      </c>
      <c r="G673" s="3" t="s">
        <v>1760</v>
      </c>
      <c r="H673" s="3" t="s">
        <v>439</v>
      </c>
      <c r="I673" s="3" t="str">
        <f>IFERROR(__xludf.DUMMYFUNCTION("GOOGLETRANSLATE(C673,""fr"",""en"")"),"OK insurance for the KB price on the service.
No compensation following my vehicle theft, moreover, the fur fees are at my expense after more than 30 days of processing the file I paid a sum of 1,330 euros.")</f>
        <v>OK insurance for the KB price on the service.
No compensation following my vehicle theft, moreover, the fur fees are at my expense after more than 30 days of processing the file I paid a sum of 1,330 euros.</v>
      </c>
    </row>
    <row r="674" ht="15.75" customHeight="1">
      <c r="A674" s="3">
        <v>5.0</v>
      </c>
      <c r="B674" s="3" t="s">
        <v>1945</v>
      </c>
      <c r="C674" s="3" t="s">
        <v>1946</v>
      </c>
      <c r="D674" s="3" t="s">
        <v>42</v>
      </c>
      <c r="E674" s="3" t="s">
        <v>14</v>
      </c>
      <c r="F674" s="3" t="s">
        <v>15</v>
      </c>
      <c r="G674" s="3" t="s">
        <v>1363</v>
      </c>
      <c r="H674" s="3" t="s">
        <v>86</v>
      </c>
      <c r="I674" s="3" t="str">
        <f>IFERROR(__xludf.DUMMYFUNCTION("GOOGLETRANSLATE(C674,""fr"",""en"")"),"I am satisfied with the service, and the price suits me, as well as the ease of subscription by the Internet, and the clarity of the questions. They can be answered clearly.")</f>
        <v>I am satisfied with the service, and the price suits me, as well as the ease of subscription by the Internet, and the clarity of the questions. They can be answered clearly.</v>
      </c>
    </row>
    <row r="675" ht="15.75" customHeight="1">
      <c r="A675" s="3">
        <v>2.0</v>
      </c>
      <c r="B675" s="3" t="s">
        <v>1947</v>
      </c>
      <c r="C675" s="3" t="s">
        <v>1948</v>
      </c>
      <c r="D675" s="3" t="s">
        <v>13</v>
      </c>
      <c r="E675" s="3" t="s">
        <v>14</v>
      </c>
      <c r="F675" s="3" t="s">
        <v>15</v>
      </c>
      <c r="G675" s="3" t="s">
        <v>1949</v>
      </c>
      <c r="H675" s="3" t="s">
        <v>29</v>
      </c>
      <c r="I675" s="3" t="str">
        <f>IFERROR(__xludf.DUMMYFUNCTION("GOOGLETRANSLATE(C675,""fr"",""en"")"),"The olive assurance is good car insurance, but low cost.
If you have an accident with your car, know that the repatriation of your family and yourself is not taken care of by the olive tree. The repatriation is done at your expense even if you would ha"&amp;"ve all -risk insurance.
For my part we had an accident 2h30 drive from home in the evening. We had to pay € 850 taxi, not taken care of by insurance to go home. I specify that we had not had the choice to go home because my husband and I were with our ba"&amp;"by when we had our accident.
I do not recommend this car insurance, not if you want to be serene as to the management of your repatriation if you have a claim with your vehicle.")</f>
        <v>The olive assurance is good car insurance, but low cost.
If you have an accident with your car, know that the repatriation of your family and yourself is not taken care of by the olive tree. The repatriation is done at your expense even if you would have all -risk insurance.
For my part we had an accident 2h30 drive from home in the evening. We had to pay € 850 taxi, not taken care of by insurance to go home. I specify that we had not had the choice to go home because my husband and I were with our baby when we had our accident.
I do not recommend this car insurance, not if you want to be serene as to the management of your repatriation if you have a claim with your vehicle.</v>
      </c>
    </row>
    <row r="676" ht="15.75" customHeight="1">
      <c r="A676" s="3">
        <v>2.0</v>
      </c>
      <c r="B676" s="3" t="s">
        <v>1950</v>
      </c>
      <c r="C676" s="3" t="s">
        <v>1951</v>
      </c>
      <c r="D676" s="3" t="s">
        <v>20</v>
      </c>
      <c r="E676" s="3" t="s">
        <v>21</v>
      </c>
      <c r="F676" s="3" t="s">
        <v>15</v>
      </c>
      <c r="G676" s="3" t="s">
        <v>1952</v>
      </c>
      <c r="H676" s="3" t="s">
        <v>115</v>
      </c>
      <c r="I676" s="3" t="str">
        <f>IFERROR(__xludf.DUMMYFUNCTION("GOOGLETRANSLATE(C676,""fr"",""en"")"),"I am satisfied with the service my I
 Find that the price for a 50cm3
 are really exorbitant especially
 For a second contract.")</f>
        <v>I am satisfied with the service my I
 Find that the price for a 50cm3
 are really exorbitant especially
 For a second contract.</v>
      </c>
    </row>
    <row r="677" ht="15.75" customHeight="1">
      <c r="A677" s="3">
        <v>2.0</v>
      </c>
      <c r="B677" s="3" t="s">
        <v>1953</v>
      </c>
      <c r="C677" s="3" t="s">
        <v>1954</v>
      </c>
      <c r="D677" s="3" t="s">
        <v>42</v>
      </c>
      <c r="E677" s="3" t="s">
        <v>33</v>
      </c>
      <c r="F677" s="3" t="s">
        <v>15</v>
      </c>
      <c r="G677" s="3" t="s">
        <v>1955</v>
      </c>
      <c r="H677" s="3" t="s">
        <v>248</v>
      </c>
      <c r="I677" s="3" t="str">
        <f>IFERROR(__xludf.DUMMYFUNCTION("GOOGLETRANSLATE(C677,""fr"",""en"")"),"Attractive prices, however to the detriment of the service which is deplorable, a person little invested in his work, not very trained and not very kind in offices as on the phone.
The contact is little present and not very responsive, very complicated i"&amp;"n the event of a disaster!
Refund up to the prices exercised by this ""very low"" company
I will therefore not reiterate my contracts with them and prefers to pay a dozen euros more year for a less deplorable service.")</f>
        <v>Attractive prices, however to the detriment of the service which is deplorable, a person little invested in his work, not very trained and not very kind in offices as on the phone.
The contact is little present and not very responsive, very complicated in the event of a disaster!
Refund up to the prices exercised by this "very low" company
I will therefore not reiterate my contracts with them and prefers to pay a dozen euros more year for a less deplorable service.</v>
      </c>
    </row>
    <row r="678" ht="15.75" customHeight="1">
      <c r="A678" s="3">
        <v>5.0</v>
      </c>
      <c r="B678" s="3" t="s">
        <v>1956</v>
      </c>
      <c r="C678" s="3" t="s">
        <v>1957</v>
      </c>
      <c r="D678" s="3" t="s">
        <v>42</v>
      </c>
      <c r="E678" s="3" t="s">
        <v>14</v>
      </c>
      <c r="F678" s="3" t="s">
        <v>15</v>
      </c>
      <c r="G678" s="3" t="s">
        <v>528</v>
      </c>
      <c r="H678" s="3" t="s">
        <v>86</v>
      </c>
      <c r="I678" s="3" t="str">
        <f>IFERROR(__xludf.DUMMYFUNCTION("GOOGLETRANSLATE(C678,""fr"",""en"")"),"Very satisfied with the service and the speed of the responses to the emails.
Always a quick response corresponding to my request. Response to my emails within 48 hours max but generally within 24 hours.")</f>
        <v>Very satisfied with the service and the speed of the responses to the emails.
Always a quick response corresponding to my request. Response to my emails within 48 hours max but generally within 24 hours.</v>
      </c>
    </row>
    <row r="679" ht="15.75" customHeight="1">
      <c r="A679" s="3">
        <v>2.0</v>
      </c>
      <c r="B679" s="3" t="s">
        <v>1958</v>
      </c>
      <c r="C679" s="3" t="s">
        <v>1959</v>
      </c>
      <c r="D679" s="3" t="s">
        <v>13</v>
      </c>
      <c r="E679" s="3" t="s">
        <v>14</v>
      </c>
      <c r="F679" s="3" t="s">
        <v>15</v>
      </c>
      <c r="G679" s="3" t="s">
        <v>1960</v>
      </c>
      <c r="H679" s="3" t="s">
        <v>60</v>
      </c>
      <c r="I679" s="3" t="str">
        <f>IFERROR(__xludf.DUMMYFUNCTION("GOOGLETRANSLATE(C679,""fr"",""en"")"),"I join the previous opinions concerning the services of this car insurance. The olive tree certainly alpine its customers with prices which seem very attractive but whose guarantees are not the height of other insurers on the market. 2 months and a week t"&amp;"oday that my disaster is open and no follow -up regarding its management. Customer service rejects the fault on the expert but does not even bother to relaunch it (it is up to customers to take care of it), my emails for the olive tree remain unanswered, "&amp;"and the responses to My calls remain more than vague ... To date my file is complete, the expert has communicated all the information to the olive tree and I always remain on hold and without vehicle ... Flee !!")</f>
        <v>I join the previous opinions concerning the services of this car insurance. The olive tree certainly alpine its customers with prices which seem very attractive but whose guarantees are not the height of other insurers on the market. 2 months and a week today that my disaster is open and no follow -up regarding its management. Customer service rejects the fault on the expert but does not even bother to relaunch it (it is up to customers to take care of it), my emails for the olive tree remain unanswered, and the responses to My calls remain more than vague ... To date my file is complete, the expert has communicated all the information to the olive tree and I always remain on hold and without vehicle ... Flee !!</v>
      </c>
    </row>
    <row r="680" ht="15.75" customHeight="1">
      <c r="A680" s="3">
        <v>3.0</v>
      </c>
      <c r="B680" s="3" t="s">
        <v>1961</v>
      </c>
      <c r="C680" s="3" t="s">
        <v>1962</v>
      </c>
      <c r="D680" s="3" t="s">
        <v>13</v>
      </c>
      <c r="E680" s="3" t="s">
        <v>14</v>
      </c>
      <c r="F680" s="3" t="s">
        <v>15</v>
      </c>
      <c r="G680" s="3" t="s">
        <v>283</v>
      </c>
      <c r="H680" s="3" t="s">
        <v>44</v>
      </c>
      <c r="I680" s="3" t="str">
        <f>IFERROR(__xludf.DUMMYFUNCTION("GOOGLETRANSLATE(C680,""fr"",""en"")"),"During a previous simulation it seems to me that the price was lower. But the prices are still attractive, it is my second vehicle insured at the Olivier and I am currently satisfied as a rule.")</f>
        <v>During a previous simulation it seems to me that the price was lower. But the prices are still attractive, it is my second vehicle insured at the Olivier and I am currently satisfied as a rule.</v>
      </c>
    </row>
    <row r="681" ht="15.75" customHeight="1">
      <c r="A681" s="3">
        <v>1.0</v>
      </c>
      <c r="B681" s="3" t="s">
        <v>1963</v>
      </c>
      <c r="C681" s="3" t="s">
        <v>1964</v>
      </c>
      <c r="D681" s="3" t="s">
        <v>227</v>
      </c>
      <c r="E681" s="3" t="s">
        <v>98</v>
      </c>
      <c r="F681" s="3" t="s">
        <v>15</v>
      </c>
      <c r="G681" s="3" t="s">
        <v>1965</v>
      </c>
      <c r="H681" s="3" t="s">
        <v>86</v>
      </c>
      <c r="I681" s="3" t="str">
        <f>IFERROR(__xludf.DUMMYFUNCTION("GOOGLETRANSLATE(C681,""fr"",""en"")"),"zero mutual; They do not answer on the phone or email. They did not terminate, as promised, with my previous mutual. I sent a recommended with A.R on January 20, 2021 before membership which was to take place on February 1, 2021 informing them of my non -"&amp;"membership with their mutual insurance company following the many unanswered calls and writings. So I made opposition to the planned samples I always try to join them ""but in vain. What to do?")</f>
        <v>zero mutual; They do not answer on the phone or email. They did not terminate, as promised, with my previous mutual. I sent a recommended with A.R on January 20, 2021 before membership which was to take place on February 1, 2021 informing them of my non -membership with their mutual insurance company following the many unanswered calls and writings. So I made opposition to the planned samples I always try to join them "but in vain. What to do?</v>
      </c>
    </row>
    <row r="682" ht="15.75" customHeight="1">
      <c r="A682" s="3">
        <v>4.0</v>
      </c>
      <c r="B682" s="3" t="s">
        <v>1966</v>
      </c>
      <c r="C682" s="3" t="s">
        <v>1967</v>
      </c>
      <c r="D682" s="3" t="s">
        <v>42</v>
      </c>
      <c r="E682" s="3" t="s">
        <v>14</v>
      </c>
      <c r="F682" s="3" t="s">
        <v>15</v>
      </c>
      <c r="G682" s="3" t="s">
        <v>1968</v>
      </c>
      <c r="H682" s="3" t="s">
        <v>39</v>
      </c>
      <c r="I682" s="3" t="str">
        <f>IFERROR(__xludf.DUMMYFUNCTION("GOOGLETRANSLATE(C682,""fr"",""en"")"),"Satisfactory prices are correct depending on the insurance requested
I recommend very good value for money
Hoping for a good follow -up of the files")</f>
        <v>Satisfactory prices are correct depending on the insurance requested
I recommend very good value for money
Hoping for a good follow -up of the files</v>
      </c>
    </row>
    <row r="683" ht="15.75" customHeight="1">
      <c r="A683" s="3">
        <v>5.0</v>
      </c>
      <c r="B683" s="3" t="s">
        <v>1969</v>
      </c>
      <c r="C683" s="3" t="s">
        <v>1970</v>
      </c>
      <c r="D683" s="3" t="s">
        <v>42</v>
      </c>
      <c r="E683" s="3" t="s">
        <v>14</v>
      </c>
      <c r="F683" s="3" t="s">
        <v>15</v>
      </c>
      <c r="G683" s="3" t="s">
        <v>730</v>
      </c>
      <c r="H683" s="3" t="s">
        <v>86</v>
      </c>
      <c r="I683" s="3" t="str">
        <f>IFERROR(__xludf.DUMMYFUNCTION("GOOGLETRANSLATE(C683,""fr"",""en"")"),"I am very satisfied with the contract recorded at your home for my Dacia Duster 130 FAP 4X2 vehicle in all risks with tranquility pack and zero ice cream free")</f>
        <v>I am very satisfied with the contract recorded at your home for my Dacia Duster 130 FAP 4X2 vehicle in all risks with tranquility pack and zero ice cream free</v>
      </c>
    </row>
    <row r="684" ht="15.75" customHeight="1">
      <c r="A684" s="3">
        <v>2.0</v>
      </c>
      <c r="B684" s="3" t="s">
        <v>1971</v>
      </c>
      <c r="C684" s="3" t="s">
        <v>1972</v>
      </c>
      <c r="D684" s="3" t="s">
        <v>42</v>
      </c>
      <c r="E684" s="3" t="s">
        <v>14</v>
      </c>
      <c r="F684" s="3" t="s">
        <v>15</v>
      </c>
      <c r="G684" s="3" t="s">
        <v>1973</v>
      </c>
      <c r="H684" s="3" t="s">
        <v>35</v>
      </c>
      <c r="I684" s="3" t="str">
        <f>IFERROR(__xludf.DUMMYFUNCTION("GOOGLETRANSLATE(C684,""fr"",""en"")"),"An increase of more than 10% in 2020, justified by the price of repairs that increase.
Well yes, everything increases except our income.
We do not reward retired customers / yellow vests who have no accident and / or little means by taking third -party "&amp;"insurance for the benefit of the rich with their all -risk insurance proportionally not expensive compared to third parties ... And the big repairs of their state -of -the -art SUV or electric cars.
Thanks to Hamon and Chatel and La Poste for recommended"&amp;" it with A/R which allows the competition to be played.")</f>
        <v>An increase of more than 10% in 2020, justified by the price of repairs that increase.
Well yes, everything increases except our income.
We do not reward retired customers / yellow vests who have no accident and / or little means by taking third -party insurance for the benefit of the rich with their all -risk insurance proportionally not expensive compared to third parties ... And the big repairs of their state -of -the -art SUV or electric cars.
Thanks to Hamon and Chatel and La Poste for recommended it with A/R which allows the competition to be played.</v>
      </c>
    </row>
    <row r="685" ht="15.75" customHeight="1">
      <c r="A685" s="3">
        <v>1.0</v>
      </c>
      <c r="B685" s="3" t="s">
        <v>1974</v>
      </c>
      <c r="C685" s="3" t="s">
        <v>1975</v>
      </c>
      <c r="D685" s="3" t="s">
        <v>509</v>
      </c>
      <c r="E685" s="3" t="s">
        <v>14</v>
      </c>
      <c r="F685" s="3" t="s">
        <v>15</v>
      </c>
      <c r="G685" s="3" t="s">
        <v>236</v>
      </c>
      <c r="H685" s="3" t="s">
        <v>236</v>
      </c>
      <c r="I685" s="3" t="str">
        <f>IFERROR(__xludf.DUMMYFUNCTION("GOOGLETRANSLATE(C685,""fr"",""en"")"),"The worst customer service that I was able to meet.
Impossible to assert your rights - an internal machinery which seems so complex that advise them wander from one service to another to avoid answering questions and discarding any responsibility.")</f>
        <v>The worst customer service that I was able to meet.
Impossible to assert your rights - an internal machinery which seems so complex that advise them wander from one service to another to avoid answering questions and discarding any responsibility.</v>
      </c>
    </row>
    <row r="686" ht="15.75" customHeight="1">
      <c r="A686" s="3">
        <v>2.0</v>
      </c>
      <c r="B686" s="3" t="s">
        <v>1976</v>
      </c>
      <c r="C686" s="3" t="s">
        <v>1977</v>
      </c>
      <c r="D686" s="3" t="s">
        <v>81</v>
      </c>
      <c r="E686" s="3" t="s">
        <v>14</v>
      </c>
      <c r="F686" s="3" t="s">
        <v>15</v>
      </c>
      <c r="G686" s="3" t="s">
        <v>1978</v>
      </c>
      <c r="H686" s="3" t="s">
        <v>91</v>
      </c>
      <c r="I686" s="3" t="str">
        <f>IFERROR(__xludf.DUMMYFUNCTION("GOOGLETRANSLATE(C686,""fr"",""en"")"),"Insurer who does not keep his commitments. Motorcycle very very badly reimbursed. New 3 -month equipment reimbursed to third party of their purchase price. Body sinister not adjusted 3.5 months after the accident.")</f>
        <v>Insurer who does not keep his commitments. Motorcycle very very badly reimbursed. New 3 -month equipment reimbursed to third party of their purchase price. Body sinister not adjusted 3.5 months after the accident.</v>
      </c>
    </row>
    <row r="687" ht="15.75" customHeight="1">
      <c r="A687" s="3">
        <v>4.0</v>
      </c>
      <c r="B687" s="3" t="s">
        <v>1979</v>
      </c>
      <c r="C687" s="3" t="s">
        <v>1980</v>
      </c>
      <c r="D687" s="3" t="s">
        <v>32</v>
      </c>
      <c r="E687" s="3" t="s">
        <v>14</v>
      </c>
      <c r="F687" s="3" t="s">
        <v>15</v>
      </c>
      <c r="G687" s="3" t="s">
        <v>1713</v>
      </c>
      <c r="H687" s="3" t="s">
        <v>115</v>
      </c>
      <c r="I687" s="3" t="str">
        <f>IFERROR(__xludf.DUMMYFUNCTION("GOOGLETRANSLATE(C687,""fr"",""en"")"),"I am satisfied with the service which is quite reactive.
It is easy to reach them by phone.
Cheaper insurance for my secondary vehicle but more expensive for the principal.")</f>
        <v>I am satisfied with the service which is quite reactive.
It is easy to reach them by phone.
Cheaper insurance for my secondary vehicle but more expensive for the principal.</v>
      </c>
    </row>
    <row r="688" ht="15.75" customHeight="1">
      <c r="A688" s="3">
        <v>4.0</v>
      </c>
      <c r="B688" s="3" t="s">
        <v>1981</v>
      </c>
      <c r="C688" s="3" t="s">
        <v>1982</v>
      </c>
      <c r="D688" s="3" t="s">
        <v>310</v>
      </c>
      <c r="E688" s="3" t="s">
        <v>311</v>
      </c>
      <c r="F688" s="3" t="s">
        <v>15</v>
      </c>
      <c r="G688" s="3" t="s">
        <v>165</v>
      </c>
      <c r="H688" s="3" t="s">
        <v>165</v>
      </c>
      <c r="I688" s="3" t="str">
        <f>IFERROR(__xludf.DUMMYFUNCTION("GOOGLETRANSLATE(C688,""fr"",""en"")"),"I am satisfied with the service, simple and practical membership in a few minutes, the price is very attractive
Flexibility on the date of membership, site very easy to use")</f>
        <v>I am satisfied with the service, simple and practical membership in a few minutes, the price is very attractive
Flexibility on the date of membership, site very easy to use</v>
      </c>
    </row>
    <row r="689" ht="15.75" customHeight="1">
      <c r="A689" s="3">
        <v>5.0</v>
      </c>
      <c r="B689" s="3" t="s">
        <v>1983</v>
      </c>
      <c r="C689" s="3" t="s">
        <v>1984</v>
      </c>
      <c r="D689" s="3" t="s">
        <v>32</v>
      </c>
      <c r="E689" s="3" t="s">
        <v>14</v>
      </c>
      <c r="F689" s="3" t="s">
        <v>15</v>
      </c>
      <c r="G689" s="3" t="s">
        <v>636</v>
      </c>
      <c r="H689" s="3" t="s">
        <v>23</v>
      </c>
      <c r="I689" s="3" t="str">
        <f>IFERROR(__xludf.DUMMYFUNCTION("GOOGLETRANSLATE(C689,""fr"",""en"")"),"The service is satisfactory and fast. The price is attractive suitable for the small budget. service that can be reached at any time and this meets my expectations")</f>
        <v>The service is satisfactory and fast. The price is attractive suitable for the small budget. service that can be reached at any time and this meets my expectations</v>
      </c>
    </row>
    <row r="690" ht="15.75" customHeight="1">
      <c r="A690" s="3">
        <v>5.0</v>
      </c>
      <c r="B690" s="3" t="s">
        <v>1985</v>
      </c>
      <c r="C690" s="3" t="s">
        <v>1986</v>
      </c>
      <c r="D690" s="3" t="s">
        <v>97</v>
      </c>
      <c r="E690" s="3" t="s">
        <v>98</v>
      </c>
      <c r="F690" s="3" t="s">
        <v>15</v>
      </c>
      <c r="G690" s="3" t="s">
        <v>1241</v>
      </c>
      <c r="H690" s="3" t="s">
        <v>44</v>
      </c>
      <c r="I690" s="3" t="str">
        <f>IFERROR(__xludf.DUMMYFUNCTION("GOOGLETRANSLATE(C690,""fr"",""en"")")," Saliha has quickly understood my problem and contacted the interested services so that the reimbursement I have been waiting for for 2 months is set up")</f>
        <v> Saliha has quickly understood my problem and contacted the interested services so that the reimbursement I have been waiting for for 2 months is set up</v>
      </c>
    </row>
    <row r="691" ht="15.75" customHeight="1">
      <c r="A691" s="3">
        <v>5.0</v>
      </c>
      <c r="B691" s="3" t="s">
        <v>1987</v>
      </c>
      <c r="C691" s="3" t="s">
        <v>1988</v>
      </c>
      <c r="D691" s="3" t="s">
        <v>13</v>
      </c>
      <c r="E691" s="3" t="s">
        <v>14</v>
      </c>
      <c r="F691" s="3" t="s">
        <v>15</v>
      </c>
      <c r="G691" s="3" t="s">
        <v>1271</v>
      </c>
      <c r="H691" s="3" t="s">
        <v>39</v>
      </c>
      <c r="I691" s="3" t="str">
        <f>IFERROR(__xludf.DUMMYFUNCTION("GOOGLETRANSLATE(C691,""fr"",""en"")"),"I am very satisfied with the service, the advisers are very well trained and are pleasant.
I recommend without hesitation the olive assurance to all my loved ones")</f>
        <v>I am very satisfied with the service, the advisers are very well trained and are pleasant.
I recommend without hesitation the olive assurance to all my loved ones</v>
      </c>
    </row>
    <row r="692" ht="15.75" customHeight="1">
      <c r="A692" s="3">
        <v>2.0</v>
      </c>
      <c r="B692" s="3" t="s">
        <v>1989</v>
      </c>
      <c r="C692" s="3" t="s">
        <v>1990</v>
      </c>
      <c r="D692" s="3" t="s">
        <v>42</v>
      </c>
      <c r="E692" s="3" t="s">
        <v>14</v>
      </c>
      <c r="F692" s="3" t="s">
        <v>15</v>
      </c>
      <c r="G692" s="3" t="s">
        <v>1991</v>
      </c>
      <c r="H692" s="3" t="s">
        <v>124</v>
      </c>
      <c r="I692" s="3" t="str">
        <f>IFERROR(__xludf.DUMMYFUNCTION("GOOGLETRANSLATE(C692,""fr"",""en"")"),"For cheap, you have cheap!
Apart from the very high deductibles to pay very high in the event of a disaster or broken ice (in passing it is like not being insured because the repairs are less expensive than the franchise) ... apart Because I made 2 acc"&amp;"idents responsible in the same year ... yes I am no longer profitable suddenly!")</f>
        <v>For cheap, you have cheap!
Apart from the very high deductibles to pay very high in the event of a disaster or broken ice (in passing it is like not being insured because the repairs are less expensive than the franchise) ... apart Because I made 2 accidents responsible in the same year ... yes I am no longer profitable suddenly!</v>
      </c>
    </row>
    <row r="693" ht="15.75" customHeight="1">
      <c r="A693" s="3">
        <v>1.0</v>
      </c>
      <c r="B693" s="3" t="s">
        <v>1992</v>
      </c>
      <c r="C693" s="3" t="s">
        <v>1993</v>
      </c>
      <c r="D693" s="3" t="s">
        <v>42</v>
      </c>
      <c r="E693" s="3" t="s">
        <v>14</v>
      </c>
      <c r="F693" s="3" t="s">
        <v>15</v>
      </c>
      <c r="G693" s="3" t="s">
        <v>1476</v>
      </c>
      <c r="H693" s="3" t="s">
        <v>75</v>
      </c>
      <c r="I693" s="3" t="str">
        <f>IFERROR(__xludf.DUMMYFUNCTION("GOOGLETRANSLATE(C693,""fr"",""en"")"),"Very expensive compared to other insurances for the same guarantees see better, customer service who does not respond or partially, unreachable by phone ... do not follow up when we wish to terminate and above all take us without sign the SEPA mandate !! "&amp;"! in short to avoid !!")</f>
        <v>Very expensive compared to other insurances for the same guarantees see better, customer service who does not respond or partially, unreachable by phone ... do not follow up when we wish to terminate and above all take us without sign the SEPA mandate !! ! in short to avoid !!</v>
      </c>
    </row>
    <row r="694" ht="15.75" customHeight="1">
      <c r="A694" s="3">
        <v>5.0</v>
      </c>
      <c r="B694" s="3" t="s">
        <v>1994</v>
      </c>
      <c r="C694" s="3" t="s">
        <v>1995</v>
      </c>
      <c r="D694" s="3" t="s">
        <v>103</v>
      </c>
      <c r="E694" s="3" t="s">
        <v>98</v>
      </c>
      <c r="F694" s="3" t="s">
        <v>15</v>
      </c>
      <c r="G694" s="3" t="s">
        <v>1996</v>
      </c>
      <c r="H694" s="3" t="s">
        <v>429</v>
      </c>
      <c r="I694" s="3" t="str">
        <f>IFERROR(__xludf.DUMMYFUNCTION("GOOGLETRANSLATE(C694,""fr"",""en"")"),"hello, 
Your services were very responsive following my request for loss of salary following my long -term sick leave, very attentive and fast
I want to have a quote for a family mutual for my husband and I, here are our ages 62 and 56 years old
Pend"&amp;"ing your call
Well friendly Ms. Zenasni Malika 0610452603")</f>
        <v>hello, 
Your services were very responsive following my request for loss of salary following my long -term sick leave, very attentive and fast
I want to have a quote for a family mutual for my husband and I, here are our ages 62 and 56 years old
Pending your call
Well friendly Ms. Zenasni Malika 0610452603</v>
      </c>
    </row>
    <row r="695" ht="15.75" customHeight="1">
      <c r="A695" s="3">
        <v>4.0</v>
      </c>
      <c r="B695" s="3" t="s">
        <v>1997</v>
      </c>
      <c r="C695" s="3" t="s">
        <v>1998</v>
      </c>
      <c r="D695" s="3" t="s">
        <v>13</v>
      </c>
      <c r="E695" s="3" t="s">
        <v>14</v>
      </c>
      <c r="F695" s="3" t="s">
        <v>15</v>
      </c>
      <c r="G695" s="3" t="s">
        <v>1999</v>
      </c>
      <c r="H695" s="3" t="s">
        <v>91</v>
      </c>
      <c r="I695" s="3" t="str">
        <f>IFERROR(__xludf.DUMMYFUNCTION("GOOGLETRANSLATE(C695,""fr"",""en"")"),"Very responsible price insurance, very attentive team, responses and solutions as soon as possible.
I recommend this company to all those looking for seriousness.")</f>
        <v>Very responsible price insurance, very attentive team, responses and solutions as soon as possible.
I recommend this company to all those looking for seriousness.</v>
      </c>
    </row>
    <row r="696" ht="15.75" customHeight="1">
      <c r="A696" s="3">
        <v>4.0</v>
      </c>
      <c r="B696" s="3" t="s">
        <v>2000</v>
      </c>
      <c r="C696" s="3" t="s">
        <v>2001</v>
      </c>
      <c r="D696" s="3" t="s">
        <v>13</v>
      </c>
      <c r="E696" s="3" t="s">
        <v>14</v>
      </c>
      <c r="F696" s="3" t="s">
        <v>15</v>
      </c>
      <c r="G696" s="3" t="s">
        <v>152</v>
      </c>
      <c r="H696" s="3" t="s">
        <v>86</v>
      </c>
      <c r="I696" s="3" t="str">
        <f>IFERROR(__xludf.DUMMYFUNCTION("GOOGLETRANSLATE(C696,""fr"",""en"")"),"The service is quite cool and fast, but be careful the contract you send is not clear we don't see much we do that guess it.")</f>
        <v>The service is quite cool and fast, but be careful the contract you send is not clear we don't see much we do that guess it.</v>
      </c>
    </row>
    <row r="697" ht="15.75" customHeight="1">
      <c r="A697" s="3">
        <v>2.0</v>
      </c>
      <c r="B697" s="3" t="s">
        <v>2002</v>
      </c>
      <c r="C697" s="3" t="s">
        <v>2003</v>
      </c>
      <c r="D697" s="3" t="s">
        <v>246</v>
      </c>
      <c r="E697" s="3" t="s">
        <v>27</v>
      </c>
      <c r="F697" s="3" t="s">
        <v>15</v>
      </c>
      <c r="G697" s="3" t="s">
        <v>2004</v>
      </c>
      <c r="H697" s="3" t="s">
        <v>100</v>
      </c>
      <c r="I697" s="3" t="str">
        <f>IFERROR(__xludf.DUMMYFUNCTION("GOOGLETRANSLATE(C697,""fr"",""en"")"),"We have had 2 Agipi life insurance contracts for over 10 years. Reading your opinions does not reassure at all. I do not know what to do above all that the interests continue to decrease and that the management costs remain significant and at this rate wi"&amp;"ll soon exceed the interests served.")</f>
        <v>We have had 2 Agipi life insurance contracts for over 10 years. Reading your opinions does not reassure at all. I do not know what to do above all that the interests continue to decrease and that the management costs remain significant and at this rate will soon exceed the interests served.</v>
      </c>
    </row>
    <row r="698" ht="15.75" customHeight="1">
      <c r="A698" s="3">
        <v>5.0</v>
      </c>
      <c r="B698" s="3" t="s">
        <v>2005</v>
      </c>
      <c r="C698" s="3" t="s">
        <v>2006</v>
      </c>
      <c r="D698" s="3" t="s">
        <v>140</v>
      </c>
      <c r="E698" s="3" t="s">
        <v>98</v>
      </c>
      <c r="F698" s="3" t="s">
        <v>15</v>
      </c>
      <c r="G698" s="3" t="s">
        <v>2007</v>
      </c>
      <c r="H698" s="3" t="s">
        <v>1261</v>
      </c>
      <c r="I698" s="3" t="str">
        <f>IFERROR(__xludf.DUMMYFUNCTION("GOOGLETRANSLATE(C698,""fr"",""en"")"),"Thanks to Caroline for her kindness and her efficiency! We do not regret being adherents at home and it is thanks to employees like her!")</f>
        <v>Thanks to Caroline for her kindness and her efficiency! We do not regret being adherents at home and it is thanks to employees like her!</v>
      </c>
    </row>
    <row r="699" ht="15.75" customHeight="1">
      <c r="A699" s="3">
        <v>3.0</v>
      </c>
      <c r="B699" s="3" t="s">
        <v>2008</v>
      </c>
      <c r="C699" s="3" t="s">
        <v>2009</v>
      </c>
      <c r="D699" s="3" t="s">
        <v>103</v>
      </c>
      <c r="E699" s="3" t="s">
        <v>98</v>
      </c>
      <c r="F699" s="3" t="s">
        <v>15</v>
      </c>
      <c r="G699" s="3" t="s">
        <v>816</v>
      </c>
      <c r="H699" s="3" t="s">
        <v>105</v>
      </c>
      <c r="I699" s="3" t="str">
        <f>IFERROR(__xludf.DUMMYFUNCTION("GOOGLETRANSLATE(C699,""fr"",""en"")"),"Easy Mutual Access by phone and Internet. By cons it is a shame that the reception office which was in Avignon firm.
Reliable mutual.")</f>
        <v>Easy Mutual Access by phone and Internet. By cons it is a shame that the reception office which was in Avignon firm.
Reliable mutual.</v>
      </c>
    </row>
    <row r="700" ht="15.75" customHeight="1">
      <c r="A700" s="3">
        <v>1.0</v>
      </c>
      <c r="B700" s="3" t="s">
        <v>2010</v>
      </c>
      <c r="C700" s="3" t="s">
        <v>2011</v>
      </c>
      <c r="D700" s="3" t="s">
        <v>2012</v>
      </c>
      <c r="E700" s="3" t="s">
        <v>27</v>
      </c>
      <c r="F700" s="3" t="s">
        <v>15</v>
      </c>
      <c r="G700" s="3" t="s">
        <v>2013</v>
      </c>
      <c r="H700" s="3" t="s">
        <v>220</v>
      </c>
      <c r="I700" s="3" t="str">
        <f>IFERROR(__xludf.DUMMYFUNCTION("GOOGLETRANSLATE(C700,""fr"",""en"")"),"9 months already and small life insurance not yet settled.")</f>
        <v>9 months already and small life insurance not yet settled.</v>
      </c>
    </row>
    <row r="701" ht="15.75" customHeight="1">
      <c r="A701" s="3">
        <v>4.0</v>
      </c>
      <c r="B701" s="3" t="s">
        <v>2014</v>
      </c>
      <c r="C701" s="3" t="s">
        <v>2015</v>
      </c>
      <c r="D701" s="3" t="s">
        <v>384</v>
      </c>
      <c r="E701" s="3" t="s">
        <v>21</v>
      </c>
      <c r="F701" s="3" t="s">
        <v>15</v>
      </c>
      <c r="G701" s="3" t="s">
        <v>263</v>
      </c>
      <c r="H701" s="3" t="s">
        <v>39</v>
      </c>
      <c r="I701" s="3" t="str">
        <f>IFERROR(__xludf.DUMMYFUNCTION("GOOGLETRANSLATE(C701,""fr"",""en"")"),"Prices suit me.
Small flat when you choose pricing that is not super clear if you want to be monthly or annual payment")</f>
        <v>Prices suit me.
Small flat when you choose pricing that is not super clear if you want to be monthly or annual payment</v>
      </c>
    </row>
    <row r="702" ht="15.75" customHeight="1">
      <c r="A702" s="3">
        <v>4.0</v>
      </c>
      <c r="B702" s="3" t="s">
        <v>2016</v>
      </c>
      <c r="C702" s="3" t="s">
        <v>2017</v>
      </c>
      <c r="D702" s="3" t="s">
        <v>140</v>
      </c>
      <c r="E702" s="3" t="s">
        <v>98</v>
      </c>
      <c r="F702" s="3" t="s">
        <v>15</v>
      </c>
      <c r="G702" s="3" t="s">
        <v>1862</v>
      </c>
      <c r="H702" s="3" t="s">
        <v>44</v>
      </c>
      <c r="I702" s="3" t="str">
        <f>IFERROR(__xludf.DUMMYFUNCTION("GOOGLETRANSLATE(C702,""fr"",""en"")"),"During an info request, I am welcomed by Emeline: her answers are clear, precise and above all accompanied by a beautiful smile. Professional, warm welcome. Congratulation")</f>
        <v>During an info request, I am welcomed by Emeline: her answers are clear, precise and above all accompanied by a beautiful smile. Professional, warm welcome. Congratulation</v>
      </c>
    </row>
    <row r="703" ht="15.75" customHeight="1">
      <c r="A703" s="3">
        <v>1.0</v>
      </c>
      <c r="B703" s="3" t="s">
        <v>2018</v>
      </c>
      <c r="C703" s="3" t="s">
        <v>2019</v>
      </c>
      <c r="D703" s="3" t="s">
        <v>97</v>
      </c>
      <c r="E703" s="3" t="s">
        <v>98</v>
      </c>
      <c r="F703" s="3" t="s">
        <v>15</v>
      </c>
      <c r="G703" s="3" t="s">
        <v>2020</v>
      </c>
      <c r="H703" s="3" t="s">
        <v>91</v>
      </c>
      <c r="I703" s="3" t="str">
        <f>IFERROR(__xludf.DUMMYFUNCTION("GOOGLETRANSLATE(C703,""fr"",""en"")"),"Member for several years I had nothing to complain about on Neoliane
But this year in anticipation of dental care, I had 2 quotes established by my dentist to compare
(1 for 2 crowns and the other for an implant), I therefore sent these 2 quotes to Néol"&amp;"iane to find out the amount of care and the amount remaining at my expense
I received their response by mail
So I chose the 2 crowns with a rest at my expense 0 €
I settled my dentist for this care in September and in the days that followed the CPAM re"&amp;"imbursed me the Secu share and transmitted this file to Néoliane (it is registered on my Ameli account)
I also sent the original invoices by mail to Néoliane
I waited for several weeks and given my astonishment not to receive a regulations from Néoliane"&amp;", I sent 1 email by noting my astonishment, I received no answer, then I sent other email And still no answer
I called by summarizing the situation, at the start of this call I was told that they had received nothing and following my amazement (as by Haz"&amp;"zard) by checking, my mail had just arrived the day before and I was told that they were going to process my file as soon as possible, something I thought
I waited for a few more weeks, having still received nothing, I recalled last Monday, after a lot o"&amp;"f waiting I managed by having an interlocutor who after having checked my file gave me the amount of my reimbursement And promised that this one would be fired on my account no later than 48 hours after (this person was kind)
Having still received nothin"&amp;"g on Friday (4 days later) I recalled and I waited for a very long time but I ended up having a person, I explained the goal of my call and my astonishment by telling him that I was starting to ask myself questions about the smooth running of this one and"&amp;" that she gives me a reimbursement date
There this person became ""aggressive limit"" by telling me that my file was processed and that I would be reimbursed without giving myself more details, that they were late in the files and that I could make compl"&amp;"aints, ""that he there was a service for that ""
I just told him that I hoped that this file was closed as soon as possible except that I was going to file a complaint, something that I will do soon if I have no news")</f>
        <v>Member for several years I had nothing to complain about on Neoliane
But this year in anticipation of dental care, I had 2 quotes established by my dentist to compare
(1 for 2 crowns and the other for an implant), I therefore sent these 2 quotes to Néoliane to find out the amount of care and the amount remaining at my expense
I received their response by mail
So I chose the 2 crowns with a rest at my expense 0 €
I settled my dentist for this care in September and in the days that followed the CPAM reimbursed me the Secu share and transmitted this file to Néoliane (it is registered on my Ameli account)
I also sent the original invoices by mail to Néoliane
I waited for several weeks and given my astonishment not to receive a regulations from Néoliane, I sent 1 email by noting my astonishment, I received no answer, then I sent other email And still no answer
I called by summarizing the situation, at the start of this call I was told that they had received nothing and following my amazement (as by Hazzard) by checking, my mail had just arrived the day before and I was told that they were going to process my file as soon as possible, something I thought
I waited for a few more weeks, having still received nothing, I recalled last Monday, after a lot of waiting I managed by having an interlocutor who after having checked my file gave me the amount of my reimbursement And promised that this one would be fired on my account no later than 48 hours after (this person was kind)
Having still received nothing on Friday (4 days later) I recalled and I waited for a very long time but I ended up having a person, I explained the goal of my call and my astonishment by telling him that I was starting to ask myself questions about the smooth running of this one and that she gives me a reimbursement date
There this person became "aggressive limit" by telling me that my file was processed and that I would be reimbursed without giving myself more details, that they were late in the files and that I could make complaints, "that he there was a service for that "
I just told him that I hoped that this file was closed as soon as possible except that I was going to file a complaint, something that I will do soon if I have no news</v>
      </c>
    </row>
    <row r="704" ht="15.75" customHeight="1">
      <c r="A704" s="3">
        <v>1.0</v>
      </c>
      <c r="B704" s="3" t="s">
        <v>2021</v>
      </c>
      <c r="C704" s="3" t="s">
        <v>2022</v>
      </c>
      <c r="D704" s="3" t="s">
        <v>55</v>
      </c>
      <c r="E704" s="3" t="s">
        <v>14</v>
      </c>
      <c r="F704" s="3" t="s">
        <v>15</v>
      </c>
      <c r="G704" s="3" t="s">
        <v>2023</v>
      </c>
      <c r="H704" s="3" t="s">
        <v>429</v>
      </c>
      <c r="I704" s="3" t="str">
        <f>IFERROR(__xludf.DUMMYFUNCTION("GOOGLETRANSLATE(C704,""fr"",""en"")"),"No one I have never seen a lack of skills of this level for almost 3 months that I am waiting for the reimbursement of my vehicle, only respond 2 times out of 10. Give dates but do not respect them. In addition, saying insured any risk, but the guarantees"&amp;" are those of third -party insurance. I strongly decide this insurance, otherwise you will be dragged in the mud for months")</f>
        <v>No one I have never seen a lack of skills of this level for almost 3 months that I am waiting for the reimbursement of my vehicle, only respond 2 times out of 10. Give dates but do not respect them. In addition, saying insured any risk, but the guarantees are those of third -party insurance. I strongly decide this insurance, otherwise you will be dragged in the mud for months</v>
      </c>
    </row>
    <row r="705" ht="15.75" customHeight="1">
      <c r="A705" s="3">
        <v>4.0</v>
      </c>
      <c r="B705" s="3" t="s">
        <v>2024</v>
      </c>
      <c r="C705" s="3" t="s">
        <v>2025</v>
      </c>
      <c r="D705" s="3" t="s">
        <v>42</v>
      </c>
      <c r="E705" s="3" t="s">
        <v>14</v>
      </c>
      <c r="F705" s="3" t="s">
        <v>15</v>
      </c>
      <c r="G705" s="3" t="s">
        <v>400</v>
      </c>
      <c r="H705" s="3" t="s">
        <v>115</v>
      </c>
      <c r="I705" s="3" t="str">
        <f>IFERROR(__xludf.DUMMYFUNCTION("GOOGLETRANSLATE(C705,""fr"",""en"")"),"Correct price, a pity that we have to go through a new contract to have the right price. A contract modification during the head of a new vehicle is much less interesting")</f>
        <v>Correct price, a pity that we have to go through a new contract to have the right price. A contract modification during the head of a new vehicle is much less interesting</v>
      </c>
    </row>
    <row r="706" ht="15.75" customHeight="1">
      <c r="A706" s="3">
        <v>1.0</v>
      </c>
      <c r="B706" s="3" t="s">
        <v>2026</v>
      </c>
      <c r="C706" s="3" t="s">
        <v>2027</v>
      </c>
      <c r="D706" s="3" t="s">
        <v>69</v>
      </c>
      <c r="E706" s="3" t="s">
        <v>14</v>
      </c>
      <c r="F706" s="3" t="s">
        <v>15</v>
      </c>
      <c r="G706" s="3" t="s">
        <v>2028</v>
      </c>
      <c r="H706" s="3" t="s">
        <v>517</v>
      </c>
      <c r="I706" s="3" t="str">
        <f>IFERROR(__xludf.DUMMYFUNCTION("GOOGLETRANSLATE(C706,""fr"",""en"")"),"Eurofil is an assurance to advertise Monsengere we pay them a deposit for an auto contract and in the end the auto contract does not price effect and no response and rebuild")</f>
        <v>Eurofil is an assurance to advertise Monsengere we pay them a deposit for an auto contract and in the end the auto contract does not price effect and no response and rebuild</v>
      </c>
    </row>
    <row r="707" ht="15.75" customHeight="1">
      <c r="A707" s="3">
        <v>5.0</v>
      </c>
      <c r="B707" s="3" t="s">
        <v>2029</v>
      </c>
      <c r="C707" s="3" t="s">
        <v>2030</v>
      </c>
      <c r="D707" s="3" t="s">
        <v>13</v>
      </c>
      <c r="E707" s="3" t="s">
        <v>14</v>
      </c>
      <c r="F707" s="3" t="s">
        <v>15</v>
      </c>
      <c r="G707" s="3" t="s">
        <v>1737</v>
      </c>
      <c r="H707" s="3" t="s">
        <v>39</v>
      </c>
      <c r="I707" s="3" t="str">
        <f>IFERROR(__xludf.DUMMYFUNCTION("GOOGLETRANSLATE(C707,""fr"",""en"")"),"I am satisfied with the price and the quality of the advisers, very good telephone reception, and very good website very well explained, with very correct discounts")</f>
        <v>I am satisfied with the price and the quality of the advisers, very good telephone reception, and very good website very well explained, with very correct discounts</v>
      </c>
    </row>
    <row r="708" ht="15.75" customHeight="1">
      <c r="A708" s="3">
        <v>5.0</v>
      </c>
      <c r="B708" s="3" t="s">
        <v>2031</v>
      </c>
      <c r="C708" s="3" t="s">
        <v>2032</v>
      </c>
      <c r="D708" s="3" t="s">
        <v>97</v>
      </c>
      <c r="E708" s="3" t="s">
        <v>98</v>
      </c>
      <c r="F708" s="3" t="s">
        <v>15</v>
      </c>
      <c r="G708" s="3" t="s">
        <v>2033</v>
      </c>
      <c r="H708" s="3" t="s">
        <v>149</v>
      </c>
      <c r="I708" s="3" t="str">
        <f>IFERROR(__xludf.DUMMYFUNCTION("GOOGLETRANSLATE(C708,""fr"",""en"")"),"Very good contact very competent and very clear explanations I would recommend your site")</f>
        <v>Very good contact very competent and very clear explanations I would recommend your site</v>
      </c>
    </row>
    <row r="709" ht="15.75" customHeight="1">
      <c r="A709" s="3">
        <v>1.0</v>
      </c>
      <c r="B709" s="3" t="s">
        <v>2034</v>
      </c>
      <c r="C709" s="3" t="s">
        <v>2035</v>
      </c>
      <c r="D709" s="3" t="s">
        <v>1207</v>
      </c>
      <c r="E709" s="3" t="s">
        <v>98</v>
      </c>
      <c r="F709" s="3" t="s">
        <v>15</v>
      </c>
      <c r="G709" s="3" t="s">
        <v>1551</v>
      </c>
      <c r="H709" s="3" t="s">
        <v>478</v>
      </c>
      <c r="I709" s="3" t="str">
        <f>IFERROR(__xludf.DUMMYFUNCTION("GOOGLETRANSLATE(C709,""fr"",""en"")"),"I sent my invoice to exceed fees for my hospitalization in maternity and I still have not reimbursed for more than 3 weeks. I try to reach them every day since 10 days by phone and email and impossible to reach them.")</f>
        <v>I sent my invoice to exceed fees for my hospitalization in maternity and I still have not reimbursed for more than 3 weeks. I try to reach them every day since 10 days by phone and email and impossible to reach them.</v>
      </c>
    </row>
    <row r="710" ht="15.75" customHeight="1">
      <c r="A710" s="3">
        <v>4.0</v>
      </c>
      <c r="B710" s="3" t="s">
        <v>2036</v>
      </c>
      <c r="C710" s="3" t="s">
        <v>2037</v>
      </c>
      <c r="D710" s="3" t="s">
        <v>42</v>
      </c>
      <c r="E710" s="3" t="s">
        <v>14</v>
      </c>
      <c r="F710" s="3" t="s">
        <v>15</v>
      </c>
      <c r="G710" s="3" t="s">
        <v>75</v>
      </c>
      <c r="H710" s="3" t="s">
        <v>75</v>
      </c>
      <c r="I710" s="3" t="str">
        <f>IFERROR(__xludf.DUMMYFUNCTION("GOOGLETRANSLATE(C710,""fr"",""en"")"),"I am satisfied with the price as well as your formula. I possibly think of doing it by my knowledge so that he faces a quote for their contract. Cordially")</f>
        <v>I am satisfied with the price as well as your formula. I possibly think of doing it by my knowledge so that he faces a quote for their contract. Cordially</v>
      </c>
    </row>
    <row r="711" ht="15.75" customHeight="1">
      <c r="A711" s="3">
        <v>1.0</v>
      </c>
      <c r="B711" s="3" t="s">
        <v>2038</v>
      </c>
      <c r="C711" s="3" t="s">
        <v>2039</v>
      </c>
      <c r="D711" s="3" t="s">
        <v>47</v>
      </c>
      <c r="E711" s="3" t="s">
        <v>14</v>
      </c>
      <c r="F711" s="3" t="s">
        <v>15</v>
      </c>
      <c r="G711" s="3" t="s">
        <v>2040</v>
      </c>
      <c r="H711" s="3" t="s">
        <v>71</v>
      </c>
      <c r="I711" s="3" t="str">
        <f>IFERROR(__xludf.DUMMYFUNCTION("GOOGLETRANSLATE(C711,""fr"",""en"")"),"Far too expensive that's why I am looking for another I found others with the same guarantees and at half price, and the same for my motorcycle insurance !!!")</f>
        <v>Far too expensive that's why I am looking for another I found others with the same guarantees and at half price, and the same for my motorcycle insurance !!!</v>
      </c>
    </row>
    <row r="712" ht="15.75" customHeight="1">
      <c r="A712" s="3">
        <v>2.0</v>
      </c>
      <c r="B712" s="3" t="s">
        <v>2041</v>
      </c>
      <c r="C712" s="3" t="s">
        <v>2042</v>
      </c>
      <c r="D712" s="3" t="s">
        <v>89</v>
      </c>
      <c r="E712" s="3" t="s">
        <v>33</v>
      </c>
      <c r="F712" s="3" t="s">
        <v>15</v>
      </c>
      <c r="G712" s="3" t="s">
        <v>1459</v>
      </c>
      <c r="H712" s="3" t="s">
        <v>86</v>
      </c>
      <c r="I712" s="3" t="str">
        <f>IFERROR(__xludf.DUMMYFUNCTION("GOOGLETRANSLATE(C712,""fr"",""en"")"),"To save 200 € compared to my old insurance, I subscribed my home insurance at La Maif, in their office, explaining precisely that my house was rented without furniture, with heat pump fixed to the outside wall.
Because of a maneuver, a truck struck a hea"&amp;"t pump;
MAIF did not help me at all for this dispute: I was not insured for that!
Heating systems are for the MAIF furniture;
Since I had no furniture in the house I was not insured!
In addition, I had not insured the house for the damage with a vehic"&amp;"le:
It is sure that the house moved to enter the truck!
Aside from an earthquake, it would have been if the houses moved!
It was impossible for me to have a heat pump put back in place;
To flee even if the price is cheaper than your current insurance
"&amp;"
")</f>
        <v>To save 200 € compared to my old insurance, I subscribed my home insurance at La Maif, in their office, explaining precisely that my house was rented without furniture, with heat pump fixed to the outside wall.
Because of a maneuver, a truck struck a heat pump;
MAIF did not help me at all for this dispute: I was not insured for that!
Heating systems are for the MAIF furniture;
Since I had no furniture in the house I was not insured!
In addition, I had not insured the house for the damage with a vehicle:
It is sure that the house moved to enter the truck!
Aside from an earthquake, it would have been if the houses moved!
It was impossible for me to have a heat pump put back in place;
To flee even if the price is cheaper than your current insurance
</v>
      </c>
    </row>
    <row r="713" ht="15.75" customHeight="1">
      <c r="A713" s="3">
        <v>5.0</v>
      </c>
      <c r="B713" s="3" t="s">
        <v>2043</v>
      </c>
      <c r="C713" s="3" t="s">
        <v>2044</v>
      </c>
      <c r="D713" s="3" t="s">
        <v>103</v>
      </c>
      <c r="E713" s="3" t="s">
        <v>98</v>
      </c>
      <c r="F713" s="3" t="s">
        <v>15</v>
      </c>
      <c r="G713" s="3" t="s">
        <v>2045</v>
      </c>
      <c r="H713" s="3" t="s">
        <v>253</v>
      </c>
      <c r="I713" s="3" t="str">
        <f>IFERROR(__xludf.DUMMYFUNCTION("GOOGLETRANSLATE(C713,""fr"",""en"")"),"A very good quality tjs, listening people, clear explanations, speed of action, the desire to stay because the interlocutors are really nice and human.")</f>
        <v>A very good quality tjs, listening people, clear explanations, speed of action, the desire to stay because the interlocutors are really nice and human.</v>
      </c>
    </row>
    <row r="714" ht="15.75" customHeight="1">
      <c r="A714" s="3">
        <v>3.0</v>
      </c>
      <c r="B714" s="3" t="s">
        <v>2046</v>
      </c>
      <c r="C714" s="3" t="s">
        <v>2047</v>
      </c>
      <c r="D714" s="3" t="s">
        <v>42</v>
      </c>
      <c r="E714" s="3" t="s">
        <v>14</v>
      </c>
      <c r="F714" s="3" t="s">
        <v>15</v>
      </c>
      <c r="G714" s="3" t="s">
        <v>483</v>
      </c>
      <c r="H714" s="3" t="s">
        <v>23</v>
      </c>
      <c r="I714" s="3" t="str">
        <f>IFERROR(__xludf.DUMMYFUNCTION("GOOGLETRANSLATE(C714,""fr"",""en"")"),"I am satisfied with the service on your website -and the prices offered to ensure my Fiât Doblo car remains correct -I would have still liked a proposal for a payment fractionation in the year.")</f>
        <v>I am satisfied with the service on your website -and the prices offered to ensure my Fiât Doblo car remains correct -I would have still liked a proposal for a payment fractionation in the year.</v>
      </c>
    </row>
    <row r="715" ht="15.75" customHeight="1">
      <c r="A715" s="3">
        <v>5.0</v>
      </c>
      <c r="B715" s="3" t="s">
        <v>2048</v>
      </c>
      <c r="C715" s="3" t="s">
        <v>2049</v>
      </c>
      <c r="D715" s="3" t="s">
        <v>13</v>
      </c>
      <c r="E715" s="3" t="s">
        <v>14</v>
      </c>
      <c r="F715" s="3" t="s">
        <v>15</v>
      </c>
      <c r="G715" s="3" t="s">
        <v>223</v>
      </c>
      <c r="H715" s="3" t="s">
        <v>224</v>
      </c>
      <c r="I715" s="3" t="str">
        <f>IFERROR(__xludf.DUMMYFUNCTION("GOOGLETRANSLATE(C715,""fr"",""en"")"),"Simple and practical service. As a young driver: first very pleasant experience.
And also very affordable and therefore very accommodating price")</f>
        <v>Simple and practical service. As a young driver: first very pleasant experience.
And also very affordable and therefore very accommodating price</v>
      </c>
    </row>
    <row r="716" ht="15.75" customHeight="1">
      <c r="A716" s="3">
        <v>4.0</v>
      </c>
      <c r="B716" s="3" t="s">
        <v>2050</v>
      </c>
      <c r="C716" s="3" t="s">
        <v>2051</v>
      </c>
      <c r="D716" s="3" t="s">
        <v>42</v>
      </c>
      <c r="E716" s="3" t="s">
        <v>14</v>
      </c>
      <c r="F716" s="3" t="s">
        <v>15</v>
      </c>
      <c r="G716" s="3" t="s">
        <v>756</v>
      </c>
      <c r="H716" s="3" t="s">
        <v>39</v>
      </c>
      <c r="I716" s="3" t="str">
        <f>IFERROR(__xludf.DUMMYFUNCTION("GOOGLETRANSLATE(C716,""fr"",""en"")"),"Simple and quick very attractive price.
Have for the future!
clear explanations
Quick quote.
I will recommend my loved ones certainly
Thank you for your attention,")</f>
        <v>Simple and quick very attractive price.
Have for the future!
clear explanations
Quick quote.
I will recommend my loved ones certainly
Thank you for your attention,</v>
      </c>
    </row>
    <row r="717" ht="15.75" customHeight="1">
      <c r="A717" s="3">
        <v>2.0</v>
      </c>
      <c r="B717" s="3" t="s">
        <v>2052</v>
      </c>
      <c r="C717" s="3" t="s">
        <v>2053</v>
      </c>
      <c r="D717" s="3" t="s">
        <v>47</v>
      </c>
      <c r="E717" s="3" t="s">
        <v>14</v>
      </c>
      <c r="F717" s="3" t="s">
        <v>15</v>
      </c>
      <c r="G717" s="3" t="s">
        <v>2054</v>
      </c>
      <c r="H717" s="3" t="s">
        <v>294</v>
      </c>
      <c r="I717" s="3" t="str">
        <f>IFERROR(__xludf.DUMMYFUNCTION("GOOGLETRANSLATE(C717,""fr"",""en"")"),"I have always been satisfied with Pacifica from the moment I had no problem. The day I was robbed of my vehicle, it was necessary to fight by email, mail, call for more than 2 months and a half to finally be reimbursed. This is a situation that I find una"&amp;"cceptable. This insurance is not up to its reputation.")</f>
        <v>I have always been satisfied with Pacifica from the moment I had no problem. The day I was robbed of my vehicle, it was necessary to fight by email, mail, call for more than 2 months and a half to finally be reimbursed. This is a situation that I find unacceptable. This insurance is not up to its reputation.</v>
      </c>
    </row>
    <row r="718" ht="15.75" customHeight="1">
      <c r="A718" s="3">
        <v>5.0</v>
      </c>
      <c r="B718" s="3" t="s">
        <v>2055</v>
      </c>
      <c r="C718" s="3" t="s">
        <v>2056</v>
      </c>
      <c r="D718" s="3" t="s">
        <v>13</v>
      </c>
      <c r="E718" s="3" t="s">
        <v>14</v>
      </c>
      <c r="F718" s="3" t="s">
        <v>15</v>
      </c>
      <c r="G718" s="3" t="s">
        <v>391</v>
      </c>
      <c r="H718" s="3" t="s">
        <v>165</v>
      </c>
      <c r="I718" s="3" t="str">
        <f>IFERROR(__xludf.DUMMYFUNCTION("GOOGLETRANSLATE(C718,""fr"",""en"")"),"I am satisfied with the value for money and the advantages provided by the insurance olive tree with no bonus and nor penalties I really find a price challenge all competition compared to the other insurance.")</f>
        <v>I am satisfied with the value for money and the advantages provided by the insurance olive tree with no bonus and nor penalties I really find a price challenge all competition compared to the other insurance.</v>
      </c>
    </row>
    <row r="719" ht="15.75" customHeight="1">
      <c r="A719" s="3">
        <v>1.0</v>
      </c>
      <c r="B719" s="3" t="s">
        <v>2057</v>
      </c>
      <c r="C719" s="3" t="s">
        <v>2058</v>
      </c>
      <c r="D719" s="3" t="s">
        <v>81</v>
      </c>
      <c r="E719" s="3" t="s">
        <v>14</v>
      </c>
      <c r="F719" s="3" t="s">
        <v>15</v>
      </c>
      <c r="G719" s="3" t="s">
        <v>1834</v>
      </c>
      <c r="H719" s="3" t="s">
        <v>287</v>
      </c>
      <c r="I719" s="3" t="str">
        <f>IFERROR(__xludf.DUMMYFUNCTION("GOOGLETRANSLATE(C719,""fr"",""en"")"),"If your car breaks down, make sure there are more than 3 hours of labor on it or otherwise you will find yourself on foot for the reparation time ... as a traveling entrepreneur, no equal car No money back ...")</f>
        <v>If your car breaks down, make sure there are more than 3 hours of labor on it or otherwise you will find yourself on foot for the reparation time ... as a traveling entrepreneur, no equal car No money back ...</v>
      </c>
    </row>
    <row r="720" ht="15.75" customHeight="1">
      <c r="A720" s="3">
        <v>5.0</v>
      </c>
      <c r="B720" s="3" t="s">
        <v>2059</v>
      </c>
      <c r="C720" s="3" t="s">
        <v>2060</v>
      </c>
      <c r="D720" s="3" t="s">
        <v>20</v>
      </c>
      <c r="E720" s="3" t="s">
        <v>21</v>
      </c>
      <c r="F720" s="3" t="s">
        <v>15</v>
      </c>
      <c r="G720" s="3" t="s">
        <v>865</v>
      </c>
      <c r="H720" s="3" t="s">
        <v>115</v>
      </c>
      <c r="I720" s="3" t="str">
        <f>IFERROR(__xludf.DUMMYFUNCTION("GOOGLETRANSLATE(C720,""fr"",""en"")"),"Effective and quick to subscribe to new insurance via the Internet.
Impeccable service, nothing to report more but I have to fill the minimum number of characters =)")</f>
        <v>Effective and quick to subscribe to new insurance via the Internet.
Impeccable service, nothing to report more but I have to fill the minimum number of characters =)</v>
      </c>
    </row>
    <row r="721" ht="15.75" customHeight="1">
      <c r="A721" s="3">
        <v>4.0</v>
      </c>
      <c r="B721" s="3" t="s">
        <v>2061</v>
      </c>
      <c r="C721" s="3" t="s">
        <v>2062</v>
      </c>
      <c r="D721" s="3" t="s">
        <v>42</v>
      </c>
      <c r="E721" s="3" t="s">
        <v>14</v>
      </c>
      <c r="F721" s="3" t="s">
        <v>15</v>
      </c>
      <c r="G721" s="3" t="s">
        <v>2063</v>
      </c>
      <c r="H721" s="3" t="s">
        <v>23</v>
      </c>
      <c r="I721" s="3" t="str">
        <f>IFERROR(__xludf.DUMMYFUNCTION("GOOGLETRANSLATE(C721,""fr"",""en"")"),"Satisfied with the price, it is the first time that I assure my vehicle at home have seen later. For my home you are at the top, I had no.Problem no criticism at Emetre.
")</f>
        <v>Satisfied with the price, it is the first time that I assure my vehicle at home have seen later. For my home you are at the top, I had no.Problem no criticism at Emetre.
</v>
      </c>
    </row>
    <row r="722" ht="15.75" customHeight="1">
      <c r="A722" s="3">
        <v>3.0</v>
      </c>
      <c r="B722" s="3" t="s">
        <v>2064</v>
      </c>
      <c r="C722" s="3" t="s">
        <v>2065</v>
      </c>
      <c r="D722" s="3" t="s">
        <v>81</v>
      </c>
      <c r="E722" s="3" t="s">
        <v>14</v>
      </c>
      <c r="F722" s="3" t="s">
        <v>15</v>
      </c>
      <c r="G722" s="3" t="s">
        <v>300</v>
      </c>
      <c r="H722" s="3" t="s">
        <v>52</v>
      </c>
      <c r="I722" s="3" t="str">
        <f>IFERROR(__xludf.DUMMYFUNCTION("GOOGLETRANSLATE(C722,""fr"",""en"")"),"I have been at the Macif for years and I am very satisfied until the day I was the victim of a usurpation of
Numberplate .
I will not explain my very complex problem here but after a lot of complaint deposits I have the impression that the Macif still d"&amp;"oubts my good time.
I changed my registration number.
Well, I was confirmed (phone) that I will have no penalty and that I would keep my 50% bonus.
The Macif asks me for the results of my complaints from the police, but what to do the police informs me"&amp;" of anything.
I am a little can disappoint because I have already had 2 or 3 no responsible clashes and I was paid without problem.")</f>
        <v>I have been at the Macif for years and I am very satisfied until the day I was the victim of a usurpation of
Numberplate .
I will not explain my very complex problem here but after a lot of complaint deposits I have the impression that the Macif still doubts my good time.
I changed my registration number.
Well, I was confirmed (phone) that I will have no penalty and that I would keep my 50% bonus.
The Macif asks me for the results of my complaints from the police, but what to do the police informs me of anything.
I am a little can disappoint because I have already had 2 or 3 no responsible clashes and I was paid without problem.</v>
      </c>
    </row>
    <row r="723" ht="15.75" customHeight="1">
      <c r="A723" s="3">
        <v>5.0</v>
      </c>
      <c r="B723" s="3" t="s">
        <v>2066</v>
      </c>
      <c r="C723" s="3" t="s">
        <v>2067</v>
      </c>
      <c r="D723" s="3" t="s">
        <v>20</v>
      </c>
      <c r="E723" s="3" t="s">
        <v>21</v>
      </c>
      <c r="F723" s="3" t="s">
        <v>15</v>
      </c>
      <c r="G723" s="3" t="s">
        <v>636</v>
      </c>
      <c r="H723" s="3" t="s">
        <v>23</v>
      </c>
      <c r="I723" s="3" t="str">
        <f>IFERROR(__xludf.DUMMYFUNCTION("GOOGLETRANSLATE(C723,""fr"",""en"")"),"Fast and effective good luck everyone I really regretted doing it meadows they were reasonable and it's not expensive at all good luck to everyone thank you")</f>
        <v>Fast and effective good luck everyone I really regretted doing it meadows they were reasonable and it's not expensive at all good luck to everyone thank you</v>
      </c>
    </row>
    <row r="724" ht="15.75" customHeight="1">
      <c r="A724" s="3">
        <v>2.0</v>
      </c>
      <c r="B724" s="3" t="s">
        <v>2068</v>
      </c>
      <c r="C724" s="3" t="s">
        <v>2069</v>
      </c>
      <c r="D724" s="3" t="s">
        <v>81</v>
      </c>
      <c r="E724" s="3" t="s">
        <v>21</v>
      </c>
      <c r="F724" s="3" t="s">
        <v>15</v>
      </c>
      <c r="G724" s="3" t="s">
        <v>2070</v>
      </c>
      <c r="H724" s="3" t="s">
        <v>17</v>
      </c>
      <c r="I724" s="3" t="str">
        <f>IFERROR(__xludf.DUMMYFUNCTION("GOOGLETRANSLATE(C724,""fr"",""en"")"),"The prices are not disappointing as well as to do the quote online all this is good and on the other hand the telephone service a disaster it is just if they do not tell you to clear if we are not happy better to go directly in An agency I do not recommen"&amp;"d the telephone site a big problem at all at Macif")</f>
        <v>The prices are not disappointing as well as to do the quote online all this is good and on the other hand the telephone service a disaster it is just if they do not tell you to clear if we are not happy better to go directly in An agency I do not recommend the telephone site a big problem at all at Macif</v>
      </c>
    </row>
    <row r="725" ht="15.75" customHeight="1">
      <c r="A725" s="3">
        <v>4.0</v>
      </c>
      <c r="B725" s="3" t="s">
        <v>2071</v>
      </c>
      <c r="C725" s="3" t="s">
        <v>2072</v>
      </c>
      <c r="D725" s="3" t="s">
        <v>42</v>
      </c>
      <c r="E725" s="3" t="s">
        <v>14</v>
      </c>
      <c r="F725" s="3" t="s">
        <v>15</v>
      </c>
      <c r="G725" s="3" t="s">
        <v>1152</v>
      </c>
      <c r="H725" s="3" t="s">
        <v>86</v>
      </c>
      <c r="I725" s="3" t="str">
        <f>IFERROR(__xludf.DUMMYFUNCTION("GOOGLETRANSLATE(C725,""fr"",""en"")"),"I am satisfied on the price and the insurance offer and I am satisfied with the formula as well as the speed of the quote and contract established on the Internet. I recommend direct insurance.
THANK YOU")</f>
        <v>I am satisfied on the price and the insurance offer and I am satisfied with the formula as well as the speed of the quote and contract established on the Internet. I recommend direct insurance.
THANK YOU</v>
      </c>
    </row>
    <row r="726" ht="15.75" customHeight="1">
      <c r="A726" s="3">
        <v>3.0</v>
      </c>
      <c r="B726" s="3" t="s">
        <v>2073</v>
      </c>
      <c r="C726" s="3" t="s">
        <v>2074</v>
      </c>
      <c r="D726" s="3" t="s">
        <v>695</v>
      </c>
      <c r="E726" s="3" t="s">
        <v>109</v>
      </c>
      <c r="F726" s="3" t="s">
        <v>15</v>
      </c>
      <c r="G726" s="3" t="s">
        <v>2075</v>
      </c>
      <c r="H726" s="3" t="s">
        <v>253</v>
      </c>
      <c r="I726" s="3" t="str">
        <f>IFERROR(__xludf.DUMMYFUNCTION("GOOGLETRANSLATE(C726,""fr"",""en"")"),"The rules of the contract are respected, but we have surprises to renew contributions if your pet has had a big concern for health or when he ages
Contributions increase by 30 to 50 % per year
We are no longer in a collective risk insurance scheme. Like"&amp;" everywhere, you have to earn money.
I have 2 elderly dogs. It is clear that it will rub shoulders with more contributions than veterinary costs.
You have a long -term interest in being your own insurer !!!")</f>
        <v>The rules of the contract are respected, but we have surprises to renew contributions if your pet has had a big concern for health or when he ages
Contributions increase by 30 to 50 % per year
We are no longer in a collective risk insurance scheme. Like everywhere, you have to earn money.
I have 2 elderly dogs. It is clear that it will rub shoulders with more contributions than veterinary costs.
You have a long -term interest in being your own insurer !!!</v>
      </c>
    </row>
    <row r="727" ht="15.75" customHeight="1">
      <c r="A727" s="3">
        <v>4.0</v>
      </c>
      <c r="B727" s="3" t="s">
        <v>2076</v>
      </c>
      <c r="C727" s="3" t="s">
        <v>2077</v>
      </c>
      <c r="D727" s="3" t="s">
        <v>42</v>
      </c>
      <c r="E727" s="3" t="s">
        <v>14</v>
      </c>
      <c r="F727" s="3" t="s">
        <v>15</v>
      </c>
      <c r="G727" s="3" t="s">
        <v>23</v>
      </c>
      <c r="H727" s="3" t="s">
        <v>23</v>
      </c>
      <c r="I727" s="3" t="str">
        <f>IFERROR(__xludf.DUMMYFUNCTION("GOOGLETRANSLATE(C727,""fr"",""en"")"),"As long as there is no claim, I do not have the opportunity to test the services, so I can only judge on the management aspect of the subscription and the annual price, which seems correct without more.")</f>
        <v>As long as there is no claim, I do not have the opportunity to test the services, so I can only judge on the management aspect of the subscription and the annual price, which seems correct without more.</v>
      </c>
    </row>
    <row r="728" ht="15.75" customHeight="1">
      <c r="A728" s="3">
        <v>5.0</v>
      </c>
      <c r="B728" s="3" t="s">
        <v>2078</v>
      </c>
      <c r="C728" s="3" t="s">
        <v>2079</v>
      </c>
      <c r="D728" s="3" t="s">
        <v>310</v>
      </c>
      <c r="E728" s="3" t="s">
        <v>311</v>
      </c>
      <c r="F728" s="3" t="s">
        <v>15</v>
      </c>
      <c r="G728" s="3" t="s">
        <v>2080</v>
      </c>
      <c r="H728" s="3" t="s">
        <v>105</v>
      </c>
      <c r="I728" s="3" t="str">
        <f>IFERROR(__xludf.DUMMYFUNCTION("GOOGLETRANSLATE(C728,""fr"",""en"")"),"I am satisfied with the service offered by Zen Up. The advisor is attentive and very responsive. The price offered for insurance is unbeatable of the most everything is very simply remotely.")</f>
        <v>I am satisfied with the service offered by Zen Up. The advisor is attentive and very responsive. The price offered for insurance is unbeatable of the most everything is very simply remotely.</v>
      </c>
    </row>
    <row r="729" ht="15.75" customHeight="1">
      <c r="A729" s="3">
        <v>2.0</v>
      </c>
      <c r="B729" s="3" t="s">
        <v>2081</v>
      </c>
      <c r="C729" s="3" t="s">
        <v>2082</v>
      </c>
      <c r="D729" s="3" t="s">
        <v>81</v>
      </c>
      <c r="E729" s="3" t="s">
        <v>33</v>
      </c>
      <c r="F729" s="3" t="s">
        <v>15</v>
      </c>
      <c r="G729" s="3" t="s">
        <v>2083</v>
      </c>
      <c r="H729" s="3" t="s">
        <v>534</v>
      </c>
      <c r="I729" s="3" t="str">
        <f>IFERROR(__xludf.DUMMYFUNCTION("GOOGLETRANSLATE(C729,""fr"",""en"")"),"Very decreed by the Macif no sinter until the day when it happens bodily service")</f>
        <v>Very decreed by the Macif no sinter until the day when it happens bodily service</v>
      </c>
    </row>
    <row r="730" ht="15.75" customHeight="1">
      <c r="A730" s="3">
        <v>3.0</v>
      </c>
      <c r="B730" s="3" t="s">
        <v>2084</v>
      </c>
      <c r="C730" s="3" t="s">
        <v>2085</v>
      </c>
      <c r="D730" s="3" t="s">
        <v>549</v>
      </c>
      <c r="E730" s="3" t="s">
        <v>21</v>
      </c>
      <c r="F730" s="3" t="s">
        <v>15</v>
      </c>
      <c r="G730" s="3" t="s">
        <v>2086</v>
      </c>
      <c r="H730" s="3" t="s">
        <v>429</v>
      </c>
      <c r="I730" s="3" t="str">
        <f>IFERROR(__xludf.DUMMYFUNCTION("GOOGLETRANSLATE(C730,""fr"",""en"")"),"Insured for 4 years at the Mutuelle des Motards, I had a non -responsible accident on May 12, I am still not reimbursing € 1,800 of the garage invoice. They did not want to advance the costs. They are never reachable. And the only times or I manage to hav"&amp;"e someone on the phone she takes me high.
So price level: very high
Availability of agents: never reachable
intervention quality, already 4 months still not reimbursed
")</f>
        <v>Insured for 4 years at the Mutuelle des Motards, I had a non -responsible accident on May 12, I am still not reimbursing € 1,800 of the garage invoice. They did not want to advance the costs. They are never reachable. And the only times or I manage to have someone on the phone she takes me high.
So price level: very high
Availability of agents: never reachable
intervention quality, already 4 months still not reimbursed
</v>
      </c>
    </row>
    <row r="731" ht="15.75" customHeight="1">
      <c r="A731" s="3">
        <v>1.0</v>
      </c>
      <c r="B731" s="3" t="s">
        <v>2087</v>
      </c>
      <c r="C731" s="3" t="s">
        <v>2088</v>
      </c>
      <c r="D731" s="3" t="s">
        <v>214</v>
      </c>
      <c r="E731" s="3" t="s">
        <v>98</v>
      </c>
      <c r="F731" s="3" t="s">
        <v>15</v>
      </c>
      <c r="G731" s="3" t="s">
        <v>2089</v>
      </c>
      <c r="H731" s="3" t="s">
        <v>86</v>
      </c>
      <c r="I731" s="3" t="str">
        <f>IFERROR(__xludf.DUMMYFUNCTION("GOOGLETRANSLATE(C731,""fr"",""en"")"),"The customer service is zero!
The advisor hangs up when asking the question. The waiting time 25 minutes. They do everything to reimburse anything!
")</f>
        <v>The customer service is zero!
The advisor hangs up when asking the question. The waiting time 25 minutes. They do everything to reimburse anything!
</v>
      </c>
    </row>
    <row r="732" ht="15.75" customHeight="1">
      <c r="A732" s="3">
        <v>5.0</v>
      </c>
      <c r="B732" s="3" t="s">
        <v>2090</v>
      </c>
      <c r="C732" s="3" t="s">
        <v>2091</v>
      </c>
      <c r="D732" s="3" t="s">
        <v>140</v>
      </c>
      <c r="E732" s="3" t="s">
        <v>98</v>
      </c>
      <c r="F732" s="3" t="s">
        <v>15</v>
      </c>
      <c r="G732" s="3" t="s">
        <v>2092</v>
      </c>
      <c r="H732" s="3" t="s">
        <v>29</v>
      </c>
      <c r="I732" s="3" t="str">
        <f>IFERROR(__xludf.DUMMYFUNCTION("GOOGLETRANSLATE(C732,""fr"",""en"")"),"Lamia thank you for your professionalism.
Each call I have good answers and all my requests are made.
listening.
I recommend")</f>
        <v>Lamia thank you for your professionalism.
Each call I have good answers and all my requests are made.
listening.
I recommend</v>
      </c>
    </row>
    <row r="733" ht="15.75" customHeight="1">
      <c r="A733" s="3">
        <v>3.0</v>
      </c>
      <c r="B733" s="3" t="s">
        <v>2093</v>
      </c>
      <c r="C733" s="3" t="s">
        <v>2094</v>
      </c>
      <c r="D733" s="3" t="s">
        <v>20</v>
      </c>
      <c r="E733" s="3" t="s">
        <v>21</v>
      </c>
      <c r="F733" s="3" t="s">
        <v>15</v>
      </c>
      <c r="G733" s="3" t="s">
        <v>2095</v>
      </c>
      <c r="H733" s="3" t="s">
        <v>224</v>
      </c>
      <c r="I733" s="3" t="str">
        <f>IFERROR(__xludf.DUMMYFUNCTION("GOOGLETRANSLATE(C733,""fr"",""en"")"),"Easily reachable by phone
Easy to make online quote with clear options
To see now if the insurer will be present for me in the event of a disaster ...")</f>
        <v>Easily reachable by phone
Easy to make online quote with clear options
To see now if the insurer will be present for me in the event of a disaster ...</v>
      </c>
    </row>
    <row r="734" ht="15.75" customHeight="1">
      <c r="A734" s="3">
        <v>1.0</v>
      </c>
      <c r="B734" s="3" t="s">
        <v>2096</v>
      </c>
      <c r="C734" s="3" t="s">
        <v>2097</v>
      </c>
      <c r="D734" s="3" t="s">
        <v>13</v>
      </c>
      <c r="E734" s="3" t="s">
        <v>14</v>
      </c>
      <c r="F734" s="3" t="s">
        <v>15</v>
      </c>
      <c r="G734" s="3" t="s">
        <v>2098</v>
      </c>
      <c r="H734" s="3" t="s">
        <v>91</v>
      </c>
      <c r="I734" s="3" t="str">
        <f>IFERROR(__xludf.DUMMYFUNCTION("GOOGLETRANSLATE(C734,""fr"",""en"")"),"Good evening since 09/29/20 A request for termination via the Hamon law is underway and to date nothing is done, the olive tree confirms the reception of the mail but refuses to terminate because it requires proof of deposit of the request for termination"&amp;". For 8 weeks now I have been in regular contact with the olive tree and Direct Assurances to solve this problem. Direct Assurances provided me with an acknowledgment number but the olive tree does not accept it. Today I made a complaint in the quality se"&amp;"rvice which replied that he had the mail but no proof of deposit.
Next step = referral to the insurance mediator
")</f>
        <v>Good evening since 09/29/20 A request for termination via the Hamon law is underway and to date nothing is done, the olive tree confirms the reception of the mail but refuses to terminate because it requires proof of deposit of the request for termination. For 8 weeks now I have been in regular contact with the olive tree and Direct Assurances to solve this problem. Direct Assurances provided me with an acknowledgment number but the olive tree does not accept it. Today I made a complaint in the quality service which replied that he had the mail but no proof of deposit.
Next step = referral to the insurance mediator
</v>
      </c>
    </row>
    <row r="735" ht="15.75" customHeight="1">
      <c r="A735" s="3">
        <v>2.0</v>
      </c>
      <c r="B735" s="3" t="s">
        <v>2099</v>
      </c>
      <c r="C735" s="3" t="s">
        <v>2100</v>
      </c>
      <c r="D735" s="3" t="s">
        <v>42</v>
      </c>
      <c r="E735" s="3" t="s">
        <v>14</v>
      </c>
      <c r="F735" s="3" t="s">
        <v>15</v>
      </c>
      <c r="G735" s="3" t="s">
        <v>972</v>
      </c>
      <c r="H735" s="3" t="s">
        <v>165</v>
      </c>
      <c r="I735" s="3" t="str">
        <f>IFERROR(__xludf.DUMMYFUNCTION("GOOGLETRANSLATE(C735,""fr"",""en"")"),"Listening insurance but prices increase each year despite the increase in bonuses.
No reason is given
Is no longer competitive enough. I will compare the prices of other insurances to change it.")</f>
        <v>Listening insurance but prices increase each year despite the increase in bonuses.
No reason is given
Is no longer competitive enough. I will compare the prices of other insurances to change it.</v>
      </c>
    </row>
    <row r="736" ht="15.75" customHeight="1">
      <c r="A736" s="3">
        <v>3.0</v>
      </c>
      <c r="B736" s="3" t="s">
        <v>2101</v>
      </c>
      <c r="C736" s="3" t="s">
        <v>2102</v>
      </c>
      <c r="D736" s="3" t="s">
        <v>13</v>
      </c>
      <c r="E736" s="3" t="s">
        <v>14</v>
      </c>
      <c r="F736" s="3" t="s">
        <v>15</v>
      </c>
      <c r="G736" s="3" t="s">
        <v>2103</v>
      </c>
      <c r="H736" s="3" t="s">
        <v>165</v>
      </c>
      <c r="I736" s="3" t="str">
        <f>IFERROR(__xludf.DUMMYFUNCTION("GOOGLETRANSLATE(C736,""fr"",""en"")"),"Overall I am rather satisfied. Each of my questions find an answer whenever I call, thanks to the skill and listening to online advisers.")</f>
        <v>Overall I am rather satisfied. Each of my questions find an answer whenever I call, thanks to the skill and listening to online advisers.</v>
      </c>
    </row>
    <row r="737" ht="15.75" customHeight="1">
      <c r="A737" s="3">
        <v>2.0</v>
      </c>
      <c r="B737" s="3" t="s">
        <v>2104</v>
      </c>
      <c r="C737" s="3" t="s">
        <v>2105</v>
      </c>
      <c r="D737" s="3" t="s">
        <v>175</v>
      </c>
      <c r="E737" s="3" t="s">
        <v>311</v>
      </c>
      <c r="F737" s="3" t="s">
        <v>15</v>
      </c>
      <c r="G737" s="3" t="s">
        <v>845</v>
      </c>
      <c r="H737" s="3" t="s">
        <v>165</v>
      </c>
      <c r="I737" s="3" t="str">
        <f>IFERROR(__xludf.DUMMYFUNCTION("GOOGLETRANSLATE(C737,""fr"",""en"")"),"Disappointed, my husband has died since January 4, 2021, insured for a mortgage at 50 percent.
Request in addition to complementary papers, and since file under study, it is true that following mourning, we have that that to make insurers wait.
A shame."&amp;" Soon six months.")</f>
        <v>Disappointed, my husband has died since January 4, 2021, insured for a mortgage at 50 percent.
Request in addition to complementary papers, and since file under study, it is true that following mourning, we have that that to make insurers wait.
A shame. Soon six months.</v>
      </c>
    </row>
    <row r="738" ht="15.75" customHeight="1">
      <c r="A738" s="3">
        <v>3.0</v>
      </c>
      <c r="B738" s="3" t="s">
        <v>2106</v>
      </c>
      <c r="C738" s="3" t="s">
        <v>2107</v>
      </c>
      <c r="D738" s="3" t="s">
        <v>108</v>
      </c>
      <c r="E738" s="3" t="s">
        <v>109</v>
      </c>
      <c r="F738" s="3" t="s">
        <v>15</v>
      </c>
      <c r="G738" s="3" t="s">
        <v>2108</v>
      </c>
      <c r="H738" s="3" t="s">
        <v>478</v>
      </c>
      <c r="I738" s="3" t="str">
        <f>IFERROR(__xludf.DUMMYFUNCTION("GOOGLETRANSLATE(C738,""fr"",""en"")"),"Very very disappointed. Please note that you are made by phone to sell you the highest contract and ultimately very badly reimbursed. This insurance is a joke. I do not recommend this insurance")</f>
        <v>Very very disappointed. Please note that you are made by phone to sell you the highest contract and ultimately very badly reimbursed. This insurance is a joke. I do not recommend this insurance</v>
      </c>
    </row>
    <row r="739" ht="15.75" customHeight="1">
      <c r="A739" s="3">
        <v>2.0</v>
      </c>
      <c r="B739" s="3" t="s">
        <v>2109</v>
      </c>
      <c r="C739" s="3" t="s">
        <v>2110</v>
      </c>
      <c r="D739" s="3" t="s">
        <v>140</v>
      </c>
      <c r="E739" s="3" t="s">
        <v>98</v>
      </c>
      <c r="F739" s="3" t="s">
        <v>15</v>
      </c>
      <c r="G739" s="3" t="s">
        <v>1225</v>
      </c>
      <c r="H739" s="3" t="s">
        <v>44</v>
      </c>
      <c r="I739" s="3" t="str">
        <f>IFERROR(__xludf.DUMMYFUNCTION("GOOGLETRANSLATE(C739,""fr"",""en"")"),"Nisrine my charming and attentive telephone advisor. But. There is a big but. Impossible to obtain my request for care sent on June 2 before me and June 11 by my optician. This one calls Santiane who confirms that the care has been made. But do not respon"&amp;"d to the optician who cannot process my file. I still have no glasses !!!!! Very angry. I will not recommend on Internet opinions. Sorry. Too disappointed")</f>
        <v>Nisrine my charming and attentive telephone advisor. But. There is a big but. Impossible to obtain my request for care sent on June 2 before me and June 11 by my optician. This one calls Santiane who confirms that the care has been made. But do not respond to the optician who cannot process my file. I still have no glasses !!!!! Very angry. I will not recommend on Internet opinions. Sorry. Too disappointed</v>
      </c>
    </row>
    <row r="740" ht="15.75" customHeight="1">
      <c r="A740" s="3">
        <v>5.0</v>
      </c>
      <c r="B740" s="3" t="s">
        <v>2111</v>
      </c>
      <c r="C740" s="3" t="s">
        <v>2112</v>
      </c>
      <c r="D740" s="3" t="s">
        <v>13</v>
      </c>
      <c r="E740" s="3" t="s">
        <v>14</v>
      </c>
      <c r="F740" s="3" t="s">
        <v>15</v>
      </c>
      <c r="G740" s="3" t="s">
        <v>2113</v>
      </c>
      <c r="H740" s="3" t="s">
        <v>60</v>
      </c>
      <c r="I740" s="3" t="str">
        <f>IFERROR(__xludf.DUMMYFUNCTION("GOOGLETRANSLATE(C740,""fr"",""en"")"),"Welcome, immediate responsiveness and attractive prices")</f>
        <v>Welcome, immediate responsiveness and attractive prices</v>
      </c>
    </row>
    <row r="741" ht="15.75" customHeight="1">
      <c r="A741" s="3">
        <v>4.0</v>
      </c>
      <c r="B741" s="3" t="s">
        <v>2114</v>
      </c>
      <c r="C741" s="3" t="s">
        <v>2115</v>
      </c>
      <c r="D741" s="3" t="s">
        <v>42</v>
      </c>
      <c r="E741" s="3" t="s">
        <v>14</v>
      </c>
      <c r="F741" s="3" t="s">
        <v>15</v>
      </c>
      <c r="G741" s="3" t="s">
        <v>2116</v>
      </c>
      <c r="H741" s="3" t="s">
        <v>165</v>
      </c>
      <c r="I741" s="3" t="str">
        <f>IFERROR(__xludf.DUMMYFUNCTION("GOOGLETRANSLATE(C741,""fr"",""en"")"),"generally satisfies prices and services offered. On the other hand, the personal space is not always very clear and responsive or even a few bugs. document sent and indicated as not received.")</f>
        <v>generally satisfies prices and services offered. On the other hand, the personal space is not always very clear and responsive or even a few bugs. document sent and indicated as not received.</v>
      </c>
    </row>
    <row r="742" ht="15.75" customHeight="1">
      <c r="A742" s="3">
        <v>1.0</v>
      </c>
      <c r="B742" s="3" t="s">
        <v>2117</v>
      </c>
      <c r="C742" s="3" t="s">
        <v>2118</v>
      </c>
      <c r="D742" s="3" t="s">
        <v>81</v>
      </c>
      <c r="E742" s="3" t="s">
        <v>14</v>
      </c>
      <c r="F742" s="3" t="s">
        <v>15</v>
      </c>
      <c r="G742" s="3" t="s">
        <v>2119</v>
      </c>
      <c r="H742" s="3" t="s">
        <v>119</v>
      </c>
      <c r="I742" s="3" t="str">
        <f>IFERROR(__xludf.DUMMYFUNCTION("GOOGLETRANSLATE(C742,""fr"",""en"")"),"Hello, a car made a hanging with my car we made two observation signed me I deposited mine as it was and the woman made another completely different observation we emitting my signature and invented a witness the MCIF reimburse the damme and I took me for"&amp;" a scam when it is she at fault")</f>
        <v>Hello, a car made a hanging with my car we made two observation signed me I deposited mine as it was and the woman made another completely different observation we emitting my signature and invented a witness the MCIF reimburse the damme and I took me for a scam when it is she at fault</v>
      </c>
    </row>
    <row r="743" ht="15.75" customHeight="1">
      <c r="A743" s="3">
        <v>3.0</v>
      </c>
      <c r="B743" s="3" t="s">
        <v>2120</v>
      </c>
      <c r="C743" s="3" t="s">
        <v>2121</v>
      </c>
      <c r="D743" s="3" t="s">
        <v>42</v>
      </c>
      <c r="E743" s="3" t="s">
        <v>14</v>
      </c>
      <c r="F743" s="3" t="s">
        <v>15</v>
      </c>
      <c r="G743" s="3" t="s">
        <v>2122</v>
      </c>
      <c r="H743" s="3" t="s">
        <v>119</v>
      </c>
      <c r="I743" s="3" t="str">
        <f>IFERROR(__xludf.DUMMYFUNCTION("GOOGLETRANSLATE(C743,""fr"",""en"")"),"Raised since 19/09 I spend my time on the phone with them (Maghreb platform)!
Not damn to explain things simply, returns responsibility for AXA assistance, unable to question yourself!")</f>
        <v>Raised since 19/09 I spend my time on the phone with them (Maghreb platform)!
Not damn to explain things simply, returns responsibility for AXA assistance, unable to question yourself!</v>
      </c>
    </row>
    <row r="744" ht="15.75" customHeight="1">
      <c r="A744" s="3">
        <v>1.0</v>
      </c>
      <c r="B744" s="3" t="s">
        <v>2123</v>
      </c>
      <c r="C744" s="3" t="s">
        <v>2124</v>
      </c>
      <c r="D744" s="3" t="s">
        <v>47</v>
      </c>
      <c r="E744" s="3" t="s">
        <v>14</v>
      </c>
      <c r="F744" s="3" t="s">
        <v>15</v>
      </c>
      <c r="G744" s="3" t="s">
        <v>2125</v>
      </c>
      <c r="H744" s="3" t="s">
        <v>337</v>
      </c>
      <c r="I744" s="3" t="str">
        <f>IFERROR(__xludf.DUMMYFUNCTION("GOOGLETRANSLATE(C744,""fr"",""en"")"),"0/20. Starting from service to service without any response, astounding waiting time when have not groped in the nose, people never know anything, do not understand anything, and difficult to understand due to the speech problem, mind -blowing operators. "&amp;"... insurance that is just there to collect the money from the insured knowing that I have been a customer for more than 10 years ..... really disappointed .....")</f>
        <v>0/20. Starting from service to service without any response, astounding waiting time when have not groped in the nose, people never know anything, do not understand anything, and difficult to understand due to the speech problem, mind -blowing operators. ... insurance that is just there to collect the money from the insured knowing that I have been a customer for more than 10 years ..... really disappointed .....</v>
      </c>
    </row>
    <row r="745" ht="15.75" customHeight="1">
      <c r="A745" s="3">
        <v>5.0</v>
      </c>
      <c r="B745" s="3" t="s">
        <v>2126</v>
      </c>
      <c r="C745" s="3" t="s">
        <v>2127</v>
      </c>
      <c r="D745" s="3" t="s">
        <v>13</v>
      </c>
      <c r="E745" s="3" t="s">
        <v>14</v>
      </c>
      <c r="F745" s="3" t="s">
        <v>15</v>
      </c>
      <c r="G745" s="3" t="s">
        <v>1827</v>
      </c>
      <c r="H745" s="3" t="s">
        <v>39</v>
      </c>
      <c r="I745" s="3" t="str">
        <f>IFERROR(__xludf.DUMMYFUNCTION("GOOGLETRANSLATE(C745,""fr"",""en"")"),"I am satisfied with this service. Price that was offered to me is half cheaper than my current insurance.
The procedures are simple to perform.")</f>
        <v>I am satisfied with this service. Price that was offered to me is half cheaper than my current insurance.
The procedures are simple to perform.</v>
      </c>
    </row>
    <row r="746" ht="15.75" customHeight="1">
      <c r="A746" s="3">
        <v>1.0</v>
      </c>
      <c r="B746" s="3" t="s">
        <v>2128</v>
      </c>
      <c r="C746" s="3" t="s">
        <v>2129</v>
      </c>
      <c r="D746" s="3" t="s">
        <v>97</v>
      </c>
      <c r="E746" s="3" t="s">
        <v>98</v>
      </c>
      <c r="F746" s="3" t="s">
        <v>15</v>
      </c>
      <c r="G746" s="3" t="s">
        <v>432</v>
      </c>
      <c r="H746" s="3" t="s">
        <v>44</v>
      </c>
      <c r="I746" s="3" t="str">
        <f>IFERROR(__xludf.DUMMYFUNCTION("GOOGLETRANSLATE(C746,""fr"",""en"")"),"This insurance has tried 2 times to sell me insurance by going through a branch of my own assurrents. They have my banking rib numberos. They are not serious.")</f>
        <v>This insurance has tried 2 times to sell me insurance by going through a branch of my own assurrents. They have my banking rib numberos. They are not serious.</v>
      </c>
    </row>
    <row r="747" ht="15.75" customHeight="1">
      <c r="A747" s="3">
        <v>5.0</v>
      </c>
      <c r="B747" s="3" t="s">
        <v>2130</v>
      </c>
      <c r="C747" s="3" t="s">
        <v>2131</v>
      </c>
      <c r="D747" s="3" t="s">
        <v>42</v>
      </c>
      <c r="E747" s="3" t="s">
        <v>14</v>
      </c>
      <c r="F747" s="3" t="s">
        <v>15</v>
      </c>
      <c r="G747" s="3" t="s">
        <v>2132</v>
      </c>
      <c r="H747" s="3" t="s">
        <v>91</v>
      </c>
      <c r="I747" s="3" t="str">
        <f>IFERROR(__xludf.DUMMYFUNCTION("GOOGLETRANSLATE(C747,""fr"",""en"")"),"Never had an accident in a young driver. Too bad I have to wait 3 months to be reassured since the papers of my new car have been a little to do")</f>
        <v>Never had an accident in a young driver. Too bad I have to wait 3 months to be reassured since the papers of my new car have been a little to do</v>
      </c>
    </row>
    <row r="748" ht="15.75" customHeight="1">
      <c r="A748" s="3">
        <v>1.0</v>
      </c>
      <c r="B748" s="3" t="s">
        <v>2133</v>
      </c>
      <c r="C748" s="3" t="s">
        <v>2134</v>
      </c>
      <c r="D748" s="3" t="s">
        <v>42</v>
      </c>
      <c r="E748" s="3" t="s">
        <v>14</v>
      </c>
      <c r="F748" s="3" t="s">
        <v>15</v>
      </c>
      <c r="G748" s="3" t="s">
        <v>835</v>
      </c>
      <c r="H748" s="3" t="s">
        <v>86</v>
      </c>
      <c r="I748" s="3" t="str">
        <f>IFERROR(__xludf.DUMMYFUNCTION("GOOGLETRANSLATE(C748,""fr"",""en"")"),"Hello,
This is the 10th time that I have validated a quote, that I have paid, and 48 hours after we change the price. I have already called 10 times and each time I am told that it is settled and 48 hours after I was sent an email to pay an amount higher"&amp;" than the initial quote.
In addition, we refuse to apply a reduction linked to my bonus when it was applied to the person who advised me to join you.
Obviously the advisers are not effective see not serious.
")</f>
        <v>Hello,
This is the 10th time that I have validated a quote, that I have paid, and 48 hours after we change the price. I have already called 10 times and each time I am told that it is settled and 48 hours after I was sent an email to pay an amount higher than the initial quote.
In addition, we refuse to apply a reduction linked to my bonus when it was applied to the person who advised me to join you.
Obviously the advisers are not effective see not serious.
</v>
      </c>
    </row>
    <row r="749" ht="15.75" customHeight="1">
      <c r="A749" s="3">
        <v>1.0</v>
      </c>
      <c r="B749" s="3" t="s">
        <v>2135</v>
      </c>
      <c r="C749" s="3" t="s">
        <v>2136</v>
      </c>
      <c r="D749" s="3" t="s">
        <v>32</v>
      </c>
      <c r="E749" s="3" t="s">
        <v>14</v>
      </c>
      <c r="F749" s="3" t="s">
        <v>15</v>
      </c>
      <c r="G749" s="3" t="s">
        <v>2137</v>
      </c>
      <c r="H749" s="3" t="s">
        <v>274</v>
      </c>
      <c r="I749" s="3" t="str">
        <f>IFERROR(__xludf.DUMMYFUNCTION("GOOGLETRANSLATE(C749,""fr"",""en"")"),"In general satisfied but since Tuesday 3/10/2017 I spent several hours listening to their music from the answering machine and still currently on Monday 9/10 2017au telephone, there is still only the answering machine. After several tens of MN it cuts. At"&amp;" the moment, the mechanical voice suggests that I make an appointment, but no more space. I only want to stop the circulation of a vehicle today. I would have to move! If this problem continues, it will be urgent to seek insurance which deals directly by "&amp;"internet only with this insurance which does not manage to currently provide a simple telephone service.")</f>
        <v>In general satisfied but since Tuesday 3/10/2017 I spent several hours listening to their music from the answering machine and still currently on Monday 9/10 2017au telephone, there is still only the answering machine. After several tens of MN it cuts. At the moment, the mechanical voice suggests that I make an appointment, but no more space. I only want to stop the circulation of a vehicle today. I would have to move! If this problem continues, it will be urgent to seek insurance which deals directly by internet only with this insurance which does not manage to currently provide a simple telephone service.</v>
      </c>
    </row>
    <row r="750" ht="15.75" customHeight="1">
      <c r="A750" s="3">
        <v>2.0</v>
      </c>
      <c r="B750" s="3" t="s">
        <v>2138</v>
      </c>
      <c r="C750" s="3" t="s">
        <v>2139</v>
      </c>
      <c r="D750" s="3" t="s">
        <v>466</v>
      </c>
      <c r="E750" s="3" t="s">
        <v>14</v>
      </c>
      <c r="F750" s="3" t="s">
        <v>15</v>
      </c>
      <c r="G750" s="3" t="s">
        <v>1955</v>
      </c>
      <c r="H750" s="3" t="s">
        <v>248</v>
      </c>
      <c r="I750" s="3" t="str">
        <f>IFERROR(__xludf.DUMMYFUNCTION("GOOGLETRANSLATE(C750,""fr"",""en"")"),"Really not better than the others, does nothing in charge without deductible which remains enormous for what they are given in the year and the truly unpleasant advisers")</f>
        <v>Really not better than the others, does nothing in charge without deductible which remains enormous for what they are given in the year and the truly unpleasant advisers</v>
      </c>
    </row>
    <row r="751" ht="15.75" customHeight="1">
      <c r="A751" s="3">
        <v>5.0</v>
      </c>
      <c r="B751" s="3" t="s">
        <v>2140</v>
      </c>
      <c r="C751" s="3" t="s">
        <v>2141</v>
      </c>
      <c r="D751" s="3" t="s">
        <v>13</v>
      </c>
      <c r="E751" s="3" t="s">
        <v>14</v>
      </c>
      <c r="F751" s="3" t="s">
        <v>15</v>
      </c>
      <c r="G751" s="3" t="s">
        <v>1737</v>
      </c>
      <c r="H751" s="3" t="s">
        <v>39</v>
      </c>
      <c r="I751" s="3" t="str">
        <f>IFERROR(__xludf.DUMMYFUNCTION("GOOGLETRANSLATE(C751,""fr"",""en"")"),"Delighted to subscribe to Olivier Insurance, it's quickly and I recommend to my knowledge
Cordially. I hope I will not be disappointed in the coming days and it was quick online service I hope I will have the number of an advisor available to meet my nee"&amp;"ds")</f>
        <v>Delighted to subscribe to Olivier Insurance, it's quickly and I recommend to my knowledge
Cordially. I hope I will not be disappointed in the coming days and it was quick online service I hope I will have the number of an advisor available to meet my needs</v>
      </c>
    </row>
    <row r="752" ht="15.75" customHeight="1">
      <c r="A752" s="3">
        <v>4.0</v>
      </c>
      <c r="B752" s="3" t="s">
        <v>2142</v>
      </c>
      <c r="C752" s="3" t="s">
        <v>2143</v>
      </c>
      <c r="D752" s="3" t="s">
        <v>47</v>
      </c>
      <c r="E752" s="3" t="s">
        <v>14</v>
      </c>
      <c r="F752" s="3" t="s">
        <v>15</v>
      </c>
      <c r="G752" s="3" t="s">
        <v>2144</v>
      </c>
      <c r="H752" s="3" t="s">
        <v>75</v>
      </c>
      <c r="I752" s="3" t="str">
        <f>IFERROR(__xludf.DUMMYFUNCTION("GOOGLETRANSLATE(C752,""fr"",""en"")"),"Insurance dear to my taste, but followed by file very well.
The advisers are very kind.")</f>
        <v>Insurance dear to my taste, but followed by file very well.
The advisers are very kind.</v>
      </c>
    </row>
    <row r="753" ht="15.75" customHeight="1">
      <c r="A753" s="3">
        <v>1.0</v>
      </c>
      <c r="B753" s="3" t="s">
        <v>2145</v>
      </c>
      <c r="C753" s="3" t="s">
        <v>2146</v>
      </c>
      <c r="D753" s="3" t="s">
        <v>32</v>
      </c>
      <c r="E753" s="3" t="s">
        <v>14</v>
      </c>
      <c r="F753" s="3" t="s">
        <v>15</v>
      </c>
      <c r="G753" s="3" t="s">
        <v>409</v>
      </c>
      <c r="H753" s="3" t="s">
        <v>165</v>
      </c>
      <c r="I753" s="3" t="str">
        <f>IFERROR(__xludf.DUMMYFUNCTION("GOOGLETRANSLATE(C753,""fr"",""en"")"),"I am no longer satisfied with your services, especially since the beginning of March 2021 where I have been stolen and burnt down my vehicle and since that day, no compensation. Indeed since March 5, 2021, you made me damn for administrative documents alm"&amp;"ost not found and/or not in accordance with, which they imperatively had to have changed by incredible requests. In addition, you do not communicate information with the expertise firm you have chosen and on its side, the expertise firm does not send you "&amp;"the documents I have transmitted to them. It is all the same fabulous that it has to transmit to each the same documents. I have been with you for over 30 years, I pay all my contributions in time and now that I have a destroyed vehicle for the first time"&amp;", you are absent, it's shameful!")</f>
        <v>I am no longer satisfied with your services, especially since the beginning of March 2021 where I have been stolen and burnt down my vehicle and since that day, no compensation. Indeed since March 5, 2021, you made me damn for administrative documents almost not found and/or not in accordance with, which they imperatively had to have changed by incredible requests. In addition, you do not communicate information with the expertise firm you have chosen and on its side, the expertise firm does not send you the documents I have transmitted to them. It is all the same fabulous that it has to transmit to each the same documents. I have been with you for over 30 years, I pay all my contributions in time and now that I have a destroyed vehicle for the first time, you are absent, it's shameful!</v>
      </c>
    </row>
    <row r="754" ht="15.75" customHeight="1">
      <c r="A754" s="3">
        <v>4.0</v>
      </c>
      <c r="B754" s="3" t="s">
        <v>2147</v>
      </c>
      <c r="C754" s="3" t="s">
        <v>2148</v>
      </c>
      <c r="D754" s="3" t="s">
        <v>13</v>
      </c>
      <c r="E754" s="3" t="s">
        <v>14</v>
      </c>
      <c r="F754" s="3" t="s">
        <v>15</v>
      </c>
      <c r="G754" s="3" t="s">
        <v>496</v>
      </c>
      <c r="H754" s="3" t="s">
        <v>23</v>
      </c>
      <c r="I754" s="3" t="str">
        <f>IFERROR(__xludf.DUMMYFUNCTION("GOOGLETRANSLATE(C754,""fr"",""en"")"),"I am very satisfied with the customer service. The advisers are listened to and answer all questions. A little high price for young drivers")</f>
        <v>I am very satisfied with the customer service. The advisers are listened to and answer all questions. A little high price for young drivers</v>
      </c>
    </row>
    <row r="755" ht="15.75" customHeight="1">
      <c r="A755" s="3">
        <v>1.0</v>
      </c>
      <c r="B755" s="3" t="s">
        <v>2149</v>
      </c>
      <c r="C755" s="3" t="s">
        <v>2150</v>
      </c>
      <c r="D755" s="3" t="s">
        <v>1207</v>
      </c>
      <c r="E755" s="3" t="s">
        <v>194</v>
      </c>
      <c r="F755" s="3" t="s">
        <v>15</v>
      </c>
      <c r="G755" s="3" t="s">
        <v>2151</v>
      </c>
      <c r="H755" s="3" t="s">
        <v>898</v>
      </c>
      <c r="I755" s="3" t="str">
        <f>IFERROR(__xludf.DUMMYFUNCTION("GOOGLETRANSLATE(C755,""fr"",""en"")"),"Hello,
Flee this insurer !!! It is a shame, 3 months that I am ballad, a deplorable customer service which announces dates of processing files each time different !!!
It's been 3 months since I expect a salary supplement and only by what the scan of t"&amp;"he notice of work stoppage received is of poor quality I was asked for a copy of this notice.
After call on September 12, and discussion with customer service that saw him the right date on the advice I therefore see the opinion ... The person confirms h"&amp;"aving received it well and that this is readable. . And since then I am waiting ... by calling anyway regularly to find out where my file is and each time different processing dates are given to me ... a shame !!!
I had planned to change my mutual contra"&amp;"ct which is a little expensive as well as that of my companion and I had watched the site of AG2R and it seemed correct but given the responsiveness of this insurer, I ask myself a lot of questions and I don't think I do business with them !!! too bad for"&amp;" them !!!")</f>
        <v>Hello,
Flee this insurer !!! It is a shame, 3 months that I am ballad, a deplorable customer service which announces dates of processing files each time different !!!
It's been 3 months since I expect a salary supplement and only by what the scan of the notice of work stoppage received is of poor quality I was asked for a copy of this notice.
After call on September 12, and discussion with customer service that saw him the right date on the advice I therefore see the opinion ... The person confirms having received it well and that this is readable. . And since then I am waiting ... by calling anyway regularly to find out where my file is and each time different processing dates are given to me ... a shame !!!
I had planned to change my mutual contract which is a little expensive as well as that of my companion and I had watched the site of AG2R and it seemed correct but given the responsiveness of this insurer, I ask myself a lot of questions and I don't think I do business with them !!! too bad for them !!!</v>
      </c>
    </row>
    <row r="756" ht="15.75" customHeight="1">
      <c r="A756" s="3">
        <v>4.0</v>
      </c>
      <c r="B756" s="3" t="s">
        <v>2152</v>
      </c>
      <c r="C756" s="3" t="s">
        <v>2153</v>
      </c>
      <c r="D756" s="3" t="s">
        <v>140</v>
      </c>
      <c r="E756" s="3" t="s">
        <v>98</v>
      </c>
      <c r="F756" s="3" t="s">
        <v>15</v>
      </c>
      <c r="G756" s="3" t="s">
        <v>2154</v>
      </c>
      <c r="H756" s="3" t="s">
        <v>534</v>
      </c>
      <c r="I756" s="3" t="str">
        <f>IFERROR(__xludf.DUMMYFUNCTION("GOOGLETRANSLATE(C756,""fr"",""en"")"),"I am satisfied with our conversation with the person who contacted me, I find the conditions for the new interressable health.")</f>
        <v>I am satisfied with our conversation with the person who contacted me, I find the conditions for the new interressable health.</v>
      </c>
    </row>
    <row r="757" ht="15.75" customHeight="1">
      <c r="A757" s="3">
        <v>5.0</v>
      </c>
      <c r="B757" s="3" t="s">
        <v>2155</v>
      </c>
      <c r="C757" s="3" t="s">
        <v>2156</v>
      </c>
      <c r="D757" s="3" t="s">
        <v>13</v>
      </c>
      <c r="E757" s="3" t="s">
        <v>14</v>
      </c>
      <c r="F757" s="3" t="s">
        <v>15</v>
      </c>
      <c r="G757" s="3" t="s">
        <v>2157</v>
      </c>
      <c r="H757" s="3" t="s">
        <v>124</v>
      </c>
      <c r="I757" s="3" t="str">
        <f>IFERROR(__xludf.DUMMYFUNCTION("GOOGLETRANSLATE(C757,""fr"",""en"")"),"I changed auto insurance, and the olive tree is occupied with everything! The steps were super simple, and every question that I had received a quick and clear answer. The prices are really low, the deductibles also and no variable deductible which often "&amp;"gives unpleasant surprises ... Customer service is impeccable. The personal space on the internet is very clear and allowed to carry out all these approach easily without going by post.")</f>
        <v>I changed auto insurance, and the olive tree is occupied with everything! The steps were super simple, and every question that I had received a quick and clear answer. The prices are really low, the deductibles also and no variable deductible which often gives unpleasant surprises ... Customer service is impeccable. The personal space on the internet is very clear and allowed to carry out all these approach easily without going by post.</v>
      </c>
    </row>
    <row r="758" ht="15.75" customHeight="1">
      <c r="A758" s="3">
        <v>2.0</v>
      </c>
      <c r="B758" s="3" t="s">
        <v>2158</v>
      </c>
      <c r="C758" s="3" t="s">
        <v>2159</v>
      </c>
      <c r="D758" s="3" t="s">
        <v>182</v>
      </c>
      <c r="E758" s="3" t="s">
        <v>98</v>
      </c>
      <c r="F758" s="3" t="s">
        <v>15</v>
      </c>
      <c r="G758" s="3" t="s">
        <v>2160</v>
      </c>
      <c r="H758" s="3" t="s">
        <v>44</v>
      </c>
      <c r="I758" s="3" t="str">
        <f>IFERROR(__xludf.DUMMYFUNCTION("GOOGLETRANSLATE(C758,""fr"",""en"")"),"Lavable I was before mutualist mgen then business contract obliges we passed Istya then Mgen solution. The sites mixed the brushes I find myself being taken from the mutual of my husband as that, without asking anything! Refunds are not made or with a lot"&amp;" of discrepancy. Personal does not respond to emails. I ask myself if I am on the right site! All my colleagues have had problems and even one who works in an MGEN section !!!. It's the most complete mess! I'm going to take another mutual is unacceptable!")</f>
        <v>Lavable I was before mutualist mgen then business contract obliges we passed Istya then Mgen solution. The sites mixed the brushes I find myself being taken from the mutual of my husband as that, without asking anything! Refunds are not made or with a lot of discrepancy. Personal does not respond to emails. I ask myself if I am on the right site! All my colleagues have had problems and even one who works in an MGEN section !!!. It's the most complete mess! I'm going to take another mutual is unacceptable!</v>
      </c>
    </row>
    <row r="759" ht="15.75" customHeight="1">
      <c r="A759" s="3">
        <v>5.0</v>
      </c>
      <c r="B759" s="3" t="s">
        <v>2161</v>
      </c>
      <c r="C759" s="3" t="s">
        <v>2162</v>
      </c>
      <c r="D759" s="3" t="s">
        <v>32</v>
      </c>
      <c r="E759" s="3" t="s">
        <v>14</v>
      </c>
      <c r="F759" s="3" t="s">
        <v>15</v>
      </c>
      <c r="G759" s="3" t="s">
        <v>2163</v>
      </c>
      <c r="H759" s="3" t="s">
        <v>216</v>
      </c>
      <c r="I759" s="3" t="str">
        <f>IFERROR(__xludf.DUMMYFUNCTION("GOOGLETRANSLATE(C759,""fr"",""en"")"),"I have been assured GMF (home, car, legal) for over 10 years and I have always been very satisfied. Insurance is really their job and they do so.")</f>
        <v>I have been assured GMF (home, car, legal) for over 10 years and I have always been very satisfied. Insurance is really their job and they do so.</v>
      </c>
    </row>
    <row r="760" ht="15.75" customHeight="1">
      <c r="A760" s="3">
        <v>4.0</v>
      </c>
      <c r="B760" s="3" t="s">
        <v>2164</v>
      </c>
      <c r="C760" s="3" t="s">
        <v>2165</v>
      </c>
      <c r="D760" s="3" t="s">
        <v>140</v>
      </c>
      <c r="E760" s="3" t="s">
        <v>98</v>
      </c>
      <c r="F760" s="3" t="s">
        <v>15</v>
      </c>
      <c r="G760" s="3" t="s">
        <v>1288</v>
      </c>
      <c r="H760" s="3" t="s">
        <v>124</v>
      </c>
      <c r="I760" s="3" t="str">
        <f>IFERROR(__xludf.DUMMYFUNCTION("GOOGLETRANSLATE(C760,""fr"",""en"")"),"Excellent Santiane initiative who offered me an updating of my contract with a reduced premium and increased guarantees! What else?")</f>
        <v>Excellent Santiane initiative who offered me an updating of my contract with a reduced premium and increased guarantees! What else?</v>
      </c>
    </row>
    <row r="761" ht="15.75" customHeight="1">
      <c r="A761" s="3">
        <v>4.0</v>
      </c>
      <c r="B761" s="3" t="s">
        <v>2166</v>
      </c>
      <c r="C761" s="3" t="s">
        <v>2167</v>
      </c>
      <c r="D761" s="3" t="s">
        <v>13</v>
      </c>
      <c r="E761" s="3" t="s">
        <v>14</v>
      </c>
      <c r="F761" s="3" t="s">
        <v>15</v>
      </c>
      <c r="G761" s="3" t="s">
        <v>908</v>
      </c>
      <c r="H761" s="3" t="s">
        <v>75</v>
      </c>
      <c r="I761" s="3" t="str">
        <f>IFERROR(__xludf.DUMMYFUNCTION("GOOGLETRANSLATE(C761,""fr"",""en"")"),"I am happy with the service, simple, practical and effective, very pleasant telephone reception, for a first request I remain really satisfied")</f>
        <v>I am happy with the service, simple, practical and effective, very pleasant telephone reception, for a first request I remain really satisfied</v>
      </c>
    </row>
    <row r="762" ht="15.75" customHeight="1">
      <c r="A762" s="3">
        <v>2.0</v>
      </c>
      <c r="B762" s="3" t="s">
        <v>2168</v>
      </c>
      <c r="C762" s="3" t="s">
        <v>2169</v>
      </c>
      <c r="D762" s="3" t="s">
        <v>509</v>
      </c>
      <c r="E762" s="3" t="s">
        <v>14</v>
      </c>
      <c r="F762" s="3" t="s">
        <v>15</v>
      </c>
      <c r="G762" s="3" t="s">
        <v>2170</v>
      </c>
      <c r="H762" s="3" t="s">
        <v>660</v>
      </c>
      <c r="I762" s="3" t="str">
        <f>IFERROR(__xludf.DUMMYFUNCTION("GOOGLETRANSLATE(C762,""fr"",""en"")"),"Incredible CCOMPTION FOR AN Insurance Company that allows itself to make advertisements and whose attitude diverges in its actions.")</f>
        <v>Incredible CCOMPTION FOR AN Insurance Company that allows itself to make advertisements and whose attitude diverges in its actions.</v>
      </c>
    </row>
    <row r="763" ht="15.75" customHeight="1">
      <c r="A763" s="3">
        <v>3.0</v>
      </c>
      <c r="B763" s="3" t="s">
        <v>2171</v>
      </c>
      <c r="C763" s="3" t="s">
        <v>2172</v>
      </c>
      <c r="D763" s="3" t="s">
        <v>1207</v>
      </c>
      <c r="E763" s="3" t="s">
        <v>194</v>
      </c>
      <c r="F763" s="3" t="s">
        <v>15</v>
      </c>
      <c r="G763" s="3" t="s">
        <v>808</v>
      </c>
      <c r="H763" s="3" t="s">
        <v>119</v>
      </c>
      <c r="I763" s="3" t="str">
        <f>IFERROR(__xludf.DUMMYFUNCTION("GOOGLETRANSLATE(C763,""fr"",""en"")"),"Hello, I am exasperated by the slowness of processing my work stoppage file outside mission. I have stopped since 3.07.2019 !! Send the documents since July !! By post and electronic means. I do not stop calling! Always the same answer is in progress ...."&amp;" here I am at the limit of the Banque de France filing! Almost the end of September and still not pay, apart from the mails of documents to be completed (which I had already put in the file at the beginning ...) I have no payment! The situation is very se"&amp;"rious for me, and no way of communicating apart from the phone where no one can do anything !! It's tiring and using !!! I am desperate and don't know what to do !!")</f>
        <v>Hello, I am exasperated by the slowness of processing my work stoppage file outside mission. I have stopped since 3.07.2019 !! Send the documents since July !! By post and electronic means. I do not stop calling! Always the same answer is in progress .... here I am at the limit of the Banque de France filing! Almost the end of September and still not pay, apart from the mails of documents to be completed (which I had already put in the file at the beginning ...) I have no payment! The situation is very serious for me, and no way of communicating apart from the phone where no one can do anything !! It's tiring and using !!! I am desperate and don't know what to do !!</v>
      </c>
    </row>
    <row r="764" ht="15.75" customHeight="1">
      <c r="A764" s="3">
        <v>5.0</v>
      </c>
      <c r="B764" s="3" t="s">
        <v>2173</v>
      </c>
      <c r="C764" s="3" t="s">
        <v>2174</v>
      </c>
      <c r="D764" s="3" t="s">
        <v>69</v>
      </c>
      <c r="E764" s="3" t="s">
        <v>14</v>
      </c>
      <c r="F764" s="3" t="s">
        <v>15</v>
      </c>
      <c r="G764" s="3" t="s">
        <v>1137</v>
      </c>
      <c r="H764" s="3" t="s">
        <v>105</v>
      </c>
      <c r="I764" s="3" t="str">
        <f>IFERROR(__xludf.DUMMYFUNCTION("GOOGLETRANSLATE(C764,""fr"",""en"")"),"As far as I am concerned Eurofil/Aviva today I can put a note of 5/5. Several reasons: well-peated windshield while rolling quietly (not being my fact), taken care of by such with their partner Carglass, € 90 remaining at my expense (I saw on my invoice t"&amp;"he amount that My insurer will pay !!); A few days later, so today I receive my deadline for maturity and they played the game perfectly (cause for health crisis, repeated confinements ...), thank you very much for the price efforts 2021 and exceptional d"&amp;"iscount in 2020. Finally, I see very negative opinions and I hope they will respond positively if I really happened to me something more important/serious (like you), I touch wood !!")</f>
        <v>As far as I am concerned Eurofil/Aviva today I can put a note of 5/5. Several reasons: well-peated windshield while rolling quietly (not being my fact), taken care of by such with their partner Carglass, € 90 remaining at my expense (I saw on my invoice the amount that My insurer will pay !!); A few days later, so today I receive my deadline for maturity and they played the game perfectly (cause for health crisis, repeated confinements ...), thank you very much for the price efforts 2021 and exceptional discount in 2020. Finally, I see very negative opinions and I hope they will respond positively if I really happened to me something more important/serious (like you), I touch wood !!</v>
      </c>
    </row>
    <row r="765" ht="15.75" customHeight="1">
      <c r="A765" s="3">
        <v>1.0</v>
      </c>
      <c r="B765" s="3" t="s">
        <v>2175</v>
      </c>
      <c r="C765" s="3" t="s">
        <v>2176</v>
      </c>
      <c r="D765" s="3" t="s">
        <v>47</v>
      </c>
      <c r="E765" s="3" t="s">
        <v>14</v>
      </c>
      <c r="F765" s="3" t="s">
        <v>15</v>
      </c>
      <c r="G765" s="3" t="s">
        <v>22</v>
      </c>
      <c r="H765" s="3" t="s">
        <v>23</v>
      </c>
      <c r="I765" s="3" t="str">
        <f>IFERROR(__xludf.DUMMYFUNCTION("GOOGLETRANSLATE(C765,""fr"",""en"")"),"Be careful all is well ten that nothing happens during an accident with a boar the trouble we start we just good to pay to go to another insurer")</f>
        <v>Be careful all is well ten that nothing happens during an accident with a boar the trouble we start we just good to pay to go to another insurer</v>
      </c>
    </row>
    <row r="766" ht="15.75" customHeight="1">
      <c r="A766" s="3">
        <v>4.0</v>
      </c>
      <c r="B766" s="3" t="s">
        <v>2177</v>
      </c>
      <c r="C766" s="3" t="s">
        <v>2178</v>
      </c>
      <c r="D766" s="3" t="s">
        <v>97</v>
      </c>
      <c r="E766" s="3" t="s">
        <v>98</v>
      </c>
      <c r="F766" s="3" t="s">
        <v>15</v>
      </c>
      <c r="G766" s="3" t="s">
        <v>2179</v>
      </c>
      <c r="H766" s="3" t="s">
        <v>236</v>
      </c>
      <c r="I766" s="3" t="str">
        <f>IFERROR(__xludf.DUMMYFUNCTION("GOOGLETRANSLATE(C766,""fr"",""en"")"),"For this mutual rate with almost unbeatable value for money, it is better to go through a good broker who is available at such otherwise nothing to say !!")</f>
        <v>For this mutual rate with almost unbeatable value for money, it is better to go through a good broker who is available at such otherwise nothing to say !!</v>
      </c>
    </row>
    <row r="767" ht="15.75" customHeight="1">
      <c r="A767" s="3">
        <v>4.0</v>
      </c>
      <c r="B767" s="3" t="s">
        <v>2180</v>
      </c>
      <c r="C767" s="3" t="s">
        <v>2181</v>
      </c>
      <c r="D767" s="3" t="s">
        <v>214</v>
      </c>
      <c r="E767" s="3" t="s">
        <v>98</v>
      </c>
      <c r="F767" s="3" t="s">
        <v>15</v>
      </c>
      <c r="G767" s="3" t="s">
        <v>1937</v>
      </c>
      <c r="H767" s="3" t="s">
        <v>86</v>
      </c>
      <c r="I767" s="3" t="str">
        <f>IFERROR(__xludf.DUMMYFUNCTION("GOOGLETRANSLATE(C767,""fr"",""en"")"),"Hello, I do not understand the negative opinions for Mutuelle Harmonie, for my part I was never disappointed !!!!!!!!!! They are great, understanding, attentive, calm, listening ... They solve the problems even when it comes to the errors of medical offic"&amp;"es, I had a problem with my mom's dentist, Harmonie made Their maximum to arrange the situation .. I follow them entirely grateful and I actively recommend this company. You are at the top !!!!!")</f>
        <v>Hello, I do not understand the negative opinions for Mutuelle Harmonie, for my part I was never disappointed !!!!!!!!!! They are great, understanding, attentive, calm, listening ... They solve the problems even when it comes to the errors of medical offices, I had a problem with my mom's dentist, Harmonie made Their maximum to arrange the situation .. I follow them entirely grateful and I actively recommend this company. You are at the top !!!!!</v>
      </c>
    </row>
    <row r="768" ht="15.75" customHeight="1">
      <c r="A768" s="3">
        <v>1.0</v>
      </c>
      <c r="B768" s="3" t="s">
        <v>2182</v>
      </c>
      <c r="C768" s="3" t="s">
        <v>2183</v>
      </c>
      <c r="D768" s="3" t="s">
        <v>140</v>
      </c>
      <c r="E768" s="3" t="s">
        <v>98</v>
      </c>
      <c r="F768" s="3" t="s">
        <v>15</v>
      </c>
      <c r="G768" s="3" t="s">
        <v>266</v>
      </c>
      <c r="H768" s="3" t="s">
        <v>60</v>
      </c>
      <c r="I768" s="3" t="str">
        <f>IFERROR(__xludf.DUMMYFUNCTION("GOOGLETRANSLATE(C768,""fr"",""en"")"),"Contract subscribed on 05/05/2019 that problems since we do not even know who you have assured Neoliane Santiane Malakof Mederic Viamedis")</f>
        <v>Contract subscribed on 05/05/2019 that problems since we do not even know who you have assured Neoliane Santiane Malakof Mederic Viamedis</v>
      </c>
    </row>
    <row r="769" ht="15.75" customHeight="1">
      <c r="A769" s="3">
        <v>1.0</v>
      </c>
      <c r="B769" s="3" t="s">
        <v>2184</v>
      </c>
      <c r="C769" s="3" t="s">
        <v>2185</v>
      </c>
      <c r="D769" s="3" t="s">
        <v>47</v>
      </c>
      <c r="E769" s="3" t="s">
        <v>14</v>
      </c>
      <c r="F769" s="3" t="s">
        <v>15</v>
      </c>
      <c r="G769" s="3" t="s">
        <v>378</v>
      </c>
      <c r="H769" s="3" t="s">
        <v>23</v>
      </c>
      <c r="I769" s="3" t="str">
        <f>IFERROR(__xludf.DUMMYFUNCTION("GOOGLETRANSLATE(C769,""fr"",""en"")"),"Very bad treatment following Auto accident
For 4 days I have been waiting for a loan vehicle, no solution provided from insurance
Bad organization, bad communication: I am sent to an SMS to get the vehicle from a rental company with my own, 10 minutes a"&amp;"fter I am called to tell me that I can't go get the vehicle (not available). In agreement with an interlocutor, a friend can go get the vehicle the next day (since I work). Once there we refuse the vehicle loan ... and now waiting ... still no vehicle!
I"&amp;" do not recommend this insurance company for car insurance")</f>
        <v>Very bad treatment following Auto accident
For 4 days I have been waiting for a loan vehicle, no solution provided from insurance
Bad organization, bad communication: I am sent to an SMS to get the vehicle from a rental company with my own, 10 minutes after I am called to tell me that I can't go get the vehicle (not available). In agreement with an interlocutor, a friend can go get the vehicle the next day (since I work). Once there we refuse the vehicle loan ... and now waiting ... still no vehicle!
I do not recommend this insurance company for car insurance</v>
      </c>
    </row>
    <row r="770" ht="15.75" customHeight="1">
      <c r="A770" s="3">
        <v>4.0</v>
      </c>
      <c r="B770" s="3" t="s">
        <v>2186</v>
      </c>
      <c r="C770" s="3" t="s">
        <v>2187</v>
      </c>
      <c r="D770" s="3" t="s">
        <v>97</v>
      </c>
      <c r="E770" s="3" t="s">
        <v>98</v>
      </c>
      <c r="F770" s="3" t="s">
        <v>15</v>
      </c>
      <c r="G770" s="3" t="s">
        <v>2188</v>
      </c>
      <c r="H770" s="3" t="s">
        <v>898</v>
      </c>
      <c r="I770" s="3" t="str">
        <f>IFERROR(__xludf.DUMMYFUNCTION("GOOGLETRANSLATE(C770,""fr"",""en"")"),"Speed. Easy contact. Amabilite. The signing of the contract was fast. All documents raised in real time. I advise without worries")</f>
        <v>Speed. Easy contact. Amabilite. The signing of the contract was fast. All documents raised in real time. I advise without worries</v>
      </c>
    </row>
    <row r="771" ht="15.75" customHeight="1">
      <c r="A771" s="3">
        <v>2.0</v>
      </c>
      <c r="B771" s="3" t="s">
        <v>2189</v>
      </c>
      <c r="C771" s="3" t="s">
        <v>2190</v>
      </c>
      <c r="D771" s="3" t="s">
        <v>42</v>
      </c>
      <c r="E771" s="3" t="s">
        <v>14</v>
      </c>
      <c r="F771" s="3" t="s">
        <v>15</v>
      </c>
      <c r="G771" s="3" t="s">
        <v>155</v>
      </c>
      <c r="H771" s="3" t="s">
        <v>39</v>
      </c>
      <c r="I771" s="3" t="str">
        <f>IFERROR(__xludf.DUMMYFUNCTION("GOOGLETRANSLATE(C771,""fr"",""en"")"),"To bait the new customer, the prices are there, then over time the price swells, even without any accident. And competition to date is cheaper.
So it's up to you")</f>
        <v>To bait the new customer, the prices are there, then over time the price swells, even without any accident. And competition to date is cheaper.
So it's up to you</v>
      </c>
    </row>
    <row r="772" ht="15.75" customHeight="1">
      <c r="A772" s="3">
        <v>5.0</v>
      </c>
      <c r="B772" s="3" t="s">
        <v>2191</v>
      </c>
      <c r="C772" s="3" t="s">
        <v>2192</v>
      </c>
      <c r="D772" s="3" t="s">
        <v>103</v>
      </c>
      <c r="E772" s="3" t="s">
        <v>98</v>
      </c>
      <c r="F772" s="3" t="s">
        <v>15</v>
      </c>
      <c r="G772" s="3" t="s">
        <v>1453</v>
      </c>
      <c r="H772" s="3" t="s">
        <v>71</v>
      </c>
      <c r="I772" s="3" t="str">
        <f>IFERROR(__xludf.DUMMYFUNCTION("GOOGLETRANSLATE(C772,""fr"",""en"")"),"Listening really great I have nothing to say I recommend to all the police or those who can benefit from it. This mutual is also very accommodating.")</f>
        <v>Listening really great I have nothing to say I recommend to all the police or those who can benefit from it. This mutual is also very accommodating.</v>
      </c>
    </row>
    <row r="773" ht="15.75" customHeight="1">
      <c r="A773" s="3">
        <v>5.0</v>
      </c>
      <c r="B773" s="3" t="s">
        <v>2193</v>
      </c>
      <c r="C773" s="3" t="s">
        <v>2194</v>
      </c>
      <c r="D773" s="3" t="s">
        <v>42</v>
      </c>
      <c r="E773" s="3" t="s">
        <v>14</v>
      </c>
      <c r="F773" s="3" t="s">
        <v>15</v>
      </c>
      <c r="G773" s="3" t="s">
        <v>418</v>
      </c>
      <c r="H773" s="3" t="s">
        <v>115</v>
      </c>
      <c r="I773" s="3" t="str">
        <f>IFERROR(__xludf.DUMMYFUNCTION("GOOGLETRANSLATE(C773,""fr"",""en"")"),"The prices suits me. Folder management with phone app is simple and practical. Seeing the information of the contract and declaration with the app is practical. Quick response.")</f>
        <v>The prices suits me. Folder management with phone app is simple and practical. Seeing the information of the contract and declaration with the app is practical. Quick response.</v>
      </c>
    </row>
    <row r="774" ht="15.75" customHeight="1">
      <c r="A774" s="3">
        <v>1.0</v>
      </c>
      <c r="B774" s="3" t="s">
        <v>2195</v>
      </c>
      <c r="C774" s="3" t="s">
        <v>2196</v>
      </c>
      <c r="D774" s="3" t="s">
        <v>1647</v>
      </c>
      <c r="E774" s="3" t="s">
        <v>33</v>
      </c>
      <c r="F774" s="3" t="s">
        <v>15</v>
      </c>
      <c r="G774" s="3" t="s">
        <v>2197</v>
      </c>
      <c r="H774" s="3" t="s">
        <v>66</v>
      </c>
      <c r="I774" s="3" t="str">
        <f>IFERROR(__xludf.DUMMYFUNCTION("GOOGLETRANSLATE(C774,""fr"",""en"")"),"Not at all satisfied with the appeal and reimbursements concerning my home insurance and for the legal service that I have subscribed to the Société Générale. Does not recommend for monitoring and nor for reimbursement.")</f>
        <v>Not at all satisfied with the appeal and reimbursements concerning my home insurance and for the legal service that I have subscribed to the Société Générale. Does not recommend for monitoring and nor for reimbursement.</v>
      </c>
    </row>
    <row r="775" ht="15.75" customHeight="1">
      <c r="A775" s="3">
        <v>1.0</v>
      </c>
      <c r="B775" s="3" t="s">
        <v>2198</v>
      </c>
      <c r="C775" s="3" t="s">
        <v>2199</v>
      </c>
      <c r="D775" s="3" t="s">
        <v>32</v>
      </c>
      <c r="E775" s="3" t="s">
        <v>14</v>
      </c>
      <c r="F775" s="3" t="s">
        <v>15</v>
      </c>
      <c r="G775" s="3" t="s">
        <v>1654</v>
      </c>
      <c r="H775" s="3" t="s">
        <v>506</v>
      </c>
      <c r="I775" s="3" t="str">
        <f>IFERROR(__xludf.DUMMYFUNCTION("GOOGLETRANSLATE(C775,""fr"",""en"")")," I underwent a car flight a few years ago and I have still not been compensated despite an experience having confirmed the value of the car, ...
The GMF claims me a document that I do not have but which especially does not run from the clauses.
Worse .."&amp;". I write regularly and no response from the GMF or the mediator.
So I decided to assign. If others insured are in the same case do not hesitate to leave a comment so as not to let this kind of situation continue !!!")</f>
        <v> I underwent a car flight a few years ago and I have still not been compensated despite an experience having confirmed the value of the car, ...
The GMF claims me a document that I do not have but which especially does not run from the clauses.
Worse ... I write regularly and no response from the GMF or the mediator.
So I decided to assign. If others insured are in the same case do not hesitate to leave a comment so as not to let this kind of situation continue !!!</v>
      </c>
    </row>
    <row r="776" ht="15.75" customHeight="1">
      <c r="A776" s="3">
        <v>2.0</v>
      </c>
      <c r="B776" s="3" t="s">
        <v>2200</v>
      </c>
      <c r="C776" s="3" t="s">
        <v>2201</v>
      </c>
      <c r="D776" s="3" t="s">
        <v>384</v>
      </c>
      <c r="E776" s="3" t="s">
        <v>21</v>
      </c>
      <c r="F776" s="3" t="s">
        <v>15</v>
      </c>
      <c r="G776" s="3" t="s">
        <v>2202</v>
      </c>
      <c r="H776" s="3" t="s">
        <v>100</v>
      </c>
      <c r="I776" s="3" t="str">
        <f>IFERROR(__xludf.DUMMYFUNCTION("GOOGLETRANSLATE(C776,""fr"",""en"")"),"A non -responsible disaster in August, a taxi returned to me. I am still awaiting a reimbursement of my non -repairable motorcycle. The person on the phone, reachable only in the morning, is unable to answer me and stroll by questioning my responsibility,"&amp;" the expertise firm and does not answer my recovery emails. After 5 months they deign to answer me to offer me a reimbursement of 20% of the value my vehicle bought nine 5 months before the disaster !!! It’s unacceptable, and scandalous. I have been a cus"&amp;"tomer since 2012 without any claim and this is how this insurance deals with its members. To flee !!!")</f>
        <v>A non -responsible disaster in August, a taxi returned to me. I am still awaiting a reimbursement of my non -repairable motorcycle. The person on the phone, reachable only in the morning, is unable to answer me and stroll by questioning my responsibility, the expertise firm and does not answer my recovery emails. After 5 months they deign to answer me to offer me a reimbursement of 20% of the value my vehicle bought nine 5 months before the disaster !!! It’s unacceptable, and scandalous. I have been a customer since 2012 without any claim and this is how this insurance deals with its members. To flee !!!</v>
      </c>
    </row>
    <row r="777" ht="15.75" customHeight="1">
      <c r="A777" s="3">
        <v>1.0</v>
      </c>
      <c r="B777" s="3" t="s">
        <v>2203</v>
      </c>
      <c r="C777" s="3" t="s">
        <v>2204</v>
      </c>
      <c r="D777" s="3" t="s">
        <v>42</v>
      </c>
      <c r="E777" s="3" t="s">
        <v>14</v>
      </c>
      <c r="F777" s="3" t="s">
        <v>15</v>
      </c>
      <c r="G777" s="3" t="s">
        <v>860</v>
      </c>
      <c r="H777" s="3" t="s">
        <v>44</v>
      </c>
      <c r="I777" s="3" t="str">
        <f>IFERROR(__xludf.DUMMYFUNCTION("GOOGLETRANSLATE(C777,""fr"",""en"")"),"I found it less elsewhere
I was poorly defended during a twisted disaster recognized at 50% while the other driver was wrong.
The witness was not even consulted.")</f>
        <v>I found it less elsewhere
I was poorly defended during a twisted disaster recognized at 50% while the other driver was wrong.
The witness was not even consulted.</v>
      </c>
    </row>
    <row r="778" ht="15.75" customHeight="1">
      <c r="A778" s="3">
        <v>2.0</v>
      </c>
      <c r="B778" s="3" t="s">
        <v>2205</v>
      </c>
      <c r="C778" s="3" t="s">
        <v>2206</v>
      </c>
      <c r="D778" s="3" t="s">
        <v>32</v>
      </c>
      <c r="E778" s="3" t="s">
        <v>14</v>
      </c>
      <c r="F778" s="3" t="s">
        <v>15</v>
      </c>
      <c r="G778" s="3" t="s">
        <v>622</v>
      </c>
      <c r="H778" s="3" t="s">
        <v>321</v>
      </c>
      <c r="I778" s="3" t="str">
        <f>IFERROR(__xludf.DUMMYFUNCTION("GOOGLETRANSLATE(C778,""fr"",""en"")"),"Road accident not responsible for summer 2018, without too much gravity but still not completely compensated on the bodily injury. They must be revived, no communication. On the phone, never the same person who takes care of the file, difficulty in reachi"&amp;"ng them ... I will go to see elsewhere ... I have been at GMF for 15 years.")</f>
        <v>Road accident not responsible for summer 2018, without too much gravity but still not completely compensated on the bodily injury. They must be revived, no communication. On the phone, never the same person who takes care of the file, difficulty in reaching them ... I will go to see elsewhere ... I have been at GMF for 15 years.</v>
      </c>
    </row>
    <row r="779" ht="15.75" customHeight="1">
      <c r="A779" s="3">
        <v>2.0</v>
      </c>
      <c r="B779" s="3" t="s">
        <v>2207</v>
      </c>
      <c r="C779" s="3" t="s">
        <v>2208</v>
      </c>
      <c r="D779" s="3" t="s">
        <v>1207</v>
      </c>
      <c r="E779" s="3" t="s">
        <v>98</v>
      </c>
      <c r="F779" s="3" t="s">
        <v>15</v>
      </c>
      <c r="G779" s="3" t="s">
        <v>1185</v>
      </c>
      <c r="H779" s="3" t="s">
        <v>304</v>
      </c>
      <c r="I779" s="3" t="str">
        <f>IFERROR(__xludf.DUMMYFUNCTION("GOOGLETRANSLATE(C779,""fr"",""en"")"),"AG2R commits errors and errors it is endless to correct their errors
it is hellish")</f>
        <v>AG2R commits errors and errors it is endless to correct their errors
it is hellish</v>
      </c>
    </row>
    <row r="780" ht="15.75" customHeight="1">
      <c r="A780" s="3">
        <v>1.0</v>
      </c>
      <c r="B780" s="3" t="s">
        <v>2209</v>
      </c>
      <c r="C780" s="3" t="s">
        <v>2210</v>
      </c>
      <c r="D780" s="3" t="s">
        <v>549</v>
      </c>
      <c r="E780" s="3" t="s">
        <v>21</v>
      </c>
      <c r="F780" s="3" t="s">
        <v>15</v>
      </c>
      <c r="G780" s="3" t="s">
        <v>1152</v>
      </c>
      <c r="H780" s="3" t="s">
        <v>86</v>
      </c>
      <c r="I780" s="3" t="str">
        <f>IFERROR(__xludf.DUMMYFUNCTION("GOOGLETRANSLATE(C780,""fr"",""en"")"),"Insured for many years at La Mutuelle (I have been a biker since 1975) I have two insured motorcycles and since 2019 by solidarity I have assured my car, I had no claim during all these years. I receive my 2021/2022 maturity notice with an increase of 11."&amp;"5% on my car insurance! After call it was not answered for the sole explanation that it was like that and not otherwise, while Mr. Jacquot in his newsletter explains to us that cars are less affected by bodily accidents !!
Of course I just canceled my ca"&amp;"r insurance and I advise all bikers to never ensure their 4 -wheeled vehicle at ""La Mutuelle""
I am very very disappointed with the lack of consideration, we are no longer ""members"" but customers who have interest in the mutual insurance company than "&amp;"their bank account.
")</f>
        <v>Insured for many years at La Mutuelle (I have been a biker since 1975) I have two insured motorcycles and since 2019 by solidarity I have assured my car, I had no claim during all these years. I receive my 2021/2022 maturity notice with an increase of 11.5% on my car insurance! After call it was not answered for the sole explanation that it was like that and not otherwise, while Mr. Jacquot in his newsletter explains to us that cars are less affected by bodily accidents !!
Of course I just canceled my car insurance and I advise all bikers to never ensure their 4 -wheeled vehicle at "La Mutuelle"
I am very very disappointed with the lack of consideration, we are no longer "members" but customers who have interest in the mutual insurance company than their bank account.
</v>
      </c>
    </row>
    <row r="781" ht="15.75" customHeight="1">
      <c r="A781" s="3">
        <v>4.0</v>
      </c>
      <c r="B781" s="3" t="s">
        <v>2211</v>
      </c>
      <c r="C781" s="3" t="s">
        <v>2212</v>
      </c>
      <c r="D781" s="3" t="s">
        <v>103</v>
      </c>
      <c r="E781" s="3" t="s">
        <v>194</v>
      </c>
      <c r="F781" s="3" t="s">
        <v>15</v>
      </c>
      <c r="G781" s="3" t="s">
        <v>1134</v>
      </c>
      <c r="H781" s="3" t="s">
        <v>86</v>
      </c>
      <c r="I781" s="3" t="str">
        <f>IFERROR(__xludf.DUMMYFUNCTION("GOOGLETRANSLATE(C781,""fr"",""en"")"),"I have been contributing since 1980 but unfortunately in the end the result will be low compared to the payments. I have been active until 2009 and has since retired.
This is the first time that I have been contacting a customer advisor and nothing to sa"&amp;"y, kindness and quality of the information provided")</f>
        <v>I have been contributing since 1980 but unfortunately in the end the result will be low compared to the payments. I have been active until 2009 and has since retired.
This is the first time that I have been contacting a customer advisor and nothing to say, kindness and quality of the information provided</v>
      </c>
    </row>
    <row r="782" ht="15.75" customHeight="1">
      <c r="A782" s="3">
        <v>4.0</v>
      </c>
      <c r="B782" s="3" t="s">
        <v>2213</v>
      </c>
      <c r="C782" s="3" t="s">
        <v>2214</v>
      </c>
      <c r="D782" s="3" t="s">
        <v>956</v>
      </c>
      <c r="E782" s="3" t="s">
        <v>21</v>
      </c>
      <c r="F782" s="3" t="s">
        <v>15</v>
      </c>
      <c r="G782" s="3" t="s">
        <v>2215</v>
      </c>
      <c r="H782" s="3" t="s">
        <v>551</v>
      </c>
      <c r="I782" s="3" t="str">
        <f>IFERROR(__xludf.DUMMYFUNCTION("GOOGLETRANSLATE(C782,""fr"",""en"")"),"I have been using their services for 3 years to ensure my vehicles. At first, the team did not seem very reactive but since there is a very clear improvement. The new team at the rendezvous on the quality of service. Thank you in Elena and Mehdi Z.")</f>
        <v>I have been using their services for 3 years to ensure my vehicles. At first, the team did not seem very reactive but since there is a very clear improvement. The new team at the rendezvous on the quality of service. Thank you in Elena and Mehdi Z.</v>
      </c>
    </row>
    <row r="783" ht="15.75" customHeight="1">
      <c r="A783" s="3">
        <v>5.0</v>
      </c>
      <c r="B783" s="3" t="s">
        <v>2216</v>
      </c>
      <c r="C783" s="3" t="s">
        <v>2217</v>
      </c>
      <c r="D783" s="3" t="s">
        <v>42</v>
      </c>
      <c r="E783" s="3" t="s">
        <v>14</v>
      </c>
      <c r="F783" s="3" t="s">
        <v>15</v>
      </c>
      <c r="G783" s="3" t="s">
        <v>2218</v>
      </c>
      <c r="H783" s="3" t="s">
        <v>86</v>
      </c>
      <c r="I783" s="3" t="str">
        <f>IFERROR(__xludf.DUMMYFUNCTION("GOOGLETRANSLATE(C783,""fr"",""en"")"),"Simple and efficient, pros and pleasant advisers! I have always had the information requested on time, I recommend without problem")</f>
        <v>Simple and efficient, pros and pleasant advisers! I have always had the information requested on time, I recommend without problem</v>
      </c>
    </row>
    <row r="784" ht="15.75" customHeight="1">
      <c r="A784" s="3">
        <v>1.0</v>
      </c>
      <c r="B784" s="3" t="s">
        <v>2219</v>
      </c>
      <c r="C784" s="3" t="s">
        <v>2220</v>
      </c>
      <c r="D784" s="3" t="s">
        <v>2012</v>
      </c>
      <c r="E784" s="3" t="s">
        <v>311</v>
      </c>
      <c r="F784" s="3" t="s">
        <v>15</v>
      </c>
      <c r="G784" s="3" t="s">
        <v>602</v>
      </c>
      <c r="H784" s="3" t="s">
        <v>56</v>
      </c>
      <c r="I784" s="3" t="str">
        <f>IFERROR(__xludf.DUMMYFUNCTION("GOOGLETRANSLATE(C784,""fr"",""en"")"),"very poor quality credit insurance he always requests insurer paper as a bank to avoid")</f>
        <v>very poor quality credit insurance he always requests insurer paper as a bank to avoid</v>
      </c>
    </row>
    <row r="785" ht="15.75" customHeight="1">
      <c r="A785" s="3">
        <v>3.0</v>
      </c>
      <c r="B785" s="3" t="s">
        <v>2221</v>
      </c>
      <c r="C785" s="3" t="s">
        <v>2222</v>
      </c>
      <c r="D785" s="3" t="s">
        <v>42</v>
      </c>
      <c r="E785" s="3" t="s">
        <v>14</v>
      </c>
      <c r="F785" s="3" t="s">
        <v>15</v>
      </c>
      <c r="G785" s="3" t="s">
        <v>1030</v>
      </c>
      <c r="H785" s="3" t="s">
        <v>86</v>
      </c>
      <c r="I785" s="3" t="str">
        <f>IFERROR(__xludf.DUMMYFUNCTION("GOOGLETRANSLATE(C785,""fr"",""en"")"),"Hello,
I am assured ""all risks"" for 2 vehicles and I find that the deductible that I have to pay in case one of my vehicles has been damaged when it was parked, is too high.")</f>
        <v>Hello,
I am assured "all risks" for 2 vehicles and I find that the deductible that I have to pay in case one of my vehicles has been damaged when it was parked, is too high.</v>
      </c>
    </row>
    <row r="786" ht="15.75" customHeight="1">
      <c r="A786" s="3">
        <v>5.0</v>
      </c>
      <c r="B786" s="3" t="s">
        <v>2223</v>
      </c>
      <c r="C786" s="3" t="s">
        <v>2224</v>
      </c>
      <c r="D786" s="3" t="s">
        <v>42</v>
      </c>
      <c r="E786" s="3" t="s">
        <v>14</v>
      </c>
      <c r="F786" s="3" t="s">
        <v>15</v>
      </c>
      <c r="G786" s="3" t="s">
        <v>277</v>
      </c>
      <c r="H786" s="3" t="s">
        <v>115</v>
      </c>
      <c r="I786" s="3" t="str">
        <f>IFERROR(__xludf.DUMMYFUNCTION("GOOGLETRANSLATE(C786,""fr"",""en"")"),"Satisfied above all price level. Fast and easy for procedure. Easy to handle site I will see for the home. I hope to be satisfied for a long time")</f>
        <v>Satisfied above all price level. Fast and easy for procedure. Easy to handle site I will see for the home. I hope to be satisfied for a long time</v>
      </c>
    </row>
    <row r="787" ht="15.75" customHeight="1">
      <c r="A787" s="3">
        <v>2.0</v>
      </c>
      <c r="B787" s="3" t="s">
        <v>2225</v>
      </c>
      <c r="C787" s="3" t="s">
        <v>2226</v>
      </c>
      <c r="D787" s="3" t="s">
        <v>384</v>
      </c>
      <c r="E787" s="3" t="s">
        <v>21</v>
      </c>
      <c r="F787" s="3" t="s">
        <v>15</v>
      </c>
      <c r="G787" s="3" t="s">
        <v>1204</v>
      </c>
      <c r="H787" s="3" t="s">
        <v>115</v>
      </c>
      <c r="I787" s="3" t="str">
        <f>IFERROR(__xludf.DUMMYFUNCTION("GOOGLETRANSLATE(C787,""fr"",""en"")"),"AMV is a bit like buying Asian products: an interesting but zero after-sales service.
A message sent for a request concerning a contract, unanswered after a week.
And in the event of a claim, zero assistance and reimbursement ""light"", including in the"&amp;" event of bodily damage.
In short, if it is to have the green sticker it's okay, but you shouldn't count on them ........")</f>
        <v>AMV is a bit like buying Asian products: an interesting but zero after-sales service.
A message sent for a request concerning a contract, unanswered after a week.
And in the event of a claim, zero assistance and reimbursement "light", including in the event of bodily damage.
In short, if it is to have the green sticker it's okay, but you shouldn't count on them ........</v>
      </c>
    </row>
    <row r="788" ht="15.75" customHeight="1">
      <c r="A788" s="3">
        <v>4.0</v>
      </c>
      <c r="B788" s="3" t="s">
        <v>2227</v>
      </c>
      <c r="C788" s="3" t="s">
        <v>2228</v>
      </c>
      <c r="D788" s="3" t="s">
        <v>32</v>
      </c>
      <c r="E788" s="3" t="s">
        <v>14</v>
      </c>
      <c r="F788" s="3" t="s">
        <v>15</v>
      </c>
      <c r="G788" s="3" t="s">
        <v>784</v>
      </c>
      <c r="H788" s="3" t="s">
        <v>39</v>
      </c>
      <c r="I788" s="3" t="str">
        <f>IFERROR(__xludf.DUMMYFUNCTION("GOOGLETRANSLATE(C788,""fr"",""en"")"),"I am satisfied with your services and your responsiveness. The insured coverage is relatively correct and I recommend this type of insurance to relatives.")</f>
        <v>I am satisfied with your services and your responsiveness. The insured coverage is relatively correct and I recommend this type of insurance to relatives.</v>
      </c>
    </row>
    <row r="789" ht="15.75" customHeight="1">
      <c r="A789" s="3">
        <v>3.0</v>
      </c>
      <c r="B789" s="3" t="s">
        <v>2229</v>
      </c>
      <c r="C789" s="3" t="s">
        <v>2230</v>
      </c>
      <c r="D789" s="3" t="s">
        <v>42</v>
      </c>
      <c r="E789" s="3" t="s">
        <v>14</v>
      </c>
      <c r="F789" s="3" t="s">
        <v>15</v>
      </c>
      <c r="G789" s="3" t="s">
        <v>2231</v>
      </c>
      <c r="H789" s="3" t="s">
        <v>115</v>
      </c>
      <c r="I789" s="3" t="str">
        <f>IFERROR(__xludf.DUMMYFUNCTION("GOOGLETRANSLATE(C789,""fr"",""en"")"),"After having my license I did research for car insurance I compared several insurance and the best offer I signed up")</f>
        <v>After having my license I did research for car insurance I compared several insurance and the best offer I signed up</v>
      </c>
    </row>
    <row r="790" ht="15.75" customHeight="1">
      <c r="A790" s="3">
        <v>5.0</v>
      </c>
      <c r="B790" s="3" t="s">
        <v>2232</v>
      </c>
      <c r="C790" s="3" t="s">
        <v>2233</v>
      </c>
      <c r="D790" s="3" t="s">
        <v>42</v>
      </c>
      <c r="E790" s="3" t="s">
        <v>14</v>
      </c>
      <c r="F790" s="3" t="s">
        <v>15</v>
      </c>
      <c r="G790" s="3" t="s">
        <v>2234</v>
      </c>
      <c r="H790" s="3" t="s">
        <v>115</v>
      </c>
      <c r="I790" s="3" t="str">
        <f>IFERROR(__xludf.DUMMYFUNCTION("GOOGLETRANSLATE(C790,""fr"",""en"")"),"Delighted to be among you thank you for the service that you give with lots of success and climbing and exit and comes home with a good turnover that OK can share as much customer")</f>
        <v>Delighted to be among you thank you for the service that you give with lots of success and climbing and exit and comes home with a good turnover that OK can share as much customer</v>
      </c>
    </row>
    <row r="791" ht="15.75" customHeight="1">
      <c r="A791" s="3">
        <v>3.0</v>
      </c>
      <c r="B791" s="3" t="s">
        <v>2235</v>
      </c>
      <c r="C791" s="3" t="s">
        <v>2236</v>
      </c>
      <c r="D791" s="3" t="s">
        <v>20</v>
      </c>
      <c r="E791" s="3" t="s">
        <v>21</v>
      </c>
      <c r="F791" s="3" t="s">
        <v>15</v>
      </c>
      <c r="G791" s="3" t="s">
        <v>1106</v>
      </c>
      <c r="H791" s="3" t="s">
        <v>165</v>
      </c>
      <c r="I791" s="3" t="str">
        <f>IFERROR(__xludf.DUMMYFUNCTION("GOOGLETRANSLATE(C791,""fr"",""en"")"),"OK, we will see later depending on the proposals of direct insurance competitors.
here is ! Hoping not to have to use the insurance services.
")</f>
        <v>OK, we will see later depending on the proposals of direct insurance competitors.
here is ! Hoping not to have to use the insurance services.
</v>
      </c>
    </row>
    <row r="792" ht="15.75" customHeight="1">
      <c r="A792" s="3">
        <v>1.0</v>
      </c>
      <c r="B792" s="3" t="s">
        <v>2237</v>
      </c>
      <c r="C792" s="3" t="s">
        <v>2238</v>
      </c>
      <c r="D792" s="3" t="s">
        <v>1207</v>
      </c>
      <c r="E792" s="3" t="s">
        <v>98</v>
      </c>
      <c r="F792" s="3" t="s">
        <v>15</v>
      </c>
      <c r="G792" s="3" t="s">
        <v>1582</v>
      </c>
      <c r="H792" s="3" t="s">
        <v>29</v>
      </c>
      <c r="I792" s="3" t="str">
        <f>IFERROR(__xludf.DUMMYFUNCTION("GOOGLETRANSLATE(C792,""fr"",""en"")"),"So AG2RR when you want to call them you are entitled to the answering machine 15 minutes then an advisor answers you but it is not the right service! He gives you another number you repair the answering machine; You repeat the operation four times ....
F"&amp;"or after an hour having an advisor who tells you that he will send your request to the right service is that your document will receive it by email within 48 hours. Zero zero zero customer relationship levels
For a paper he should have sent you !!!")</f>
        <v>So AG2RR when you want to call them you are entitled to the answering machine 15 minutes then an advisor answers you but it is not the right service! He gives you another number you repair the answering machine; You repeat the operation four times ....
For after an hour having an advisor who tells you that he will send your request to the right service is that your document will receive it by email within 48 hours. Zero zero zero customer relationship levels
For a paper he should have sent you !!!</v>
      </c>
    </row>
    <row r="793" ht="15.75" customHeight="1">
      <c r="A793" s="3">
        <v>2.0</v>
      </c>
      <c r="B793" s="3" t="s">
        <v>2239</v>
      </c>
      <c r="C793" s="3" t="s">
        <v>2240</v>
      </c>
      <c r="D793" s="3" t="s">
        <v>47</v>
      </c>
      <c r="E793" s="3" t="s">
        <v>33</v>
      </c>
      <c r="F793" s="3" t="s">
        <v>15</v>
      </c>
      <c r="G793" s="3" t="s">
        <v>2241</v>
      </c>
      <c r="H793" s="3" t="s">
        <v>294</v>
      </c>
      <c r="I793" s="3" t="str">
        <f>IFERROR(__xludf.DUMMYFUNCTION("GOOGLETRANSLATE(C793,""fr"",""en"")"),"The expert disputes the amount of quotes made by the roofer, impossible to have the costing of the repairs ... Ceiling marked by water, furniture inflated by water ...")</f>
        <v>The expert disputes the amount of quotes made by the roofer, impossible to have the costing of the repairs ... Ceiling marked by water, furniture inflated by water ...</v>
      </c>
    </row>
    <row r="794" ht="15.75" customHeight="1">
      <c r="A794" s="3">
        <v>5.0</v>
      </c>
      <c r="B794" s="3" t="s">
        <v>2242</v>
      </c>
      <c r="C794" s="3" t="s">
        <v>2243</v>
      </c>
      <c r="D794" s="3" t="s">
        <v>140</v>
      </c>
      <c r="E794" s="3" t="s">
        <v>98</v>
      </c>
      <c r="F794" s="3" t="s">
        <v>15</v>
      </c>
      <c r="G794" s="3" t="s">
        <v>2244</v>
      </c>
      <c r="H794" s="3" t="s">
        <v>304</v>
      </c>
      <c r="I794" s="3" t="str">
        <f>IFERROR(__xludf.DUMMYFUNCTION("GOOGLETRANSLATE(C794,""fr"",""en"")"),"Quality Tèlèphonic Interview with Gwendal who I hope will always be our Ecoute")</f>
        <v>Quality Tèlèphonic Interview with Gwendal who I hope will always be our Ecoute</v>
      </c>
    </row>
    <row r="795" ht="15.75" customHeight="1">
      <c r="A795" s="3">
        <v>5.0</v>
      </c>
      <c r="B795" s="3" t="s">
        <v>2245</v>
      </c>
      <c r="C795" s="3" t="s">
        <v>2246</v>
      </c>
      <c r="D795" s="3" t="s">
        <v>42</v>
      </c>
      <c r="E795" s="3" t="s">
        <v>14</v>
      </c>
      <c r="F795" s="3" t="s">
        <v>15</v>
      </c>
      <c r="G795" s="3" t="s">
        <v>280</v>
      </c>
      <c r="H795" s="3" t="s">
        <v>39</v>
      </c>
      <c r="I795" s="3" t="str">
        <f>IFERROR(__xludf.DUMMYFUNCTION("GOOGLETRANSLATE(C795,""fr"",""en"")"),"I went through lynx and the subscription by the Direct site is simple and clear in the choice of guarantees, clear and then fast until the management of the Hamon law termination - case to follow in the course.")</f>
        <v>I went through lynx and the subscription by the Direct site is simple and clear in the choice of guarantees, clear and then fast until the management of the Hamon law termination - case to follow in the course.</v>
      </c>
    </row>
    <row r="796" ht="15.75" customHeight="1">
      <c r="A796" s="3">
        <v>1.0</v>
      </c>
      <c r="B796" s="3" t="s">
        <v>2247</v>
      </c>
      <c r="C796" s="3" t="s">
        <v>2248</v>
      </c>
      <c r="D796" s="3" t="s">
        <v>175</v>
      </c>
      <c r="E796" s="3" t="s">
        <v>311</v>
      </c>
      <c r="F796" s="3" t="s">
        <v>15</v>
      </c>
      <c r="G796" s="3" t="s">
        <v>2249</v>
      </c>
      <c r="H796" s="3" t="s">
        <v>563</v>
      </c>
      <c r="I796" s="3" t="str">
        <f>IFERROR(__xludf.DUMMYFUNCTION("GOOGLETRANSLATE(C796,""fr"",""en"")"),"Another ""box"" that deserves ""a truly zero, even unscrupulous,"" box that reacts depending on the moods of certain April staff members and other considerations concerning the financial stature of customers, especially potential ...")</f>
        <v>Another "box" that deserves "a truly zero, even unscrupulous," box that reacts depending on the moods of certain April staff members and other considerations concerning the financial stature of customers, especially potential ...</v>
      </c>
    </row>
    <row r="797" ht="15.75" customHeight="1">
      <c r="A797" s="3">
        <v>2.0</v>
      </c>
      <c r="B797" s="3" t="s">
        <v>2250</v>
      </c>
      <c r="C797" s="3" t="s">
        <v>2251</v>
      </c>
      <c r="D797" s="3" t="s">
        <v>78</v>
      </c>
      <c r="E797" s="3" t="s">
        <v>14</v>
      </c>
      <c r="F797" s="3" t="s">
        <v>15</v>
      </c>
      <c r="G797" s="3" t="s">
        <v>2252</v>
      </c>
      <c r="H797" s="3" t="s">
        <v>429</v>
      </c>
      <c r="I797" s="3" t="str">
        <f>IFERROR(__xludf.DUMMYFUNCTION("GOOGLETRANSLATE(C797,""fr"",""en"")"),"After asking for the termination of my auto contract by my new insurance, it is refused by Allianz for reason that the period of one year was not reached! The right joke! It was 1 month before deadline! 2 times already that I do it and with Allianz Nooon "&amp;"it does not pass !! They therefore decided at the end of my contract 3 months later and therefore continued to take me more than € 43 and when I call for more info it would be the new insurance that would not have done the job, or me Customer who would no"&amp;"t have warned them (Hamon law please, where is my pb?), Then for another advisor, Calypso closed so they are overwhelmed (ah ok so it's me the client who is tout!). They never answered the 3 emails I sent and once again on the phone an advisor hung up on "&amp;"me by saying ""it's not me who takes you Mme"" !! Then customer service was closed and no longer took any call of the week ... in my state more because pregnant, I do not tell the level of nervousness! Low floor insurance! I'm happy to leave from there. M"&amp;"y brother and a cousin have already terminated their car contract at home. I strongly invite you to do the same or otherwise do not take care of it!")</f>
        <v>After asking for the termination of my auto contract by my new insurance, it is refused by Allianz for reason that the period of one year was not reached! The right joke! It was 1 month before deadline! 2 times already that I do it and with Allianz Nooon it does not pass !! They therefore decided at the end of my contract 3 months later and therefore continued to take me more than € 43 and when I call for more info it would be the new insurance that would not have done the job, or me Customer who would not have warned them (Hamon law please, where is my pb?), Then for another advisor, Calypso closed so they are overwhelmed (ah ok so it's me the client who is tout!). They never answered the 3 emails I sent and once again on the phone an advisor hung up on me by saying "it's not me who takes you Mme" !! Then customer service was closed and no longer took any call of the week ... in my state more because pregnant, I do not tell the level of nervousness! Low floor insurance! I'm happy to leave from there. My brother and a cousin have already terminated their car contract at home. I strongly invite you to do the same or otherwise do not take care of it!</v>
      </c>
    </row>
    <row r="798" ht="15.75" customHeight="1">
      <c r="A798" s="3">
        <v>4.0</v>
      </c>
      <c r="B798" s="3" t="s">
        <v>2253</v>
      </c>
      <c r="C798" s="3" t="s">
        <v>2254</v>
      </c>
      <c r="D798" s="3" t="s">
        <v>42</v>
      </c>
      <c r="E798" s="3" t="s">
        <v>14</v>
      </c>
      <c r="F798" s="3" t="s">
        <v>15</v>
      </c>
      <c r="G798" s="3" t="s">
        <v>2255</v>
      </c>
      <c r="H798" s="3" t="s">
        <v>75</v>
      </c>
      <c r="I798" s="3" t="str">
        <f>IFERROR(__xludf.DUMMYFUNCTION("GOOGLETRANSLATE(C798,""fr"",""en"")"),"I am satisfied with the services offered as well as telephone conversations with your employees who are very attentive and very professional")</f>
        <v>I am satisfied with the services offered as well as telephone conversations with your employees who are very attentive and very professional</v>
      </c>
    </row>
    <row r="799" ht="15.75" customHeight="1">
      <c r="A799" s="3">
        <v>1.0</v>
      </c>
      <c r="B799" s="3" t="s">
        <v>2256</v>
      </c>
      <c r="C799" s="3" t="s">
        <v>2257</v>
      </c>
      <c r="D799" s="3" t="s">
        <v>614</v>
      </c>
      <c r="E799" s="3" t="s">
        <v>109</v>
      </c>
      <c r="F799" s="3" t="s">
        <v>15</v>
      </c>
      <c r="G799" s="3" t="s">
        <v>2258</v>
      </c>
      <c r="H799" s="3" t="s">
        <v>287</v>
      </c>
      <c r="I799" s="3" t="str">
        <f>IFERROR(__xludf.DUMMYFUNCTION("GOOGLETRANSLATE(C799,""fr"",""en"")"),"To subscribe to the insurance we have been contacted from the dozens twice by phone impeccable follow -up, once we have subscribed to no news more no communication we are informed that our monthly subscription is increased. This is a shame, I try to reach"&amp;" you desperately, by sending you emails by calling you dozens of times, I am absolutely without any news. You send me letters of formal notice when I adjust your monthly payments to you, you do not know how to share the information between services, I ask"&amp;" you to remember as soon as possible, otherwise I would be obliged to bring you to you .")</f>
        <v>To subscribe to the insurance we have been contacted from the dozens twice by phone impeccable follow -up, once we have subscribed to no news more no communication we are informed that our monthly subscription is increased. This is a shame, I try to reach you desperately, by sending you emails by calling you dozens of times, I am absolutely without any news. You send me letters of formal notice when I adjust your monthly payments to you, you do not know how to share the information between services, I ask you to remember as soon as possible, otherwise I would be obliged to bring you to you .</v>
      </c>
    </row>
    <row r="800" ht="15.75" customHeight="1">
      <c r="A800" s="3">
        <v>3.0</v>
      </c>
      <c r="B800" s="3" t="s">
        <v>2259</v>
      </c>
      <c r="C800" s="3" t="s">
        <v>2260</v>
      </c>
      <c r="D800" s="3" t="s">
        <v>13</v>
      </c>
      <c r="E800" s="3" t="s">
        <v>14</v>
      </c>
      <c r="F800" s="3" t="s">
        <v>15</v>
      </c>
      <c r="G800" s="3" t="s">
        <v>348</v>
      </c>
      <c r="H800" s="3" t="s">
        <v>44</v>
      </c>
      <c r="I800" s="3" t="str">
        <f>IFERROR(__xludf.DUMMYFUNCTION("GOOGLETRANSLATE(C800,""fr"",""en"")"),"Just a little disappointed to have to pay the case fees while on the partner site it was indicated. Otherwise for the rest I expect to see")</f>
        <v>Just a little disappointed to have to pay the case fees while on the partner site it was indicated. Otherwise for the rest I expect to see</v>
      </c>
    </row>
    <row r="801" ht="15.75" customHeight="1">
      <c r="A801" s="3">
        <v>1.0</v>
      </c>
      <c r="B801" s="3" t="s">
        <v>2261</v>
      </c>
      <c r="C801" s="3" t="s">
        <v>2262</v>
      </c>
      <c r="D801" s="3" t="s">
        <v>89</v>
      </c>
      <c r="E801" s="3" t="s">
        <v>14</v>
      </c>
      <c r="F801" s="3" t="s">
        <v>15</v>
      </c>
      <c r="G801" s="3" t="s">
        <v>898</v>
      </c>
      <c r="H801" s="3" t="s">
        <v>898</v>
      </c>
      <c r="I801" s="3" t="str">
        <f>IFERROR(__xludf.DUMMYFUNCTION("GOOGLETRANSLATE(C801,""fr"",""en"")"),"Hello, I have been a Maif member for thirty years. My vehicle is struck by a motorcycle which is completely wrong. The expert offers the destruction of my vehicle and offers me 50% of the amount that my vehicle bought last year was worth, supporting invoi"&amp;"ces. The consulting expert validated this choice. I do not feel at all supported by the person who takes care of my file. And I especially find that MAIF does not respond to being mission to allow me to find myself in the same financial and material situa"&amp;"tion as before the claim when I am not at all wrong. I am very disappointed and I will change insurance.")</f>
        <v>Hello, I have been a Maif member for thirty years. My vehicle is struck by a motorcycle which is completely wrong. The expert offers the destruction of my vehicle and offers me 50% of the amount that my vehicle bought last year was worth, supporting invoices. The consulting expert validated this choice. I do not feel at all supported by the person who takes care of my file. And I especially find that MAIF does not respond to being mission to allow me to find myself in the same financial and material situation as before the claim when I am not at all wrong. I am very disappointed and I will change insurance.</v>
      </c>
    </row>
    <row r="802" ht="15.75" customHeight="1">
      <c r="A802" s="3">
        <v>1.0</v>
      </c>
      <c r="B802" s="3" t="s">
        <v>2263</v>
      </c>
      <c r="C802" s="3" t="s">
        <v>2264</v>
      </c>
      <c r="D802" s="3" t="s">
        <v>47</v>
      </c>
      <c r="E802" s="3" t="s">
        <v>33</v>
      </c>
      <c r="F802" s="3" t="s">
        <v>15</v>
      </c>
      <c r="G802" s="3" t="s">
        <v>243</v>
      </c>
      <c r="H802" s="3" t="s">
        <v>44</v>
      </c>
      <c r="I802" s="3" t="str">
        <f>IFERROR(__xludf.DUMMYFUNCTION("GOOGLETRANSLATE(C802,""fr"",""en"")"),"Degat of waters since 12/2020. Leak search 2 hours invoice € 504 per company sent by expert (€ 252 per hour .... who works at this price?) While I myself dismantled the shower wall and repaired the leak ... . Finally a Special Envoy of the company named V"&amp;"ital Assistance takes photos of the Degats .... Expertise evaluated at € 2,500 ... I ask 2 quotes to serious local craftsmen evaluated at € 7,600 (Chamber and corridor embellishment) and 3500 € (repair partition and bathroom). I receive this week the Paci"&amp;"fica proposal after expert opinion (Cabinet Saretec a Bourges) which has not moved ... (the photos c top !!!) of € 5,000 .... we divide the prices by 2 ... So I pay half of the repairs and full rate of contributions ..? Pacifica therefore applies 50% of o"&amp;"bsolescence with each claim?")</f>
        <v>Degat of waters since 12/2020. Leak search 2 hours invoice € 504 per company sent by expert (€ 252 per hour .... who works at this price?) While I myself dismantled the shower wall and repaired the leak ... . Finally a Special Envoy of the company named Vital Assistance takes photos of the Degats .... Expertise evaluated at € 2,500 ... I ask 2 quotes to serious local craftsmen evaluated at € 7,600 (Chamber and corridor embellishment) and 3500 € (repair partition and bathroom). I receive this week the Pacifica proposal after expert opinion (Cabinet Saretec a Bourges) which has not moved ... (the photos c top !!!) of € 5,000 .... we divide the prices by 2 ... So I pay half of the repairs and full rate of contributions ..? Pacifica therefore applies 50% of obsolescence with each claim?</v>
      </c>
    </row>
    <row r="803" ht="15.75" customHeight="1">
      <c r="A803" s="3">
        <v>1.0</v>
      </c>
      <c r="B803" s="3" t="s">
        <v>2265</v>
      </c>
      <c r="C803" s="3" t="s">
        <v>2266</v>
      </c>
      <c r="D803" s="3" t="s">
        <v>26</v>
      </c>
      <c r="E803" s="3" t="s">
        <v>194</v>
      </c>
      <c r="F803" s="3" t="s">
        <v>15</v>
      </c>
      <c r="G803" s="3" t="s">
        <v>1905</v>
      </c>
      <c r="H803" s="3" t="s">
        <v>551</v>
      </c>
      <c r="I803" s="3" t="str">
        <f>IFERROR(__xludf.DUMMYFUNCTION("GOOGLETRANSLATE(C803,""fr"",""en"")"),"This is the second time in 6 months that I have worries with this insurer, and I have only been assured for 1 year: they took 3 months to pay me my daily allowances, following surgery suffered in November. I ended up with € 5,000 in discovery, I was suppo"&amp;"sedly super well covered. They ended up paying the amount they owed to me.
Recently I changed bank, once again, they do not do their job, they have taken for the 4th time on the old account, still costing agios, may not be supplied. 3rd complaint is made"&amp;" today.")</f>
        <v>This is the second time in 6 months that I have worries with this insurer, and I have only been assured for 1 year: they took 3 months to pay me my daily allowances, following surgery suffered in November. I ended up with € 5,000 in discovery, I was supposedly super well covered. They ended up paying the amount they owed to me.
Recently I changed bank, once again, they do not do their job, they have taken for the 4th time on the old account, still costing agios, may not be supplied. 3rd complaint is made today.</v>
      </c>
    </row>
    <row r="804" ht="15.75" customHeight="1">
      <c r="A804" s="3">
        <v>2.0</v>
      </c>
      <c r="B804" s="3" t="s">
        <v>2267</v>
      </c>
      <c r="C804" s="3" t="s">
        <v>2268</v>
      </c>
      <c r="D804" s="3" t="s">
        <v>13</v>
      </c>
      <c r="E804" s="3" t="s">
        <v>14</v>
      </c>
      <c r="F804" s="3" t="s">
        <v>15</v>
      </c>
      <c r="G804" s="3" t="s">
        <v>2269</v>
      </c>
      <c r="H804" s="3" t="s">
        <v>39</v>
      </c>
      <c r="I804" s="3" t="str">
        <f>IFERROR(__xludf.DUMMYFUNCTION("GOOGLETRANSLATE(C804,""fr"",""en"")"),"Following the theft of my vehicle which was found at the end of June 21, the follow -up of my disaster is nonexistent. Impossible to have answers and have my vehicle transfer from the guarding site to the garage to carry out repairs. After 8 weeks always "&amp;"at the same point and no vision on the date on which I could recover my vehicle. So the olive tree is good but only if you have no claim.")</f>
        <v>Following the theft of my vehicle which was found at the end of June 21, the follow -up of my disaster is nonexistent. Impossible to have answers and have my vehicle transfer from the guarding site to the garage to carry out repairs. After 8 weeks always at the same point and no vision on the date on which I could recover my vehicle. So the olive tree is good but only if you have no claim.</v>
      </c>
    </row>
    <row r="805" ht="15.75" customHeight="1">
      <c r="A805" s="3">
        <v>2.0</v>
      </c>
      <c r="B805" s="3" t="s">
        <v>2270</v>
      </c>
      <c r="C805" s="3" t="s">
        <v>2271</v>
      </c>
      <c r="D805" s="3" t="s">
        <v>42</v>
      </c>
      <c r="E805" s="3" t="s">
        <v>14</v>
      </c>
      <c r="F805" s="3" t="s">
        <v>15</v>
      </c>
      <c r="G805" s="3" t="s">
        <v>1673</v>
      </c>
      <c r="H805" s="3" t="s">
        <v>86</v>
      </c>
      <c r="I805" s="3" t="str">
        <f>IFERROR(__xludf.DUMMYFUNCTION("GOOGLETRANSLATE(C805,""fr"",""en"")"),"Very disappointed with the management of my file for the Ford Focus but fortunately the competition was up to the task I do not think you recommend you to my friends")</f>
        <v>Very disappointed with the management of my file for the Ford Focus but fortunately the competition was up to the task I do not think you recommend you to my friends</v>
      </c>
    </row>
    <row r="806" ht="15.75" customHeight="1">
      <c r="A806" s="3">
        <v>1.0</v>
      </c>
      <c r="B806" s="3" t="s">
        <v>2272</v>
      </c>
      <c r="C806" s="3" t="s">
        <v>2273</v>
      </c>
      <c r="D806" s="3" t="s">
        <v>89</v>
      </c>
      <c r="E806" s="3" t="s">
        <v>33</v>
      </c>
      <c r="F806" s="3" t="s">
        <v>15</v>
      </c>
      <c r="G806" s="3" t="s">
        <v>2274</v>
      </c>
      <c r="H806" s="3" t="s">
        <v>236</v>
      </c>
      <c r="I806" s="3" t="str">
        <f>IFERROR(__xludf.DUMMYFUNCTION("GOOGLETRANSLATE(C806,""fr"",""en"")"),"Because I can't put less. Leaving a 77 -year -old granny to put a piece of furniture behind the front door of her apartment because she is not ensured by the front door of her building but just for the door of her apartment is shameful for more than 1500 "&amp;"euros per year")</f>
        <v>Because I can't put less. Leaving a 77 -year -old granny to put a piece of furniture behind the front door of her apartment because she is not ensured by the front door of her building but just for the door of her apartment is shameful for more than 1500 euros per year</v>
      </c>
    </row>
    <row r="807" ht="15.75" customHeight="1">
      <c r="A807" s="3">
        <v>2.0</v>
      </c>
      <c r="B807" s="3" t="s">
        <v>2275</v>
      </c>
      <c r="C807" s="3" t="s">
        <v>2276</v>
      </c>
      <c r="D807" s="3" t="s">
        <v>20</v>
      </c>
      <c r="E807" s="3" t="s">
        <v>21</v>
      </c>
      <c r="F807" s="3" t="s">
        <v>15</v>
      </c>
      <c r="G807" s="3" t="s">
        <v>2277</v>
      </c>
      <c r="H807" s="3" t="s">
        <v>100</v>
      </c>
      <c r="I807" s="3" t="str">
        <f>IFERROR(__xludf.DUMMYFUNCTION("GOOGLETRANSLATE(C807,""fr"",""en"")"),"accident 12/06/2017 month to receive the police report, therefore not responsible. Contestation has several resumptions, cabinet expertise BCA think to change. Error on their part on the motorcycle. never.")</f>
        <v>accident 12/06/2017 month to receive the police report, therefore not responsible. Contestation has several resumptions, cabinet expertise BCA think to change. Error on their part on the motorcycle. never.</v>
      </c>
    </row>
    <row r="808" ht="15.75" customHeight="1">
      <c r="A808" s="3">
        <v>5.0</v>
      </c>
      <c r="B808" s="3" t="s">
        <v>2278</v>
      </c>
      <c r="C808" s="3" t="s">
        <v>2279</v>
      </c>
      <c r="D808" s="3" t="s">
        <v>13</v>
      </c>
      <c r="E808" s="3" t="s">
        <v>14</v>
      </c>
      <c r="F808" s="3" t="s">
        <v>15</v>
      </c>
      <c r="G808" s="3" t="s">
        <v>2280</v>
      </c>
      <c r="H808" s="3" t="s">
        <v>44</v>
      </c>
      <c r="I808" s="3" t="str">
        <f>IFERROR(__xludf.DUMMYFUNCTION("GOOGLETRANSLATE(C808,""fr"",""en"")"),"Very satisfied by being a young driver the cheapest that I found and for the same guarantees as the others having done almost all the comparators.")</f>
        <v>Very satisfied by being a young driver the cheapest that I found and for the same guarantees as the others having done almost all the comparators.</v>
      </c>
    </row>
    <row r="809" ht="15.75" customHeight="1">
      <c r="A809" s="3">
        <v>3.0</v>
      </c>
      <c r="B809" s="3" t="s">
        <v>2281</v>
      </c>
      <c r="C809" s="3" t="s">
        <v>2282</v>
      </c>
      <c r="D809" s="3" t="s">
        <v>42</v>
      </c>
      <c r="E809" s="3" t="s">
        <v>14</v>
      </c>
      <c r="F809" s="3" t="s">
        <v>15</v>
      </c>
      <c r="G809" s="3" t="s">
        <v>1713</v>
      </c>
      <c r="H809" s="3" t="s">
        <v>115</v>
      </c>
      <c r="I809" s="3" t="str">
        <f>IFERROR(__xludf.DUMMYFUNCTION("GOOGLETRANSLATE(C809,""fr"",""en"")"),"The proposed price is suitable and registration is made very quickly on the internet. I had already taken out insurance at Direct Insurance in the past and everything had gone perfectly.")</f>
        <v>The proposed price is suitable and registration is made very quickly on the internet. I had already taken out insurance at Direct Insurance in the past and everything had gone perfectly.</v>
      </c>
    </row>
    <row r="810" ht="15.75" customHeight="1">
      <c r="A810" s="3">
        <v>1.0</v>
      </c>
      <c r="B810" s="3" t="s">
        <v>2283</v>
      </c>
      <c r="C810" s="3" t="s">
        <v>2284</v>
      </c>
      <c r="D810" s="3" t="s">
        <v>1207</v>
      </c>
      <c r="E810" s="3" t="s">
        <v>194</v>
      </c>
      <c r="F810" s="3" t="s">
        <v>15</v>
      </c>
      <c r="G810" s="3" t="s">
        <v>2285</v>
      </c>
      <c r="H810" s="3" t="s">
        <v>337</v>
      </c>
      <c r="I810" s="3" t="str">
        <f>IFERROR(__xludf.DUMMYFUNCTION("GOOGLETRANSLATE(C810,""fr"",""en"")"),"A shame when you get sick, it's been more than 20 years since I am an interim and pay my contributions, unfortunately I fall
seriously ill on 04/14/2020 but the planning finds me all the apologies not to pay, we are on August 15 on their site ""file stil"&amp;"l under processing"" but when I call, I am told that I do not have the right to nothing because but a mission stop, no proof to tell me their refusal, when I call, none of the advisers tell me the same thing ...
I do not understand the temporary boxes th"&amp;"at do not turn to competition to choose another provident company for temporary workers when we see so many messages of dissatisfaction that all look alike with the same problems of refusal, length of length Folder processing etc ...
Frankly run away fro"&amp;"m this world AG2R planning !!!!!")</f>
        <v>A shame when you get sick, it's been more than 20 years since I am an interim and pay my contributions, unfortunately I fall
seriously ill on 04/14/2020 but the planning finds me all the apologies not to pay, we are on August 15 on their site "file still under processing" but when I call, I am told that I do not have the right to nothing because but a mission stop, no proof to tell me their refusal, when I call, none of the advisers tell me the same thing ...
I do not understand the temporary boxes that do not turn to competition to choose another provident company for temporary workers when we see so many messages of dissatisfaction that all look alike with the same problems of refusal, length of length Folder processing etc ...
Frankly run away from this world AG2R planning !!!!!</v>
      </c>
    </row>
    <row r="811" ht="15.75" customHeight="1">
      <c r="A811" s="3">
        <v>4.0</v>
      </c>
      <c r="B811" s="3" t="s">
        <v>2286</v>
      </c>
      <c r="C811" s="3" t="s">
        <v>2287</v>
      </c>
      <c r="D811" s="3" t="s">
        <v>20</v>
      </c>
      <c r="E811" s="3" t="s">
        <v>21</v>
      </c>
      <c r="F811" s="3" t="s">
        <v>15</v>
      </c>
      <c r="G811" s="3" t="s">
        <v>1588</v>
      </c>
      <c r="H811" s="3" t="s">
        <v>39</v>
      </c>
      <c r="I811" s="3" t="str">
        <f>IFERROR(__xludf.DUMMYFUNCTION("GOOGLETRANSLATE(C811,""fr"",""en"")"),"I am satisfied with the very good service. The price suits me perfectly. How to send the documents, I would like you to send me the documents by mail cordially Mr Lettour")</f>
        <v>I am satisfied with the very good service. The price suits me perfectly. How to send the documents, I would like you to send me the documents by mail cordially Mr Lettour</v>
      </c>
    </row>
    <row r="812" ht="15.75" customHeight="1">
      <c r="A812" s="3">
        <v>4.0</v>
      </c>
      <c r="B812" s="3" t="s">
        <v>2288</v>
      </c>
      <c r="C812" s="3" t="s">
        <v>2289</v>
      </c>
      <c r="D812" s="3" t="s">
        <v>42</v>
      </c>
      <c r="E812" s="3" t="s">
        <v>14</v>
      </c>
      <c r="F812" s="3" t="s">
        <v>15</v>
      </c>
      <c r="G812" s="3" t="s">
        <v>297</v>
      </c>
      <c r="H812" s="3" t="s">
        <v>23</v>
      </c>
      <c r="I812" s="3" t="str">
        <f>IFERROR(__xludf.DUMMYFUNCTION("GOOGLETRANSLATE(C812,""fr"",""en"")"),"Yes I satisfy the price I intend to ensure all my vehicles dear you in the next month that follows thank you to the whole team of direct insurance")</f>
        <v>Yes I satisfy the price I intend to ensure all my vehicles dear you in the next month that follows thank you to the whole team of direct insurance</v>
      </c>
    </row>
    <row r="813" ht="15.75" customHeight="1">
      <c r="A813" s="3">
        <v>5.0</v>
      </c>
      <c r="B813" s="3" t="s">
        <v>2290</v>
      </c>
      <c r="C813" s="3" t="s">
        <v>2291</v>
      </c>
      <c r="D813" s="3" t="s">
        <v>384</v>
      </c>
      <c r="E813" s="3" t="s">
        <v>21</v>
      </c>
      <c r="F813" s="3" t="s">
        <v>15</v>
      </c>
      <c r="G813" s="3" t="s">
        <v>1582</v>
      </c>
      <c r="H813" s="3" t="s">
        <v>29</v>
      </c>
      <c r="I813" s="3" t="str">
        <f>IFERROR(__xludf.DUMMYFUNCTION("GOOGLETRANSLATE(C813,""fr"",""en"")"),"Very simple to make sure, easy and quick thanks to their site (in 4 hours my motorcycle was ensured and that a very practical Sunday)
Very affordable prices and no inconsiderate increase")</f>
        <v>Very simple to make sure, easy and quick thanks to their site (in 4 hours my motorcycle was ensured and that a very practical Sunday)
Very affordable prices and no inconsiderate increase</v>
      </c>
    </row>
    <row r="814" ht="15.75" customHeight="1">
      <c r="A814" s="3">
        <v>5.0</v>
      </c>
      <c r="B814" s="3" t="s">
        <v>2292</v>
      </c>
      <c r="C814" s="3" t="s">
        <v>2293</v>
      </c>
      <c r="D814" s="3" t="s">
        <v>42</v>
      </c>
      <c r="E814" s="3" t="s">
        <v>14</v>
      </c>
      <c r="F814" s="3" t="s">
        <v>15</v>
      </c>
      <c r="G814" s="3" t="s">
        <v>1103</v>
      </c>
      <c r="H814" s="3" t="s">
        <v>165</v>
      </c>
      <c r="I814" s="3" t="str">
        <f>IFERROR(__xludf.DUMMYFUNCTION("GOOGLETRANSLATE(C814,""fr"",""en"")"),"Home very well explanation clear net and precise super the person I had on the very kind phone she knew how to take the time to explain me")</f>
        <v>Home very well explanation clear net and precise super the person I had on the very kind phone she knew how to take the time to explain me</v>
      </c>
    </row>
    <row r="815" ht="15.75" customHeight="1">
      <c r="A815" s="3">
        <v>5.0</v>
      </c>
      <c r="B815" s="3" t="s">
        <v>2294</v>
      </c>
      <c r="C815" s="3" t="s">
        <v>2295</v>
      </c>
      <c r="D815" s="3" t="s">
        <v>42</v>
      </c>
      <c r="E815" s="3" t="s">
        <v>14</v>
      </c>
      <c r="F815" s="3" t="s">
        <v>15</v>
      </c>
      <c r="G815" s="3" t="s">
        <v>648</v>
      </c>
      <c r="H815" s="3" t="s">
        <v>75</v>
      </c>
      <c r="I815" s="3" t="str">
        <f>IFERROR(__xludf.DUMMYFUNCTION("GOOGLETRANSLATE(C815,""fr"",""en"")"),"I am very satisfied with the price and rapid and understanding treatment.
serve it and reliable and reassuring
I would recommend this insurance to my loved ones.
 ")</f>
        <v>I am very satisfied with the price and rapid and understanding treatment.
serve it and reliable and reassuring
I would recommend this insurance to my loved ones.
 </v>
      </c>
    </row>
    <row r="816" ht="15.75" customHeight="1">
      <c r="A816" s="3">
        <v>4.0</v>
      </c>
      <c r="B816" s="3" t="s">
        <v>2296</v>
      </c>
      <c r="C816" s="3" t="s">
        <v>2297</v>
      </c>
      <c r="D816" s="3" t="s">
        <v>42</v>
      </c>
      <c r="E816" s="3" t="s">
        <v>14</v>
      </c>
      <c r="F816" s="3" t="s">
        <v>15</v>
      </c>
      <c r="G816" s="3" t="s">
        <v>2298</v>
      </c>
      <c r="H816" s="3" t="s">
        <v>44</v>
      </c>
      <c r="I816" s="3" t="str">
        <f>IFERROR(__xludf.DUMMYFUNCTION("GOOGLETRANSLATE(C816,""fr"",""en"")"),"I am satisfied with the Direct Direct Insurance Service with advisor and the simplicity of the procedure to draw up an insurance contract A quote as well as the responsiveness of the customer service")</f>
        <v>I am satisfied with the Direct Direct Insurance Service with advisor and the simplicity of the procedure to draw up an insurance contract A quote as well as the responsiveness of the customer service</v>
      </c>
    </row>
    <row r="817" ht="15.75" customHeight="1">
      <c r="A817" s="3">
        <v>3.0</v>
      </c>
      <c r="B817" s="3" t="s">
        <v>2299</v>
      </c>
      <c r="C817" s="3" t="s">
        <v>2300</v>
      </c>
      <c r="D817" s="3" t="s">
        <v>47</v>
      </c>
      <c r="E817" s="3" t="s">
        <v>14</v>
      </c>
      <c r="F817" s="3" t="s">
        <v>15</v>
      </c>
      <c r="G817" s="3" t="s">
        <v>2301</v>
      </c>
      <c r="H817" s="3" t="s">
        <v>1261</v>
      </c>
      <c r="I817" s="3" t="str">
        <f>IFERROR(__xludf.DUMMYFUNCTION("GOOGLETRANSLATE(C817,""fr"",""en"")"),"Refuses to terminate the contract of my former vehicle despite the sale of this one for more than 3 months! While with the prefecture the vehicle was declared and treated as sold.
I find myself today in a delicate financial situation with 1 salary for tw"&amp;"o following the job loss of my partner, know that to pay for a service that we no longer have is unpleasant.")</f>
        <v>Refuses to terminate the contract of my former vehicle despite the sale of this one for more than 3 months! While with the prefecture the vehicle was declared and treated as sold.
I find myself today in a delicate financial situation with 1 salary for two following the job loss of my partner, know that to pay for a service that we no longer have is unpleasant.</v>
      </c>
    </row>
    <row r="818" ht="15.75" customHeight="1">
      <c r="A818" s="3">
        <v>3.0</v>
      </c>
      <c r="B818" s="3" t="s">
        <v>2302</v>
      </c>
      <c r="C818" s="3" t="s">
        <v>2303</v>
      </c>
      <c r="D818" s="3" t="s">
        <v>47</v>
      </c>
      <c r="E818" s="3" t="s">
        <v>14</v>
      </c>
      <c r="F818" s="3" t="s">
        <v>15</v>
      </c>
      <c r="G818" s="3" t="s">
        <v>28</v>
      </c>
      <c r="H818" s="3" t="s">
        <v>29</v>
      </c>
      <c r="I818" s="3" t="str">
        <f>IFERROR(__xludf.DUMMYFUNCTION("GOOGLETRANSLATE(C818,""fr"",""en"")"),"Customer advisers are quickly available.
Relatively high price, in return for complete guarantees.
Sinister quickly taken into account and very satisfactory reimbursement.
Application of the franchise credit granted to the subscription to the sinister "&amp;"climate event, that is to say total care ...
The satisfactions note takes into account the whole price-sneakers ...")</f>
        <v>Customer advisers are quickly available.
Relatively high price, in return for complete guarantees.
Sinister quickly taken into account and very satisfactory reimbursement.
Application of the franchise credit granted to the subscription to the sinister climate event, that is to say total care ...
The satisfactions note takes into account the whole price-sneakers ...</v>
      </c>
    </row>
    <row r="819" ht="15.75" customHeight="1">
      <c r="A819" s="3">
        <v>5.0</v>
      </c>
      <c r="B819" s="3" t="s">
        <v>2304</v>
      </c>
      <c r="C819" s="3" t="s">
        <v>2305</v>
      </c>
      <c r="D819" s="3" t="s">
        <v>42</v>
      </c>
      <c r="E819" s="3" t="s">
        <v>14</v>
      </c>
      <c r="F819" s="3" t="s">
        <v>15</v>
      </c>
      <c r="G819" s="3" t="s">
        <v>1495</v>
      </c>
      <c r="H819" s="3" t="s">
        <v>39</v>
      </c>
      <c r="I819" s="3" t="str">
        <f>IFERROR(__xludf.DUMMYFUNCTION("GOOGLETRANSLATE(C819,""fr"",""en"")"),"Insurance offers very attractive, very accessible rates, thank you. I recommend this insurance company, thank you for the welcome.")</f>
        <v>Insurance offers very attractive, very accessible rates, thank you. I recommend this insurance company, thank you for the welcome.</v>
      </c>
    </row>
    <row r="820" ht="15.75" customHeight="1">
      <c r="A820" s="3">
        <v>1.0</v>
      </c>
      <c r="B820" s="3" t="s">
        <v>2306</v>
      </c>
      <c r="C820" s="3" t="s">
        <v>2307</v>
      </c>
      <c r="D820" s="3" t="s">
        <v>332</v>
      </c>
      <c r="E820" s="3" t="s">
        <v>194</v>
      </c>
      <c r="F820" s="3" t="s">
        <v>15</v>
      </c>
      <c r="G820" s="3" t="s">
        <v>2308</v>
      </c>
      <c r="H820" s="3" t="s">
        <v>124</v>
      </c>
      <c r="I820" s="3" t="str">
        <f>IFERROR(__xludf.DUMMYFUNCTION("GOOGLETRANSLATE(C820,""fr"",""en"")"),"Good morning all,
I have been a half salary firefighter since November and since December 3, 2017, no compensation for provident. Despite many reminders by phone and email. I move up a gear with a complaint deposit and a bailiff's observation ..... mutua"&amp;"l to flee.
I advise all of my colleagues from the incompetence of this mutual by distributing an internal email.
Thank you for your attention.")</f>
        <v>Good morning all,
I have been a half salary firefighter since November and since December 3, 2017, no compensation for provident. Despite many reminders by phone and email. I move up a gear with a complaint deposit and a bailiff's observation ..... mutual to flee.
I advise all of my colleagues from the incompetence of this mutual by distributing an internal email.
Thank you for your attention.</v>
      </c>
    </row>
    <row r="821" ht="15.75" customHeight="1">
      <c r="A821" s="3">
        <v>2.0</v>
      </c>
      <c r="B821" s="3" t="s">
        <v>2309</v>
      </c>
      <c r="C821" s="3" t="s">
        <v>2310</v>
      </c>
      <c r="D821" s="3" t="s">
        <v>256</v>
      </c>
      <c r="E821" s="3" t="s">
        <v>109</v>
      </c>
      <c r="F821" s="3" t="s">
        <v>15</v>
      </c>
      <c r="G821" s="3" t="s">
        <v>2311</v>
      </c>
      <c r="H821" s="3" t="s">
        <v>165</v>
      </c>
      <c r="I821" s="3" t="str">
        <f>IFERROR(__xludf.DUMMYFUNCTION("GOOGLETRANSLATE(C821,""fr"",""en"")"),"I have not signed any part of a contract with this insurance and I receive a schedule.
Samples are taken from my account.
What is this way of doing things ????
")</f>
        <v>I have not signed any part of a contract with this insurance and I receive a schedule.
Samples are taken from my account.
What is this way of doing things ????
</v>
      </c>
    </row>
    <row r="822" ht="15.75" customHeight="1">
      <c r="A822" s="3">
        <v>2.0</v>
      </c>
      <c r="B822" s="3" t="s">
        <v>2312</v>
      </c>
      <c r="C822" s="3" t="s">
        <v>2313</v>
      </c>
      <c r="D822" s="3" t="s">
        <v>42</v>
      </c>
      <c r="E822" s="3" t="s">
        <v>14</v>
      </c>
      <c r="F822" s="3" t="s">
        <v>15</v>
      </c>
      <c r="G822" s="3" t="s">
        <v>1159</v>
      </c>
      <c r="H822" s="3" t="s">
        <v>253</v>
      </c>
      <c r="I822" s="3" t="str">
        <f>IFERROR(__xludf.DUMMYFUNCTION("GOOGLETRANSLATE(C822,""fr"",""en"")"),"Direct Insurance customer service is horrible when it is not a question of selling you contracts, you must call 20x and wait to end up having an advisor and again ..
For impatient (even a little patient) I do not recommend at all.
Very annoying to call "&amp;"a number and hear an advisor who 2S later ends up putting me on hold and putting me a message saying that my request can be taken into account because no advisor available, really?
I have renewed X times the request over several days and at different tim"&amp;"es, and always this message is incredible when it is not to sign a contract at once you are no longer there.")</f>
        <v>Direct Insurance customer service is horrible when it is not a question of selling you contracts, you must call 20x and wait to end up having an advisor and again ..
For impatient (even a little patient) I do not recommend at all.
Very annoying to call a number and hear an advisor who 2S later ends up putting me on hold and putting me a message saying that my request can be taken into account because no advisor available, really?
I have renewed X times the request over several days and at different times, and always this message is incredible when it is not to sign a contract at once you are no longer there.</v>
      </c>
    </row>
    <row r="823" ht="15.75" customHeight="1">
      <c r="A823" s="3">
        <v>5.0</v>
      </c>
      <c r="B823" s="3" t="s">
        <v>2314</v>
      </c>
      <c r="C823" s="3" t="s">
        <v>2315</v>
      </c>
      <c r="D823" s="3" t="s">
        <v>89</v>
      </c>
      <c r="E823" s="3" t="s">
        <v>14</v>
      </c>
      <c r="F823" s="3" t="s">
        <v>15</v>
      </c>
      <c r="G823" s="3" t="s">
        <v>59</v>
      </c>
      <c r="H823" s="3" t="s">
        <v>60</v>
      </c>
      <c r="I823" s="3" t="str">
        <f>IFERROR(__xludf.DUMMYFUNCTION("GOOGLETRANSLATE(C823,""fr"",""en"")"),"Correct rates. We advised this insurance to our loved ones who have therefore taken out contracts.")</f>
        <v>Correct rates. We advised this insurance to our loved ones who have therefore taken out contracts.</v>
      </c>
    </row>
    <row r="824" ht="15.75" customHeight="1">
      <c r="A824" s="3">
        <v>5.0</v>
      </c>
      <c r="B824" s="3" t="s">
        <v>2316</v>
      </c>
      <c r="C824" s="3" t="s">
        <v>2317</v>
      </c>
      <c r="D824" s="3" t="s">
        <v>42</v>
      </c>
      <c r="E824" s="3" t="s">
        <v>14</v>
      </c>
      <c r="F824" s="3" t="s">
        <v>15</v>
      </c>
      <c r="G824" s="3" t="s">
        <v>2234</v>
      </c>
      <c r="H824" s="3" t="s">
        <v>115</v>
      </c>
      <c r="I824" s="3" t="str">
        <f>IFERROR(__xludf.DUMMYFUNCTION("GOOGLETRANSLATE(C824,""fr"",""en"")"),"I am satisfied with the service and the prices now suit me to see in the event of assistance the quality of the services, I must say that we recognize a good or bad insurance in delicate situations")</f>
        <v>I am satisfied with the service and the prices now suit me to see in the event of assistance the quality of the services, I must say that we recognize a good or bad insurance in delicate situations</v>
      </c>
    </row>
    <row r="825" ht="15.75" customHeight="1">
      <c r="A825" s="3">
        <v>5.0</v>
      </c>
      <c r="B825" s="3" t="s">
        <v>2318</v>
      </c>
      <c r="C825" s="3" t="s">
        <v>2319</v>
      </c>
      <c r="D825" s="3" t="s">
        <v>13</v>
      </c>
      <c r="E825" s="3" t="s">
        <v>14</v>
      </c>
      <c r="F825" s="3" t="s">
        <v>15</v>
      </c>
      <c r="G825" s="3" t="s">
        <v>127</v>
      </c>
      <c r="H825" s="3" t="s">
        <v>39</v>
      </c>
      <c r="I825" s="3" t="str">
        <f>IFERROR(__xludf.DUMMYFUNCTION("GOOGLETRANSLATE(C825,""fr"",""en"")"),"Very fast registration services and more than reasonable prices. When registration very reactive advisor and listening it informed me about the products and services available.
")</f>
        <v>Very fast registration services and more than reasonable prices. When registration very reactive advisor and listening it informed me about the products and services available.
</v>
      </c>
    </row>
    <row r="826" ht="15.75" customHeight="1">
      <c r="A826" s="3">
        <v>4.0</v>
      </c>
      <c r="B826" s="3" t="s">
        <v>2320</v>
      </c>
      <c r="C826" s="3" t="s">
        <v>2321</v>
      </c>
      <c r="D826" s="3" t="s">
        <v>13</v>
      </c>
      <c r="E826" s="3" t="s">
        <v>14</v>
      </c>
      <c r="F826" s="3" t="s">
        <v>15</v>
      </c>
      <c r="G826" s="3" t="s">
        <v>297</v>
      </c>
      <c r="H826" s="3" t="s">
        <v>23</v>
      </c>
      <c r="I826" s="3" t="str">
        <f>IFERROR(__xludf.DUMMYFUNCTION("GOOGLETRANSLATE(C826,""fr"",""en"")"),"A detail of the first invoice would be essential we know that we pay the case costs but we do not really know what else.")</f>
        <v>A detail of the first invoice would be essential we know that we pay the case costs but we do not really know what else.</v>
      </c>
    </row>
    <row r="827" ht="15.75" customHeight="1">
      <c r="A827" s="3">
        <v>3.0</v>
      </c>
      <c r="B827" s="3" t="s">
        <v>2322</v>
      </c>
      <c r="C827" s="3" t="s">
        <v>2323</v>
      </c>
      <c r="D827" s="3" t="s">
        <v>42</v>
      </c>
      <c r="E827" s="3" t="s">
        <v>14</v>
      </c>
      <c r="F827" s="3" t="s">
        <v>15</v>
      </c>
      <c r="G827" s="3" t="s">
        <v>1152</v>
      </c>
      <c r="H827" s="3" t="s">
        <v>86</v>
      </c>
      <c r="I827" s="3" t="str">
        <f>IFERROR(__xludf.DUMMYFUNCTION("GOOGLETRANSLATE(C827,""fr"",""en"")"),"Service ok. Impossible to update my personal space (by such I am told not to send certain document and they are still missing")</f>
        <v>Service ok. Impossible to update my personal space (by such I am told not to send certain document and they are still missing</v>
      </c>
    </row>
    <row r="828" ht="15.75" customHeight="1">
      <c r="A828" s="3">
        <v>5.0</v>
      </c>
      <c r="B828" s="3" t="s">
        <v>2324</v>
      </c>
      <c r="C828" s="3" t="s">
        <v>2325</v>
      </c>
      <c r="D828" s="3" t="s">
        <v>13</v>
      </c>
      <c r="E828" s="3" t="s">
        <v>14</v>
      </c>
      <c r="F828" s="3" t="s">
        <v>15</v>
      </c>
      <c r="G828" s="3" t="s">
        <v>2326</v>
      </c>
      <c r="H828" s="3" t="s">
        <v>17</v>
      </c>
      <c r="I828" s="3" t="str">
        <f>IFERROR(__xludf.DUMMYFUNCTION("GOOGLETRANSLATE(C828,""fr"",""en"")"),"I am happy with the qualities of you services, I hope that the confidence that I have with regard to the Olivier Insurance is true and all the time that I will be with you I am quiet, thank you.
")</f>
        <v>I am happy with the qualities of you services, I hope that the confidence that I have with regard to the Olivier Insurance is true and all the time that I will be with you I am quiet, thank you.
</v>
      </c>
    </row>
    <row r="829" ht="15.75" customHeight="1">
      <c r="A829" s="3">
        <v>1.0</v>
      </c>
      <c r="B829" s="3" t="s">
        <v>2327</v>
      </c>
      <c r="C829" s="3" t="s">
        <v>2328</v>
      </c>
      <c r="D829" s="3" t="s">
        <v>20</v>
      </c>
      <c r="E829" s="3" t="s">
        <v>21</v>
      </c>
      <c r="F829" s="3" t="s">
        <v>15</v>
      </c>
      <c r="G829" s="3" t="s">
        <v>2020</v>
      </c>
      <c r="H829" s="3" t="s">
        <v>91</v>
      </c>
      <c r="I829" s="3" t="str">
        <f>IFERROR(__xludf.DUMMYFUNCTION("GOOGLETRANSLATE(C829,""fr"",""en"")"),"Following the flight of the scooter of my son who took place almost 3 months ago, April Moto has been walking since for the reimbursement of the scooter, they communicate to us that their interface does not work, then the papers to be transmitted by them "&amp;", they are waiting for a month to tell you that a document is missing when they have already received it for two months ... to flee. Lamentable company that does everything to save time to settle")</f>
        <v>Following the flight of the scooter of my son who took place almost 3 months ago, April Moto has been walking since for the reimbursement of the scooter, they communicate to us that their interface does not work, then the papers to be transmitted by them , they are waiting for a month to tell you that a document is missing when they have already received it for two months ... to flee. Lamentable company that does everything to save time to settle</v>
      </c>
    </row>
    <row r="830" ht="15.75" customHeight="1">
      <c r="A830" s="3">
        <v>1.0</v>
      </c>
      <c r="B830" s="3" t="s">
        <v>2329</v>
      </c>
      <c r="C830" s="3" t="s">
        <v>2330</v>
      </c>
      <c r="D830" s="3" t="s">
        <v>81</v>
      </c>
      <c r="E830" s="3" t="s">
        <v>14</v>
      </c>
      <c r="F830" s="3" t="s">
        <v>15</v>
      </c>
      <c r="G830" s="3" t="s">
        <v>2331</v>
      </c>
      <c r="H830" s="3" t="s">
        <v>506</v>
      </c>
      <c r="I830" s="3" t="str">
        <f>IFERROR(__xludf.DUMMYFUNCTION("GOOGLETRANSLATE(C830,""fr"",""en"")"),"Abusive increase of more than 20%, advised which cannot justify such an increase. I was put on hold without being taken over on the phone. I therefore leave this insurance")</f>
        <v>Abusive increase of more than 20%, advised which cannot justify such an increase. I was put on hold without being taken over on the phone. I therefore leave this insurance</v>
      </c>
    </row>
    <row r="831" ht="15.75" customHeight="1">
      <c r="A831" s="3">
        <v>1.0</v>
      </c>
      <c r="B831" s="3" t="s">
        <v>2332</v>
      </c>
      <c r="C831" s="3" t="s">
        <v>2333</v>
      </c>
      <c r="D831" s="3" t="s">
        <v>42</v>
      </c>
      <c r="E831" s="3" t="s">
        <v>14</v>
      </c>
      <c r="F831" s="3" t="s">
        <v>15</v>
      </c>
      <c r="G831" s="3" t="s">
        <v>944</v>
      </c>
      <c r="H831" s="3" t="s">
        <v>86</v>
      </c>
      <c r="I831" s="3" t="str">
        <f>IFERROR(__xludf.DUMMYFUNCTION("GOOGLETRANSLATE(C831,""fr"",""en"")"),"Each year the prices increase despite a bonus that increases and no accident. This year with COVVID and therefore the limitation of travel, no increase should have taken place so clearly I am not satisfied with this insurer and I leave you soon, as well a"&amp;"s my spouse.")</f>
        <v>Each year the prices increase despite a bonus that increases and no accident. This year with COVVID and therefore the limitation of travel, no increase should have taken place so clearly I am not satisfied with this insurer and I leave you soon, as well as my spouse.</v>
      </c>
    </row>
    <row r="832" ht="15.75" customHeight="1">
      <c r="A832" s="3">
        <v>1.0</v>
      </c>
      <c r="B832" s="3" t="s">
        <v>2334</v>
      </c>
      <c r="C832" s="3" t="s">
        <v>2335</v>
      </c>
      <c r="D832" s="3" t="s">
        <v>214</v>
      </c>
      <c r="E832" s="3" t="s">
        <v>98</v>
      </c>
      <c r="F832" s="3" t="s">
        <v>15</v>
      </c>
      <c r="G832" s="3" t="s">
        <v>2336</v>
      </c>
      <c r="H832" s="3" t="s">
        <v>35</v>
      </c>
      <c r="I832" s="3" t="str">
        <f>IFERROR(__xludf.DUMMYFUNCTION("GOOGLETRANSLATE(C832,""fr"",""en"")"),"Mandatory mutual damage employer otherwise I will never be 1 hour waiting and no one who answers and when we answer you we tell you about the pipo no professionalism that even misses me who are not doing any study I will be able to do this limited job wil"&amp;"l be necessary to close it")</f>
        <v>Mandatory mutual damage employer otherwise I will never be 1 hour waiting and no one who answers and when we answer you we tell you about the pipo no professionalism that even misses me who are not doing any study I will be able to do this limited job will be necessary to close it</v>
      </c>
    </row>
    <row r="833" ht="15.75" customHeight="1">
      <c r="A833" s="3">
        <v>5.0</v>
      </c>
      <c r="B833" s="3" t="s">
        <v>2337</v>
      </c>
      <c r="C833" s="3" t="s">
        <v>2338</v>
      </c>
      <c r="D833" s="3" t="s">
        <v>42</v>
      </c>
      <c r="E833" s="3" t="s">
        <v>14</v>
      </c>
      <c r="F833" s="3" t="s">
        <v>15</v>
      </c>
      <c r="G833" s="3" t="s">
        <v>445</v>
      </c>
      <c r="H833" s="3" t="s">
        <v>75</v>
      </c>
      <c r="I833" s="3" t="str">
        <f>IFERROR(__xludf.DUMMYFUNCTION("GOOGLETRANSLATE(C833,""fr"",""en"")"),"Service satisfied
The prices are correct, the site is clear, simple and effective
The teams are always there for a boost if necessary and very responsive :)
")</f>
        <v>Service satisfied
The prices are correct, the site is clear, simple and effective
The teams are always there for a boost if necessary and very responsive :)
</v>
      </c>
    </row>
    <row r="834" ht="15.75" customHeight="1">
      <c r="A834" s="3">
        <v>3.0</v>
      </c>
      <c r="B834" s="3" t="s">
        <v>2339</v>
      </c>
      <c r="C834" s="3" t="s">
        <v>2340</v>
      </c>
      <c r="D834" s="3" t="s">
        <v>13</v>
      </c>
      <c r="E834" s="3" t="s">
        <v>14</v>
      </c>
      <c r="F834" s="3" t="s">
        <v>15</v>
      </c>
      <c r="G834" s="3" t="s">
        <v>1757</v>
      </c>
      <c r="H834" s="3" t="s">
        <v>115</v>
      </c>
      <c r="I834" s="3" t="str">
        <f>IFERROR(__xludf.DUMMYFUNCTION("GOOGLETRANSLATE(C834,""fr"",""en"")"),"Opinion awaiting experience, I wanted to take out insurance any risk from the start that was refused to cause provisional registration, I hope that the 15 euros amendment will be taken care of by your service during the change of contract.
Cordially")</f>
        <v>Opinion awaiting experience, I wanted to take out insurance any risk from the start that was refused to cause provisional registration, I hope that the 15 euros amendment will be taken care of by your service during the change of contract.
Cordially</v>
      </c>
    </row>
    <row r="835" ht="15.75" customHeight="1">
      <c r="A835" s="3">
        <v>1.0</v>
      </c>
      <c r="B835" s="3" t="s">
        <v>2341</v>
      </c>
      <c r="C835" s="3" t="s">
        <v>2342</v>
      </c>
      <c r="D835" s="3" t="s">
        <v>956</v>
      </c>
      <c r="E835" s="3" t="s">
        <v>21</v>
      </c>
      <c r="F835" s="3" t="s">
        <v>15</v>
      </c>
      <c r="G835" s="3" t="s">
        <v>2343</v>
      </c>
      <c r="H835" s="3" t="s">
        <v>56</v>
      </c>
      <c r="I835" s="3" t="str">
        <f>IFERROR(__xludf.DUMMYFUNCTION("GOOGLETRANSLATE(C835,""fr"",""en"")"),"To be had nothing like this ""insurance"". We take your subscription then nothing. You change your address, no mail. You have an accident, you are abandoned squarely. Nobody answers your calls, the sinister service is ""Debordé"", in fact it is emptied no"&amp;" one works! After 6 months, 1400 euros in guard costs at the garage and worse that's all. When you put an unfavorable opinion on the Internet there is a person who asks to contact them in fact no one responds. Do not fall into the panel, to subscribe ther"&amp;"e there will always be a nice ""advisor"" to answer you.")</f>
        <v>To be had nothing like this "insurance". We take your subscription then nothing. You change your address, no mail. You have an accident, you are abandoned squarely. Nobody answers your calls, the sinister service is "Debordé", in fact it is emptied no one works! After 6 months, 1400 euros in guard costs at the garage and worse that's all. When you put an unfavorable opinion on the Internet there is a person who asks to contact them in fact no one responds. Do not fall into the panel, to subscribe there there will always be a nice "advisor" to answer you.</v>
      </c>
    </row>
    <row r="836" ht="15.75" customHeight="1">
      <c r="A836" s="3">
        <v>1.0</v>
      </c>
      <c r="B836" s="3" t="s">
        <v>2344</v>
      </c>
      <c r="C836" s="3" t="s">
        <v>2345</v>
      </c>
      <c r="D836" s="3" t="s">
        <v>695</v>
      </c>
      <c r="E836" s="3" t="s">
        <v>109</v>
      </c>
      <c r="F836" s="3" t="s">
        <v>15</v>
      </c>
      <c r="G836" s="3" t="s">
        <v>2346</v>
      </c>
      <c r="H836" s="3" t="s">
        <v>91</v>
      </c>
      <c r="I836" s="3" t="str">
        <f>IFERROR(__xludf.DUMMYFUNCTION("GOOGLETRANSLATE(C836,""fr"",""en"")"),"This mutual animals must be bohiquotter. Everything goes well until your pet is over 10 years old. I tell you about my little dog has never been sick and when she was 9 years old in 2018 my subscription reached 50 euros because each year it was re -evalua"&amp;"ted upwards. I continued to pay thinking that if I stopped there could be a complication. It's stupid but so. This year she made a complicated stroke that was taken care of. Then a few months after a renal problem during the 1st confinement. Difficulties "&amp;"but management. In August I see that my sample did not take place but I tell myself that it was retained on my last refund. September ditto. I phone I write I make emails. No answer. October I receive a letter dates from July 1 which informs me that my an"&amp;"imal is no longer guaranteed. I appeal to think of an administrative problem and telling myself that it was impossible because I had not been notified. I receive an answer informing of the irrevocable nature of this decision. She had just been 11 years ol"&amp;"d. Today my little dog is no longer assured and given his age cannot be by any insurance. I conduct the investigation and I learn veterinarians from my department that unfortunately I am not the only one in this case. Santevet is part of the Allianz group"&amp;" so in bankruptcy and is customary for this. From that an animal is over 10 years old and has had a pathology is the door and you are alone and distraught to face its end of life. Forgotten the contributions paid thoroughly lost.
")</f>
        <v>This mutual animals must be bohiquotter. Everything goes well until your pet is over 10 years old. I tell you about my little dog has never been sick and when she was 9 years old in 2018 my subscription reached 50 euros because each year it was re -evaluated upwards. I continued to pay thinking that if I stopped there could be a complication. It's stupid but so. This year she made a complicated stroke that was taken care of. Then a few months after a renal problem during the 1st confinement. Difficulties but management. In August I see that my sample did not take place but I tell myself that it was retained on my last refund. September ditto. I phone I write I make emails. No answer. October I receive a letter dates from July 1 which informs me that my animal is no longer guaranteed. I appeal to think of an administrative problem and telling myself that it was impossible because I had not been notified. I receive an answer informing of the irrevocable nature of this decision. She had just been 11 years old. Today my little dog is no longer assured and given his age cannot be by any insurance. I conduct the investigation and I learn veterinarians from my department that unfortunately I am not the only one in this case. Santevet is part of the Allianz group so in bankruptcy and is customary for this. From that an animal is over 10 years old and has had a pathology is the door and you are alone and distraught to face its end of life. Forgotten the contributions paid thoroughly lost.
</v>
      </c>
    </row>
    <row r="837" ht="15.75" customHeight="1">
      <c r="A837" s="3">
        <v>3.0</v>
      </c>
      <c r="B837" s="3" t="s">
        <v>2347</v>
      </c>
      <c r="C837" s="3" t="s">
        <v>2348</v>
      </c>
      <c r="D837" s="3" t="s">
        <v>214</v>
      </c>
      <c r="E837" s="3" t="s">
        <v>98</v>
      </c>
      <c r="F837" s="3" t="s">
        <v>15</v>
      </c>
      <c r="G837" s="3" t="s">
        <v>2349</v>
      </c>
      <c r="H837" s="3" t="s">
        <v>287</v>
      </c>
      <c r="I837" s="3" t="str">
        <f>IFERROR(__xludf.DUMMYFUNCTION("GOOGLETRANSLATE(C837,""fr"",""en"")"),"Subscribed a complementary health assistance contract since October an incompetent secretary to date my contract for the first November to date my contract is not always in place of physiotherapy services not reimbursed while the remote transmission has b"&amp;"een done")</f>
        <v>Subscribed a complementary health assistance contract since October an incompetent secretary to date my contract for the first November to date my contract is not always in place of physiotherapy services not reimbursed while the remote transmission has been done</v>
      </c>
    </row>
    <row r="838" ht="15.75" customHeight="1">
      <c r="A838" s="3">
        <v>2.0</v>
      </c>
      <c r="B838" s="3" t="s">
        <v>2350</v>
      </c>
      <c r="C838" s="3" t="s">
        <v>2351</v>
      </c>
      <c r="D838" s="3" t="s">
        <v>42</v>
      </c>
      <c r="E838" s="3" t="s">
        <v>14</v>
      </c>
      <c r="F838" s="3" t="s">
        <v>15</v>
      </c>
      <c r="G838" s="3" t="s">
        <v>1459</v>
      </c>
      <c r="H838" s="3" t="s">
        <v>86</v>
      </c>
      <c r="I838" s="3" t="str">
        <f>IFERROR(__xludf.DUMMYFUNCTION("GOOGLETRANSLATE(C838,""fr"",""en"")"),"I am not satisfied with the prices given the covid and this despite my letter of request to discount on the price of my insurance, my vehicle rolling very little JML")</f>
        <v>I am not satisfied with the prices given the covid and this despite my letter of request to discount on the price of my insurance, my vehicle rolling very little JML</v>
      </c>
    </row>
    <row r="839" ht="15.75" customHeight="1">
      <c r="A839" s="3">
        <v>3.0</v>
      </c>
      <c r="B839" s="3" t="s">
        <v>2352</v>
      </c>
      <c r="C839" s="3" t="s">
        <v>2353</v>
      </c>
      <c r="D839" s="3" t="s">
        <v>13</v>
      </c>
      <c r="E839" s="3" t="s">
        <v>14</v>
      </c>
      <c r="F839" s="3" t="s">
        <v>15</v>
      </c>
      <c r="G839" s="3" t="s">
        <v>496</v>
      </c>
      <c r="H839" s="3" t="s">
        <v>23</v>
      </c>
      <c r="I839" s="3" t="str">
        <f>IFERROR(__xludf.DUMMYFUNCTION("GOOGLETRANSLATE(C839,""fr"",""en"")"),"Simple and practical. Satisfied with the electromagnetic mandate. Hope it works and don't take too long. Pricing seems correct to me.")</f>
        <v>Simple and practical. Satisfied with the electromagnetic mandate. Hope it works and don't take too long. Pricing seems correct to me.</v>
      </c>
    </row>
    <row r="840" ht="15.75" customHeight="1">
      <c r="A840" s="3">
        <v>4.0</v>
      </c>
      <c r="B840" s="3" t="s">
        <v>2354</v>
      </c>
      <c r="C840" s="3" t="s">
        <v>2355</v>
      </c>
      <c r="D840" s="3" t="s">
        <v>42</v>
      </c>
      <c r="E840" s="3" t="s">
        <v>14</v>
      </c>
      <c r="F840" s="3" t="s">
        <v>15</v>
      </c>
      <c r="G840" s="3" t="s">
        <v>483</v>
      </c>
      <c r="H840" s="3" t="s">
        <v>23</v>
      </c>
      <c r="I840" s="3" t="str">
        <f>IFERROR(__xludf.DUMMYFUNCTION("GOOGLETRANSLATE(C840,""fr"",""en"")"),"Satisfied with the online service of direct insurance pricing very fast price correct I advise any person interested in online insurance")</f>
        <v>Satisfied with the online service of direct insurance pricing very fast price correct I advise any person interested in online insurance</v>
      </c>
    </row>
    <row r="841" ht="15.75" customHeight="1">
      <c r="A841" s="3">
        <v>1.0</v>
      </c>
      <c r="B841" s="3" t="s">
        <v>2356</v>
      </c>
      <c r="C841" s="3" t="s">
        <v>2357</v>
      </c>
      <c r="D841" s="3" t="s">
        <v>81</v>
      </c>
      <c r="E841" s="3" t="s">
        <v>194</v>
      </c>
      <c r="F841" s="3" t="s">
        <v>15</v>
      </c>
      <c r="G841" s="3" t="s">
        <v>2358</v>
      </c>
      <c r="H841" s="3" t="s">
        <v>17</v>
      </c>
      <c r="I841" s="3" t="str">
        <f>IFERROR(__xludf.DUMMYFUNCTION("GOOGLETRANSLATE(C841,""fr"",""en"")"),"Sold as one of the best provident contracts in 2008 I will be compensated for € 4,500 for a disability of 10% while I pay almost 200 euros per year.
Flee you will find much cheaper and much better compensated in the event of a problem in most insurance.
"&amp;"
Customer advisers are heinous
This insurance was qualified as one of the worst on the market by the expert of insured people I contacted.")</f>
        <v>Sold as one of the best provident contracts in 2008 I will be compensated for € 4,500 for a disability of 10% while I pay almost 200 euros per year.
Flee you will find much cheaper and much better compensated in the event of a problem in most insurance.
Customer advisers are heinous
This insurance was qualified as one of the worst on the market by the expert of insured people I contacted.</v>
      </c>
    </row>
    <row r="842" ht="15.75" customHeight="1">
      <c r="A842" s="3">
        <v>4.0</v>
      </c>
      <c r="B842" s="3" t="s">
        <v>2359</v>
      </c>
      <c r="C842" s="3" t="s">
        <v>2360</v>
      </c>
      <c r="D842" s="3" t="s">
        <v>42</v>
      </c>
      <c r="E842" s="3" t="s">
        <v>14</v>
      </c>
      <c r="F842" s="3" t="s">
        <v>15</v>
      </c>
      <c r="G842" s="3" t="s">
        <v>1574</v>
      </c>
      <c r="H842" s="3" t="s">
        <v>660</v>
      </c>
      <c r="I842" s="3" t="str">
        <f>IFERROR(__xludf.DUMMYFUNCTION("GOOGLETRANSLATE(C842,""fr"",""en"")"),"Very pleasant welcome and telephone exchange.")</f>
        <v>Very pleasant welcome and telephone exchange.</v>
      </c>
    </row>
    <row r="843" ht="15.75" customHeight="1">
      <c r="A843" s="3">
        <v>5.0</v>
      </c>
      <c r="B843" s="3" t="s">
        <v>2361</v>
      </c>
      <c r="C843" s="3" t="s">
        <v>2362</v>
      </c>
      <c r="D843" s="3" t="s">
        <v>466</v>
      </c>
      <c r="E843" s="3" t="s">
        <v>14</v>
      </c>
      <c r="F843" s="3" t="s">
        <v>15</v>
      </c>
      <c r="G843" s="3" t="s">
        <v>2363</v>
      </c>
      <c r="H843" s="3" t="s">
        <v>563</v>
      </c>
      <c r="I843" s="3" t="str">
        <f>IFERROR(__xludf.DUMMYFUNCTION("GOOGLETRANSLATE(C843,""fr"",""en"")"),"I would like to highlight the professionalism shown by the agency's advisers and their efficiency following a disaster. The advisor accompanied me and made himself available during my reiterated calls")</f>
        <v>I would like to highlight the professionalism shown by the agency's advisers and their efficiency following a disaster. The advisor accompanied me and made himself available during my reiterated calls</v>
      </c>
    </row>
    <row r="844" ht="15.75" customHeight="1">
      <c r="A844" s="3">
        <v>5.0</v>
      </c>
      <c r="B844" s="3" t="s">
        <v>2364</v>
      </c>
      <c r="C844" s="3" t="s">
        <v>2365</v>
      </c>
      <c r="D844" s="3" t="s">
        <v>13</v>
      </c>
      <c r="E844" s="3" t="s">
        <v>14</v>
      </c>
      <c r="F844" s="3" t="s">
        <v>15</v>
      </c>
      <c r="G844" s="3" t="s">
        <v>583</v>
      </c>
      <c r="H844" s="3" t="s">
        <v>23</v>
      </c>
      <c r="I844" s="3" t="str">
        <f>IFERROR(__xludf.DUMMYFUNCTION("GOOGLETRANSLATE(C844,""fr"",""en"")"),"I am very satisfied with the service, the prices are very good. It is very simple, fast and efficient. I immediately had an advisor who took the time to explain everything to me and who was very professional.")</f>
        <v>I am very satisfied with the service, the prices are very good. It is very simple, fast and efficient. I immediately had an advisor who took the time to explain everything to me and who was very professional.</v>
      </c>
    </row>
    <row r="845" ht="15.75" customHeight="1">
      <c r="A845" s="3">
        <v>2.0</v>
      </c>
      <c r="B845" s="3" t="s">
        <v>2366</v>
      </c>
      <c r="C845" s="3" t="s">
        <v>2367</v>
      </c>
      <c r="D845" s="3" t="s">
        <v>89</v>
      </c>
      <c r="E845" s="3" t="s">
        <v>33</v>
      </c>
      <c r="F845" s="3" t="s">
        <v>15</v>
      </c>
      <c r="G845" s="3" t="s">
        <v>966</v>
      </c>
      <c r="H845" s="3" t="s">
        <v>345</v>
      </c>
      <c r="I845" s="3" t="str">
        <f>IFERROR(__xludf.DUMMYFUNCTION("GOOGLETRANSLATE(C845,""fr"",""en"")"),"Very disappointed ... For years at La Maif, on 2 cases, 2 refusals of care. 1/My cellar was robbed, the broken lock. I filed a complaint with the gendarmerie. I call the maif to find out the amount of the franchise, I am answered ""no care"", do yourself "&amp;"... Very well I replace the lock alone, quite surprised that an attempted flight with break-in No care of my insurer 2/One evening when I had to take my boxed vehicle in an individual garage, I go to open the door, impossible. More battery, more charger ("&amp;"always so in these cases ...) I urgently call a locksmith who notes the lock defect, replaces the barrel, for a high amount (emergency troubleshooting, necessarily. ..). I call the maif, same response ""no care"" okay but I am also indicated ""there would"&amp;" have been a care if the defect came from a third party"" ah okay and the previous time then ??? Basically, clearly, they never take care of, ... I am looking for another, cheaper home insurance, because even if it means paying in the void ...")</f>
        <v>Very disappointed ... For years at La Maif, on 2 cases, 2 refusals of care. 1/My cellar was robbed, the broken lock. I filed a complaint with the gendarmerie. I call the maif to find out the amount of the franchise, I am answered "no care", do yourself ... Very well I replace the lock alone, quite surprised that an attempted flight with break-in No care of my insurer 2/One evening when I had to take my boxed vehicle in an individual garage, I go to open the door, impossible. More battery, more charger (always so in these cases ...) I urgently call a locksmith who notes the lock defect, replaces the barrel, for a high amount (emergency troubleshooting, necessarily. ..). I call the maif, same response "no care" okay but I am also indicated "there would have been a care if the defect came from a third party" ah okay and the previous time then ??? Basically, clearly, they never take care of, ... I am looking for another, cheaper home insurance, because even if it means paying in the void ...</v>
      </c>
    </row>
    <row r="846" ht="15.75" customHeight="1">
      <c r="A846" s="3">
        <v>5.0</v>
      </c>
      <c r="B846" s="3" t="s">
        <v>2368</v>
      </c>
      <c r="C846" s="3" t="s">
        <v>2369</v>
      </c>
      <c r="D846" s="3" t="s">
        <v>42</v>
      </c>
      <c r="E846" s="3" t="s">
        <v>14</v>
      </c>
      <c r="F846" s="3" t="s">
        <v>15</v>
      </c>
      <c r="G846" s="3" t="s">
        <v>588</v>
      </c>
      <c r="H846" s="3" t="s">
        <v>75</v>
      </c>
      <c r="I846" s="3" t="str">
        <f>IFERROR(__xludf.DUMMYFUNCTION("GOOGLETRANSLATE(C846,""fr"",""en"")"),"The prices and services suit me, the telephonic advisers are very reactive and brought me all the explanations necessary with the choice on several options")</f>
        <v>The prices and services suit me, the telephonic advisers are very reactive and brought me all the explanations necessary with the choice on several options</v>
      </c>
    </row>
    <row r="847" ht="15.75" customHeight="1">
      <c r="A847" s="3">
        <v>3.0</v>
      </c>
      <c r="B847" s="3" t="s">
        <v>2370</v>
      </c>
      <c r="C847" s="3" t="s">
        <v>2371</v>
      </c>
      <c r="D847" s="3" t="s">
        <v>42</v>
      </c>
      <c r="E847" s="3" t="s">
        <v>14</v>
      </c>
      <c r="F847" s="3" t="s">
        <v>15</v>
      </c>
      <c r="G847" s="3" t="s">
        <v>2372</v>
      </c>
      <c r="H847" s="3" t="s">
        <v>75</v>
      </c>
      <c r="I847" s="3" t="str">
        <f>IFERROR(__xludf.DUMMYFUNCTION("GOOGLETRANSLATE(C847,""fr"",""en"")"),"I will see over time because I am still newly enrolled in your insurance. Not much to say my parents are already there and do not complain.")</f>
        <v>I will see over time because I am still newly enrolled in your insurance. Not much to say my parents are already there and do not complain.</v>
      </c>
    </row>
    <row r="848" ht="15.75" customHeight="1">
      <c r="A848" s="3">
        <v>5.0</v>
      </c>
      <c r="B848" s="3" t="s">
        <v>2373</v>
      </c>
      <c r="C848" s="3" t="s">
        <v>2374</v>
      </c>
      <c r="D848" s="3" t="s">
        <v>13</v>
      </c>
      <c r="E848" s="3" t="s">
        <v>14</v>
      </c>
      <c r="F848" s="3" t="s">
        <v>15</v>
      </c>
      <c r="G848" s="3" t="s">
        <v>2375</v>
      </c>
      <c r="H848" s="3" t="s">
        <v>169</v>
      </c>
      <c r="I848" s="3" t="str">
        <f>IFERROR(__xludf.DUMMYFUNCTION("GOOGLETRANSLATE(C848,""fr"",""en"")"),"Very good insurance with a simple site and very pleasant people on the phone who contacts their customer in order to know if all goes well. Very reasonable prix.")</f>
        <v>Very good insurance with a simple site and very pleasant people on the phone who contacts their customer in order to know if all goes well. Very reasonable prix.</v>
      </c>
    </row>
    <row r="849" ht="15.75" customHeight="1">
      <c r="A849" s="3">
        <v>2.0</v>
      </c>
      <c r="B849" s="3" t="s">
        <v>2376</v>
      </c>
      <c r="C849" s="3" t="s">
        <v>2377</v>
      </c>
      <c r="D849" s="3" t="s">
        <v>246</v>
      </c>
      <c r="E849" s="3" t="s">
        <v>14</v>
      </c>
      <c r="F849" s="3" t="s">
        <v>15</v>
      </c>
      <c r="G849" s="3" t="s">
        <v>2378</v>
      </c>
      <c r="H849" s="3" t="s">
        <v>149</v>
      </c>
      <c r="I849" s="3" t="str">
        <f>IFERROR(__xludf.DUMMYFUNCTION("GOOGLETRANSLATE(C849,""fr"",""en"")"),"very bad coordination of assistance")</f>
        <v>very bad coordination of assistance</v>
      </c>
    </row>
    <row r="850" ht="15.75" customHeight="1">
      <c r="A850" s="3">
        <v>4.0</v>
      </c>
      <c r="B850" s="3" t="s">
        <v>2379</v>
      </c>
      <c r="C850" s="3" t="s">
        <v>2380</v>
      </c>
      <c r="D850" s="3" t="s">
        <v>13</v>
      </c>
      <c r="E850" s="3" t="s">
        <v>14</v>
      </c>
      <c r="F850" s="3" t="s">
        <v>15</v>
      </c>
      <c r="G850" s="3" t="s">
        <v>2381</v>
      </c>
      <c r="H850" s="3" t="s">
        <v>224</v>
      </c>
      <c r="I850" s="3" t="str">
        <f>IFERROR(__xludf.DUMMYFUNCTION("GOOGLETRANSLATE(C850,""fr"",""en"")"),"A little complicated when someone was wrong on our name. We had to spend a lot of time on the phone. We hope that if we ever have a disaster, everything will be fine.")</f>
        <v>A little complicated when someone was wrong on our name. We had to spend a lot of time on the phone. We hope that if we ever have a disaster, everything will be fine.</v>
      </c>
    </row>
    <row r="851" ht="15.75" customHeight="1">
      <c r="A851" s="3">
        <v>2.0</v>
      </c>
      <c r="B851" s="3" t="s">
        <v>2382</v>
      </c>
      <c r="C851" s="3" t="s">
        <v>2383</v>
      </c>
      <c r="D851" s="3" t="s">
        <v>89</v>
      </c>
      <c r="E851" s="3" t="s">
        <v>33</v>
      </c>
      <c r="F851" s="3" t="s">
        <v>15</v>
      </c>
      <c r="G851" s="3" t="s">
        <v>412</v>
      </c>
      <c r="H851" s="3" t="s">
        <v>236</v>
      </c>
      <c r="I851" s="3" t="str">
        <f>IFERROR(__xludf.DUMMYFUNCTION("GOOGLETRANSLATE(C851,""fr"",""en"")"),"File that has been lying around for 6 months! Loss of attachment. Do not find the files, do not receive the emails from the opponent. And they are bad liver! saying that nothing was sent.")</f>
        <v>File that has been lying around for 6 months! Loss of attachment. Do not find the files, do not receive the emails from the opponent. And they are bad liver! saying that nothing was sent.</v>
      </c>
    </row>
    <row r="852" ht="15.75" customHeight="1">
      <c r="A852" s="3">
        <v>2.0</v>
      </c>
      <c r="B852" s="3" t="s">
        <v>2384</v>
      </c>
      <c r="C852" s="3" t="s">
        <v>2385</v>
      </c>
      <c r="D852" s="3" t="s">
        <v>20</v>
      </c>
      <c r="E852" s="3" t="s">
        <v>21</v>
      </c>
      <c r="F852" s="3" t="s">
        <v>15</v>
      </c>
      <c r="G852" s="3" t="s">
        <v>2386</v>
      </c>
      <c r="H852" s="3" t="s">
        <v>337</v>
      </c>
      <c r="I852" s="3" t="str">
        <f>IFERROR(__xludf.DUMMYFUNCTION("GOOGLETRANSLATE(C852,""fr"",""en"")"),"Run away !
Your correspondent will be expressed in approximate French and your correspondence will be written using an automatic translator who is wrong with homonymous making the sentence incomprehensible. And in the event of a request not provided for "&amp;"in the contract they advise you themselves to change insurance !!")</f>
        <v>Run away !
Your correspondent will be expressed in approximate French and your correspondence will be written using an automatic translator who is wrong with homonymous making the sentence incomprehensible. And in the event of a request not provided for in the contract they advise you themselves to change insurance !!</v>
      </c>
    </row>
    <row r="853" ht="15.75" customHeight="1">
      <c r="A853" s="3">
        <v>2.0</v>
      </c>
      <c r="B853" s="3" t="s">
        <v>2387</v>
      </c>
      <c r="C853" s="3" t="s">
        <v>2388</v>
      </c>
      <c r="D853" s="3" t="s">
        <v>42</v>
      </c>
      <c r="E853" s="3" t="s">
        <v>14</v>
      </c>
      <c r="F853" s="3" t="s">
        <v>15</v>
      </c>
      <c r="G853" s="3" t="s">
        <v>2389</v>
      </c>
      <c r="H853" s="3" t="s">
        <v>534</v>
      </c>
      <c r="I853" s="3" t="str">
        <f>IFERROR(__xludf.DUMMYFUNCTION("GOOGLETRANSLATE(C853,""fr"",""en"")"),"I find it unacceptable that by being assured of any risk with serenity pack we did not have a vehicle loan when our car was stolen and that we are not compensated before 30 days. In addition, he does not support any article present in our vehicle during t"&amp;"he flight ...")</f>
        <v>I find it unacceptable that by being assured of any risk with serenity pack we did not have a vehicle loan when our car was stolen and that we are not compensated before 30 days. In addition, he does not support any article present in our vehicle during the flight ...</v>
      </c>
    </row>
    <row r="854" ht="15.75" customHeight="1">
      <c r="A854" s="3">
        <v>5.0</v>
      </c>
      <c r="B854" s="3" t="s">
        <v>2390</v>
      </c>
      <c r="C854" s="3" t="s">
        <v>2391</v>
      </c>
      <c r="D854" s="3" t="s">
        <v>42</v>
      </c>
      <c r="E854" s="3" t="s">
        <v>14</v>
      </c>
      <c r="F854" s="3" t="s">
        <v>15</v>
      </c>
      <c r="G854" s="3" t="s">
        <v>43</v>
      </c>
      <c r="H854" s="3" t="s">
        <v>44</v>
      </c>
      <c r="I854" s="3" t="str">
        <f>IFERROR(__xludf.DUMMYFUNCTION("GOOGLETRANSLATE(C854,""fr"",""en"")"),"The subscription was fast.
The prices are competitive.
Payment and online information are practical.
I recommend this insurance company.")</f>
        <v>The subscription was fast.
The prices are competitive.
Payment and online information are practical.
I recommend this insurance company.</v>
      </c>
    </row>
    <row r="855" ht="15.75" customHeight="1">
      <c r="A855" s="3">
        <v>5.0</v>
      </c>
      <c r="B855" s="3" t="s">
        <v>2392</v>
      </c>
      <c r="C855" s="3" t="s">
        <v>2393</v>
      </c>
      <c r="D855" s="3" t="s">
        <v>20</v>
      </c>
      <c r="E855" s="3" t="s">
        <v>21</v>
      </c>
      <c r="F855" s="3" t="s">
        <v>15</v>
      </c>
      <c r="G855" s="3" t="s">
        <v>578</v>
      </c>
      <c r="H855" s="3" t="s">
        <v>23</v>
      </c>
      <c r="I855" s="3" t="str">
        <f>IFERROR(__xludf.DUMMYFUNCTION("GOOGLETRANSLATE(C855,""fr"",""en"")"),"I am happy with the price and the speed of subscription. I am already a April customer for mortgage loan insurance. No. Problem so far")</f>
        <v>I am happy with the price and the speed of subscription. I am already a April customer for mortgage loan insurance. No. Problem so far</v>
      </c>
    </row>
    <row r="856" ht="15.75" customHeight="1">
      <c r="A856" s="3">
        <v>3.0</v>
      </c>
      <c r="B856" s="3" t="s">
        <v>2394</v>
      </c>
      <c r="C856" s="3" t="s">
        <v>2395</v>
      </c>
      <c r="D856" s="3" t="s">
        <v>13</v>
      </c>
      <c r="E856" s="3" t="s">
        <v>14</v>
      </c>
      <c r="F856" s="3" t="s">
        <v>15</v>
      </c>
      <c r="G856" s="3" t="s">
        <v>811</v>
      </c>
      <c r="H856" s="3" t="s">
        <v>17</v>
      </c>
      <c r="I856" s="3" t="str">
        <f>IFERROR(__xludf.DUMMYFUNCTION("GOOGLETRANSLATE(C856,""fr"",""en"")"),"Correct and advisor tells us well. And not very expensive. Build unless late expansion. 20 EUR of costs is too one onereux. Date of not satisfactory")</f>
        <v>Correct and advisor tells us well. And not very expensive. Build unless late expansion. 20 EUR of costs is too one onereux. Date of not satisfactory</v>
      </c>
    </row>
    <row r="857" ht="15.75" customHeight="1">
      <c r="A857" s="3">
        <v>1.0</v>
      </c>
      <c r="B857" s="3" t="s">
        <v>2396</v>
      </c>
      <c r="C857" s="3" t="s">
        <v>2397</v>
      </c>
      <c r="D857" s="3" t="s">
        <v>2012</v>
      </c>
      <c r="E857" s="3" t="s">
        <v>27</v>
      </c>
      <c r="F857" s="3" t="s">
        <v>15</v>
      </c>
      <c r="G857" s="3" t="s">
        <v>2398</v>
      </c>
      <c r="H857" s="3" t="s">
        <v>169</v>
      </c>
      <c r="I857" s="3" t="str">
        <f>IFERROR(__xludf.DUMMYFUNCTION("GOOGLETRANSLATE(C857,""fr"",""en"")"),"Rumors of long time limits for sending documents for the start of the payment insurance funding procedure is confirmed:
1/ SOGECAP is unable to communicate with Société Générale after a death to resolve the problems created by automatic samples continued"&amp;" after death for life insurance.
2/ SOGECAP is not able to provide monitoring of actions with the notary.
3/ When we start to ask for accounts and use the term ""dilatory measures"" we indicate by phone that the point on insurance-sections is done with "&amp;"the notary and the information on blockages become suddenly confidential while it is me who AI provided information on the beneficiaries, the notary, ...")</f>
        <v>Rumors of long time limits for sending documents for the start of the payment insurance funding procedure is confirmed:
1/ SOGECAP is unable to communicate with Société Générale after a death to resolve the problems created by automatic samples continued after death for life insurance.
2/ SOGECAP is not able to provide monitoring of actions with the notary.
3/ When we start to ask for accounts and use the term "dilatory measures" we indicate by phone that the point on insurance-sections is done with the notary and the information on blockages become suddenly confidential while it is me who AI provided information on the beneficiaries, the notary, ...</v>
      </c>
    </row>
    <row r="858" ht="15.75" customHeight="1">
      <c r="A858" s="3">
        <v>3.0</v>
      </c>
      <c r="B858" s="3" t="s">
        <v>2399</v>
      </c>
      <c r="C858" s="3" t="s">
        <v>2400</v>
      </c>
      <c r="D858" s="3" t="s">
        <v>13</v>
      </c>
      <c r="E858" s="3" t="s">
        <v>14</v>
      </c>
      <c r="F858" s="3" t="s">
        <v>15</v>
      </c>
      <c r="G858" s="3" t="s">
        <v>1404</v>
      </c>
      <c r="H858" s="3" t="s">
        <v>75</v>
      </c>
      <c r="I858" s="3" t="str">
        <f>IFERROR(__xludf.DUMMYFUNCTION("GOOGLETRANSLATE(C858,""fr"",""en"")"),"Very responsive during claims.
However, it is very complicated to terminate a contract in our right.
They tend to get dragged and it's quite painful.")</f>
        <v>Very responsive during claims.
However, it is very complicated to terminate a contract in our right.
They tend to get dragged and it's quite painful.</v>
      </c>
    </row>
    <row r="859" ht="15.75" customHeight="1">
      <c r="A859" s="3">
        <v>1.0</v>
      </c>
      <c r="B859" s="3" t="s">
        <v>2401</v>
      </c>
      <c r="C859" s="3" t="s">
        <v>2402</v>
      </c>
      <c r="D859" s="3" t="s">
        <v>89</v>
      </c>
      <c r="E859" s="3" t="s">
        <v>14</v>
      </c>
      <c r="F859" s="3" t="s">
        <v>15</v>
      </c>
      <c r="G859" s="3" t="s">
        <v>2403</v>
      </c>
      <c r="H859" s="3" t="s">
        <v>439</v>
      </c>
      <c r="I859" s="3" t="str">
        <f>IFERROR(__xludf.DUMMYFUNCTION("GOOGLETRANSLATE(C859,""fr"",""en"")"),"Too bad we can't put 0 stars. I strongly advise against this insurer which has been unable to settle my dispute for more than two months.
In early April I am vandalized by my car by a recognized third party (complaint and company filing) for a simple bro"&amp;"ken window my car is taking to our usual garage by a tow truck, being Sunday it will first be cauting in a garage for At night, then take my garage the next day. We, already upset by the situation and not having a habit do not think of claiming the conven"&amp;"ience store the towing sheet (the place where our car is lodged is not clear either the convenience store not telling us the same thing than SMS received by assistance). In short, a week later I finally recover my car (which was in perfect condition when "&amp;"the convenience store recovered it, but I see a big scratch with a hole in my bumper. My garage informs me that my vehicle has arrived With them like that, with the proof of the towing sheet the day she arrived at home showing a cross on the left back. I "&amp;"then contact the consumer service, which contacted me within 2 weeks and informs me while , no, the car did not arrive like this in the garage because the damage does not appear on the sheet. Indeed, it tells me that the cross is located between the headl"&amp;"ights and not on the bumper on the left and that Legally the damage does not exist on paper. However, I am offered to declare the disaster without recognized third party and that I should pay the deductible. Out of the questions to pay for damage that I d"&amp;"id not cause knowing that my car was in excellent condition when I entrusted it for the repair of e my window.
Later, I was again contacted by the same advice which awaited responses from the convenience store, which, obviously, denies having damaged my "&amp;"vehicle. I tell him that the quote of my bumper amounts to € 700 because it must be changed entirely and repaint it. The advisor tells me that it is not on the bumper, I answer him ""Excuse me but the damage is of course the bumper I even sent you a quote"&amp;"!"" (I understand that we are not machines, that he manages several files but the least of things before calling me will be releasing his file, especially since I sent many photos!). He tells me that he cannot always follow up on the fact that the damage "&amp;"is not reported, I answer him that I will not stop there I do not agree for me the damage is reported since 'There is a cross on the diagram located on the left back and that it is the only existing damage on my car. He tells me how to send me back photos"&amp;" from the back, I will see what I can do (we are on May 19). I therefore send a new email supporting photos explaining that, no, my car has no damage next to the left rear lighthouse but below the lighthouse on the bumper. Since then, radio silence, no mo"&amp;"re new, until today where I receive a letter in which he died exactly what he told me on the phone last month accompanied by the photocopy of the towing sheet given to My garage where we can see this famous cross (I had already sent a photocopy of this do"&amp;"cument). He did not have the courage to remember. In addition, the mail is sent to Madame D. Stéphanie, my name is Madame D. Amandine (my husband called Stéphane I suppose that there was confusion) however I still sent many emails signed by my Last name a"&amp;"nd first name, once again, we see the seriousness and involvement of the company in its files ...
We pay every month for insurance has never had any payment concerns and at the first concern, unable to resolve it without claiming once again.
At the mome"&amp;"nt I am contacting my legal assistant and by next month we will have left Maif and do not want to hear about it. I am aware that losing 2 customers will not do them anything but know that I will not manage to make them bad ad!")</f>
        <v>Too bad we can't put 0 stars. I strongly advise against this insurer which has been unable to settle my dispute for more than two months.
In early April I am vandalized by my car by a recognized third party (complaint and company filing) for a simple broken window my car is taking to our usual garage by a tow truck, being Sunday it will first be cauting in a garage for At night, then take my garage the next day. We, already upset by the situation and not having a habit do not think of claiming the convenience store the towing sheet (the place where our car is lodged is not clear either the convenience store not telling us the same thing than SMS received by assistance). In short, a week later I finally recover my car (which was in perfect condition when the convenience store recovered it, but I see a big scratch with a hole in my bumper. My garage informs me that my vehicle has arrived With them like that, with the proof of the towing sheet the day she arrived at home showing a cross on the left back. I then contact the consumer service, which contacted me within 2 weeks and informs me while , no, the car did not arrive like this in the garage because the damage does not appear on the sheet. Indeed, it tells me that the cross is located between the headlights and not on the bumper on the left and that Legally the damage does not exist on paper. However, I am offered to declare the disaster without recognized third party and that I should pay the deductible. Out of the questions to pay for damage that I did not cause knowing that my car was in excellent condition when I entrusted it for the repair of e my window.
Later, I was again contacted by the same advice which awaited responses from the convenience store, which, obviously, denies having damaged my vehicle. I tell him that the quote of my bumper amounts to € 700 because it must be changed entirely and repaint it. The advisor tells me that it is not on the bumper, I answer him "Excuse me but the damage is of course the bumper I even sent you a quote!" (I understand that we are not machines, that he manages several files but the least of things before calling me will be releasing his file, especially since I sent many photos!). He tells me that he cannot always follow up on the fact that the damage is not reported, I answer him that I will not stop there I do not agree for me the damage is reported since 'There is a cross on the diagram located on the left back and that it is the only existing damage on my car. He tells me how to send me back photos from the back, I will see what I can do (we are on May 19). I therefore send a new email supporting photos explaining that, no, my car has no damage next to the left rear lighthouse but below the lighthouse on the bumper. Since then, radio silence, no more new, until today where I receive a letter in which he died exactly what he told me on the phone last month accompanied by the photocopy of the towing sheet given to My garage where we can see this famous cross (I had already sent a photocopy of this document). He did not have the courage to remember. In addition, the mail is sent to Madame D. Stéphanie, my name is Madame D. Amandine (my husband called Stéphane I suppose that there was confusion) however I still sent many emails signed by my Last name and first name, once again, we see the seriousness and involvement of the company in its files ...
We pay every month for insurance has never had any payment concerns and at the first concern, unable to resolve it without claiming once again.
At the moment I am contacting my legal assistant and by next month we will have left Maif and do not want to hear about it. I am aware that losing 2 customers will not do them anything but know that I will not manage to make them bad ad!</v>
      </c>
    </row>
    <row r="860" ht="15.75" customHeight="1">
      <c r="A860" s="3">
        <v>5.0</v>
      </c>
      <c r="B860" s="3" t="s">
        <v>2404</v>
      </c>
      <c r="C860" s="3" t="s">
        <v>2405</v>
      </c>
      <c r="D860" s="3" t="s">
        <v>20</v>
      </c>
      <c r="E860" s="3" t="s">
        <v>21</v>
      </c>
      <c r="F860" s="3" t="s">
        <v>15</v>
      </c>
      <c r="G860" s="3" t="s">
        <v>645</v>
      </c>
      <c r="H860" s="3" t="s">
        <v>23</v>
      </c>
      <c r="I860" s="3" t="str">
        <f>IFERROR(__xludf.DUMMYFUNCTION("GOOGLETRANSLATE(C860,""fr"",""en"")"),"A simple to use site, attractive prices, possibility of making an online quote and subscribing to the contract chosen in stride. Perfect thank you very much")</f>
        <v>A simple to use site, attractive prices, possibility of making an online quote and subscribing to the contract chosen in stride. Perfect thank you very much</v>
      </c>
    </row>
    <row r="861" ht="15.75" customHeight="1">
      <c r="A861" s="3">
        <v>2.0</v>
      </c>
      <c r="B861" s="3" t="s">
        <v>2406</v>
      </c>
      <c r="C861" s="3" t="s">
        <v>2407</v>
      </c>
      <c r="D861" s="3" t="s">
        <v>384</v>
      </c>
      <c r="E861" s="3" t="s">
        <v>21</v>
      </c>
      <c r="F861" s="3" t="s">
        <v>15</v>
      </c>
      <c r="G861" s="3" t="s">
        <v>1562</v>
      </c>
      <c r="H861" s="3" t="s">
        <v>534</v>
      </c>
      <c r="I861" s="3" t="str">
        <f>IFERROR(__xludf.DUMMYFUNCTION("GOOGLETRANSLATE(C861,""fr"",""en"")"),"15 days ago I subscribed this insurance. Three days I sent the documents. I paid three months in advance. For I do not know what reason I was sent at 9 p.m. an email explaining to me that my request had been refused, for no concrete reason and without exp"&amp;"lanation when I have a bonus of 0.90 and that I only had A non -responsible accident. Unable to contact anyone. We are balanced like an old tea towel. Very disappointed, especially since it was recommended to me. I just wanted to point out that this vehic"&amp;"le was a vehicle that I used to work and pay more to be insured with my employer for any accident and I was left for this for no reason and explanation before asking me for an employer certificate While it has nothing to do with it. No one called me.")</f>
        <v>15 days ago I subscribed this insurance. Three days I sent the documents. I paid three months in advance. For I do not know what reason I was sent at 9 p.m. an email explaining to me that my request had been refused, for no concrete reason and without explanation when I have a bonus of 0.90 and that I only had A non -responsible accident. Unable to contact anyone. We are balanced like an old tea towel. Very disappointed, especially since it was recommended to me. I just wanted to point out that this vehicle was a vehicle that I used to work and pay more to be insured with my employer for any accident and I was left for this for no reason and explanation before asking me for an employer certificate While it has nothing to do with it. No one called me.</v>
      </c>
    </row>
    <row r="862" ht="15.75" customHeight="1">
      <c r="A862" s="3">
        <v>3.0</v>
      </c>
      <c r="B862" s="3" t="s">
        <v>2408</v>
      </c>
      <c r="C862" s="3" t="s">
        <v>2409</v>
      </c>
      <c r="D862" s="3" t="s">
        <v>13</v>
      </c>
      <c r="E862" s="3" t="s">
        <v>14</v>
      </c>
      <c r="F862" s="3" t="s">
        <v>15</v>
      </c>
      <c r="G862" s="3" t="s">
        <v>1128</v>
      </c>
      <c r="H862" s="3" t="s">
        <v>23</v>
      </c>
      <c r="I862" s="3" t="str">
        <f>IFERROR(__xludf.DUMMYFUNCTION("GOOGLETRANSLATE(C862,""fr"",""en"")"),"I am satisfied with the service offered by the Olivier Insurance, and also the prices are reasonable for young drivers,
On the other hand I do not agree with the fact of communicating personal information, namely the CB number and the validity date is be"&amp;"tter to go through a secure link to pay the fees")</f>
        <v>I am satisfied with the service offered by the Olivier Insurance, and also the prices are reasonable for young drivers,
On the other hand I do not agree with the fact of communicating personal information, namely the CB number and the validity date is better to go through a secure link to pay the fees</v>
      </c>
    </row>
    <row r="863" ht="15.75" customHeight="1">
      <c r="A863" s="3">
        <v>5.0</v>
      </c>
      <c r="B863" s="3" t="s">
        <v>2410</v>
      </c>
      <c r="C863" s="3" t="s">
        <v>2411</v>
      </c>
      <c r="D863" s="3" t="s">
        <v>20</v>
      </c>
      <c r="E863" s="3" t="s">
        <v>21</v>
      </c>
      <c r="F863" s="3" t="s">
        <v>15</v>
      </c>
      <c r="G863" s="3" t="s">
        <v>391</v>
      </c>
      <c r="H863" s="3" t="s">
        <v>165</v>
      </c>
      <c r="I863" s="3" t="str">
        <f>IFERROR(__xludf.DUMMYFUNCTION("GOOGLETRANSLATE(C863,""fr"",""en"")"),"Very and very serious and very inexpensive so advised and very reactivitis thank you for the seriousness and the mobilization of their services very soon thank you")</f>
        <v>Very and very serious and very inexpensive so advised and very reactivitis thank you for the seriousness and the mobilization of their services very soon thank you</v>
      </c>
    </row>
    <row r="864" ht="15.75" customHeight="1">
      <c r="A864" s="3">
        <v>2.0</v>
      </c>
      <c r="B864" s="3" t="s">
        <v>2412</v>
      </c>
      <c r="C864" s="3" t="s">
        <v>2413</v>
      </c>
      <c r="D864" s="3" t="s">
        <v>476</v>
      </c>
      <c r="E864" s="3" t="s">
        <v>33</v>
      </c>
      <c r="F864" s="3" t="s">
        <v>15</v>
      </c>
      <c r="G864" s="3" t="s">
        <v>2414</v>
      </c>
      <c r="H864" s="3" t="s">
        <v>100</v>
      </c>
      <c r="I864" s="3" t="str">
        <f>IFERROR(__xludf.DUMMYFUNCTION("GOOGLETRANSLATE(C864,""fr"",""en"")"),"I just discovered last month an anomaly concerning my situation.
Crédit Mutuel recorded two home insurance subscriptions in September 2011 for the same risk place, a rental studio for rental.
I have not managed to obtain double one of the two contract"&amp;"s. With two different prices (approx. 10 € difference).
 One of the two contracts is not relevant, it does not have to be and duplicates unnecessarily. As a professional whose advice I am waiting for, the Bank-Assurance did not tell me about it. Second s"&amp;"urprise: their attitude now, not at all ""low profile"" or accommodating, on the contrary on the defensive!
Not liked at all ...
I asked to have the obligation to be kind enough to donate the sums deducted in double since 2011, the superfluous contrac"&amp;"t, in vain. I am chicane: it would eventually be possible since 2015 (the cheapest of the 2 while the most expensive is later), on the grounds that the 2 were used for water damage.
 I am told to make an email. Then I am retorted that the email is not si"&amp;"gned! Then I receive a refusal of termination (oops, mail to the header of my company and not myself manager: hey, they were not so procedural to collect a double premium for years).
In short: the cut is full.
")</f>
        <v>I just discovered last month an anomaly concerning my situation.
Crédit Mutuel recorded two home insurance subscriptions in September 2011 for the same risk place, a rental studio for rental.
I have not managed to obtain double one of the two contracts. With two different prices (approx. 10 € difference).
 One of the two contracts is not relevant, it does not have to be and duplicates unnecessarily. As a professional whose advice I am waiting for, the Bank-Assurance did not tell me about it. Second surprise: their attitude now, not at all "low profile" or accommodating, on the contrary on the defensive!
Not liked at all ...
I asked to have the obligation to be kind enough to donate the sums deducted in double since 2011, the superfluous contract, in vain. I am chicane: it would eventually be possible since 2015 (the cheapest of the 2 while the most expensive is later), on the grounds that the 2 were used for water damage.
 I am told to make an email. Then I am retorted that the email is not signed! Then I receive a refusal of termination (oops, mail to the header of my company and not myself manager: hey, they were not so procedural to collect a double premium for years).
In short: the cut is full.
</v>
      </c>
    </row>
    <row r="865" ht="15.75" customHeight="1">
      <c r="A865" s="3">
        <v>1.0</v>
      </c>
      <c r="B865" s="3" t="s">
        <v>2415</v>
      </c>
      <c r="C865" s="3" t="s">
        <v>2416</v>
      </c>
      <c r="D865" s="3" t="s">
        <v>89</v>
      </c>
      <c r="E865" s="3" t="s">
        <v>33</v>
      </c>
      <c r="F865" s="3" t="s">
        <v>15</v>
      </c>
      <c r="G865" s="3" t="s">
        <v>2417</v>
      </c>
      <c r="H865" s="3" t="s">
        <v>124</v>
      </c>
      <c r="I865" s="3" t="str">
        <f>IFERROR(__xludf.DUMMYFUNCTION("GOOGLETRANSLATE(C865,""fr"",""en"")"),"I had a problem of glass insert broken by a piece of wood. Response from the maif, dilapidated therefore no broken ice cream.
We pay and ultimately on page 31 of the contract, it appears that the inserts are not really guaranteed because we apply a obsol"&amp;"escence of 10% per year.
The contracts are well done but the insured has been paying for over 15 years and when we need them, no care. We are a little tired of paying for nothing.")</f>
        <v>I had a problem of glass insert broken by a piece of wood. Response from the maif, dilapidated therefore no broken ice cream.
We pay and ultimately on page 31 of the contract, it appears that the inserts are not really guaranteed because we apply a obsolescence of 10% per year.
The contracts are well done but the insured has been paying for over 15 years and when we need them, no care. We are a little tired of paying for nothing.</v>
      </c>
    </row>
    <row r="866" ht="15.75" customHeight="1">
      <c r="A866" s="3">
        <v>1.0</v>
      </c>
      <c r="B866" s="3" t="s">
        <v>2418</v>
      </c>
      <c r="C866" s="3" t="s">
        <v>2419</v>
      </c>
      <c r="D866" s="3" t="s">
        <v>704</v>
      </c>
      <c r="E866" s="3" t="s">
        <v>27</v>
      </c>
      <c r="F866" s="3" t="s">
        <v>15</v>
      </c>
      <c r="G866" s="3" t="s">
        <v>2420</v>
      </c>
      <c r="H866" s="3" t="s">
        <v>60</v>
      </c>
      <c r="I866" s="3" t="str">
        <f>IFERROR(__xludf.DUMMYFUNCTION("GOOGLETRANSLATE(C866,""fr"",""en"")"),"I have been a member for years being persuaded to deal
 A serious association
But to date I find that the GIE Afe is to be put in the same plan as
many companies
GIE AFER is dragging its feet to return savers to savers
contrary to their publicists
a"&amp;"s confirmed by many forums
I made a partial buyout request on February 04
2019 and to date the GIE afer has not been useful to answer me
 Despite a complaint to make through me who confirms me
 that AFER has received my request from more AFER knows ve"&amp;"ry well my email address
27 02 2019")</f>
        <v>I have been a member for years being persuaded to deal
 A serious association
But to date I find that the GIE Afe is to be put in the same plan as
many companies
GIE AFER is dragging its feet to return savers to savers
contrary to their publicists
as confirmed by many forums
I made a partial buyout request on February 04
2019 and to date the GIE afer has not been useful to answer me
 Despite a complaint to make through me who confirms me
 that AFER has received my request from more AFER knows very well my email address
27 02 2019</v>
      </c>
    </row>
    <row r="867" ht="15.75" customHeight="1">
      <c r="A867" s="3">
        <v>1.0</v>
      </c>
      <c r="B867" s="3" t="s">
        <v>2421</v>
      </c>
      <c r="C867" s="3" t="s">
        <v>2422</v>
      </c>
      <c r="D867" s="3" t="s">
        <v>42</v>
      </c>
      <c r="E867" s="3" t="s">
        <v>14</v>
      </c>
      <c r="F867" s="3" t="s">
        <v>15</v>
      </c>
      <c r="G867" s="3" t="s">
        <v>1413</v>
      </c>
      <c r="H867" s="3" t="s">
        <v>86</v>
      </c>
      <c r="I867" s="3" t="str">
        <f>IFERROR(__xludf.DUMMYFUNCTION("GOOGLETRANSLATE(C867,""fr"",""en"")"),"Hello .... After my 5 ieme of loyalty at all risk I leave direct insurance after a shock in the parking lot of my workplace by an unknown person.
By damaged shock and broken fire ... Three expertise, two months of waiting ...... Zero Refund.")</f>
        <v>Hello .... After my 5 ieme of loyalty at all risk I leave direct insurance after a shock in the parking lot of my workplace by an unknown person.
By damaged shock and broken fire ... Three expertise, two months of waiting ...... Zero Refund.</v>
      </c>
    </row>
    <row r="868" ht="15.75" customHeight="1">
      <c r="A868" s="3">
        <v>4.0</v>
      </c>
      <c r="B868" s="3" t="s">
        <v>2423</v>
      </c>
      <c r="C868" s="3" t="s">
        <v>2424</v>
      </c>
      <c r="D868" s="3" t="s">
        <v>13</v>
      </c>
      <c r="E868" s="3" t="s">
        <v>14</v>
      </c>
      <c r="F868" s="3" t="s">
        <v>15</v>
      </c>
      <c r="G868" s="3" t="s">
        <v>908</v>
      </c>
      <c r="H868" s="3" t="s">
        <v>75</v>
      </c>
      <c r="I868" s="3" t="str">
        <f>IFERROR(__xludf.DUMMYFUNCTION("GOOGLETRANSLATE(C868,""fr"",""en"")"),"I was entitled to a very good telephone reception The prices remain very affordable simplicity of computer tools available with advantage if several vehicles insured")</f>
        <v>I was entitled to a very good telephone reception The prices remain very affordable simplicity of computer tools available with advantage if several vehicles insured</v>
      </c>
    </row>
    <row r="869" ht="15.75" customHeight="1">
      <c r="A869" s="3">
        <v>2.0</v>
      </c>
      <c r="B869" s="3" t="s">
        <v>2425</v>
      </c>
      <c r="C869" s="3" t="s">
        <v>2426</v>
      </c>
      <c r="D869" s="3" t="s">
        <v>26</v>
      </c>
      <c r="E869" s="3" t="s">
        <v>194</v>
      </c>
      <c r="F869" s="3" t="s">
        <v>15</v>
      </c>
      <c r="G869" s="3" t="s">
        <v>2427</v>
      </c>
      <c r="H869" s="3" t="s">
        <v>71</v>
      </c>
      <c r="I869" s="3" t="str">
        <f>IFERROR(__xludf.DUMMYFUNCTION("GOOGLETRANSLATE(C869,""fr"",""en"")"),"On sick leave for serious reasons, I sent them the extension of my judgment on September 17, 2020, an expertise on their requests on October 232020, an email saying to me having received it on November 302020 telling me that I will have an answer within 1"&amp;"5 days (that is, according to my calculations half-December) from nothing, I have been walked from post to post, the wait lasts 10 or even 15 minutes, cost to the MN overpriced and we hang up without having anyone and no compensation paid for 3 months !! "&amp;"A Swisslife correspondent even told me that I had to put my legal assistance on it !!")</f>
        <v>On sick leave for serious reasons, I sent them the extension of my judgment on September 17, 2020, an expertise on their requests on October 232020, an email saying to me having received it on November 302020 telling me that I will have an answer within 15 days (that is, according to my calculations half-December) from nothing, I have been walked from post to post, the wait lasts 10 or even 15 minutes, cost to the MN overpriced and we hang up without having anyone and no compensation paid for 3 months !! A Swisslife correspondent even told me that I had to put my legal assistance on it !!</v>
      </c>
    </row>
    <row r="870" ht="15.75" customHeight="1">
      <c r="A870" s="3">
        <v>5.0</v>
      </c>
      <c r="B870" s="3" t="s">
        <v>2428</v>
      </c>
      <c r="C870" s="3" t="s">
        <v>2429</v>
      </c>
      <c r="D870" s="3" t="s">
        <v>42</v>
      </c>
      <c r="E870" s="3" t="s">
        <v>14</v>
      </c>
      <c r="F870" s="3" t="s">
        <v>15</v>
      </c>
      <c r="G870" s="3" t="s">
        <v>713</v>
      </c>
      <c r="H870" s="3" t="s">
        <v>115</v>
      </c>
      <c r="I870" s="3" t="str">
        <f>IFERROR(__xludf.DUMMYFUNCTION("GOOGLETRANSLATE(C870,""fr"",""en"")"),"Simple and effective, I am satisfied with the service and prices date of direct debit, I hope I have a problem in the event of a claim, the conditions suit me")</f>
        <v>Simple and effective, I am satisfied with the service and prices date of direct debit, I hope I have a problem in the event of a claim, the conditions suit me</v>
      </c>
    </row>
    <row r="871" ht="15.75" customHeight="1">
      <c r="A871" s="3">
        <v>4.0</v>
      </c>
      <c r="B871" s="3" t="s">
        <v>2430</v>
      </c>
      <c r="C871" s="3" t="s">
        <v>2431</v>
      </c>
      <c r="D871" s="3" t="s">
        <v>13</v>
      </c>
      <c r="E871" s="3" t="s">
        <v>14</v>
      </c>
      <c r="F871" s="3" t="s">
        <v>15</v>
      </c>
      <c r="G871" s="3" t="s">
        <v>1360</v>
      </c>
      <c r="H871" s="3" t="s">
        <v>23</v>
      </c>
      <c r="I871" s="3" t="str">
        <f>IFERROR(__xludf.DUMMYFUNCTION("GOOGLETRANSLATE(C871,""fr"",""en"")"),"Easy to subscribe via the Internet. Very well. I am now waiting to see the treatment in the event of a disaster which I hope will arrive as late as possible")</f>
        <v>Easy to subscribe via the Internet. Very well. I am now waiting to see the treatment in the event of a disaster which I hope will arrive as late as possible</v>
      </c>
    </row>
    <row r="872" ht="15.75" customHeight="1">
      <c r="A872" s="3">
        <v>5.0</v>
      </c>
      <c r="B872" s="3" t="s">
        <v>2432</v>
      </c>
      <c r="C872" s="3" t="s">
        <v>2433</v>
      </c>
      <c r="D872" s="3" t="s">
        <v>42</v>
      </c>
      <c r="E872" s="3" t="s">
        <v>14</v>
      </c>
      <c r="F872" s="3" t="s">
        <v>15</v>
      </c>
      <c r="G872" s="3" t="s">
        <v>1318</v>
      </c>
      <c r="H872" s="3" t="s">
        <v>115</v>
      </c>
      <c r="I872" s="3" t="str">
        <f>IFERROR(__xludf.DUMMYFUNCTION("GOOGLETRANSLATE(C872,""fr"",""en"")"),"Fast and efficient. Bon value for money, customer once you always come back with pleasure, keep changing anything. On the way for the future")</f>
        <v>Fast and efficient. Bon value for money, customer once you always come back with pleasure, keep changing anything. On the way for the future</v>
      </c>
    </row>
    <row r="873" ht="15.75" customHeight="1">
      <c r="A873" s="3">
        <v>2.0</v>
      </c>
      <c r="B873" s="3" t="s">
        <v>2434</v>
      </c>
      <c r="C873" s="3" t="s">
        <v>2435</v>
      </c>
      <c r="D873" s="3" t="s">
        <v>42</v>
      </c>
      <c r="E873" s="3" t="s">
        <v>14</v>
      </c>
      <c r="F873" s="3" t="s">
        <v>15</v>
      </c>
      <c r="G873" s="3" t="s">
        <v>1346</v>
      </c>
      <c r="H873" s="3" t="s">
        <v>253</v>
      </c>
      <c r="I873" s="3" t="str">
        <f>IFERROR(__xludf.DUMMYFUNCTION("GOOGLETRANSLATE(C873,""fr"",""en"")"),"Mobile application /Simple and practical website
Good customer service
Average price
Lack of commercial gestures
Not very interesting sponsorship bonus")</f>
        <v>Mobile application /Simple and practical website
Good customer service
Average price
Lack of commercial gestures
Not very interesting sponsorship bonus</v>
      </c>
    </row>
    <row r="874" ht="15.75" customHeight="1">
      <c r="A874" s="3">
        <v>1.0</v>
      </c>
      <c r="B874" s="3" t="s">
        <v>2436</v>
      </c>
      <c r="C874" s="3" t="s">
        <v>2437</v>
      </c>
      <c r="D874" s="3" t="s">
        <v>13</v>
      </c>
      <c r="E874" s="3" t="s">
        <v>14</v>
      </c>
      <c r="F874" s="3" t="s">
        <v>15</v>
      </c>
      <c r="G874" s="3" t="s">
        <v>2438</v>
      </c>
      <c r="H874" s="3" t="s">
        <v>236</v>
      </c>
      <c r="I874" s="3" t="str">
        <f>IFERROR(__xludf.DUMMYFUNCTION("GOOGLETRANSLATE(C874,""fr"",""en"")"),"If you want to pay dear for an absent service, subscribe to the olive tree. Unreachable during opening hours, dear and lots of flaws in the guarantees. In short, it is better not to have a glitch with them.")</f>
        <v>If you want to pay dear for an absent service, subscribe to the olive tree. Unreachable during opening hours, dear and lots of flaws in the guarantees. In short, it is better not to have a glitch with them.</v>
      </c>
    </row>
    <row r="875" ht="15.75" customHeight="1">
      <c r="A875" s="3">
        <v>4.0</v>
      </c>
      <c r="B875" s="3" t="s">
        <v>2439</v>
      </c>
      <c r="C875" s="3" t="s">
        <v>2440</v>
      </c>
      <c r="D875" s="3" t="s">
        <v>103</v>
      </c>
      <c r="E875" s="3" t="s">
        <v>98</v>
      </c>
      <c r="F875" s="3" t="s">
        <v>15</v>
      </c>
      <c r="G875" s="3" t="s">
        <v>2441</v>
      </c>
      <c r="H875" s="3" t="s">
        <v>429</v>
      </c>
      <c r="I875" s="3" t="str">
        <f>IFERROR(__xludf.DUMMYFUNCTION("GOOGLETRANSLATE(C875,""fr"",""en"")"),"Very good service, very responsive to the requests sent, the reimbursements are fast and we are notified of the payment notifications.
I recommend this mutual.")</f>
        <v>Very good service, very responsive to the requests sent, the reimbursements are fast and we are notified of the payment notifications.
I recommend this mutual.</v>
      </c>
    </row>
    <row r="876" ht="15.75" customHeight="1">
      <c r="A876" s="3">
        <v>2.0</v>
      </c>
      <c r="B876" s="3" t="s">
        <v>2442</v>
      </c>
      <c r="C876" s="3" t="s">
        <v>2443</v>
      </c>
      <c r="D876" s="3" t="s">
        <v>13</v>
      </c>
      <c r="E876" s="3" t="s">
        <v>14</v>
      </c>
      <c r="F876" s="3" t="s">
        <v>15</v>
      </c>
      <c r="G876" s="3" t="s">
        <v>633</v>
      </c>
      <c r="H876" s="3" t="s">
        <v>224</v>
      </c>
      <c r="I876" s="3" t="str">
        <f>IFERROR(__xludf.DUMMYFUNCTION("GOOGLETRANSLATE(C876,""fr"",""en"")"),"Insured for 2 years, no claim, no point withdrawal, no offense.
Apparently good driver!
I had the mistake of asking to ensure in addition to my vehicle a trailer of more than 750kg !!
I have the EB permit since 1992 !!!!!!
The simple fact of saying th"&amp;"at I had the idea of ​​towing I saw my insurance terminating in the 10 minutes on the pretext increase in risks !!!
I saw nothing coming !!")</f>
        <v>Insured for 2 years, no claim, no point withdrawal, no offense.
Apparently good driver!
I had the mistake of asking to ensure in addition to my vehicle a trailer of more than 750kg !!
I have the EB permit since 1992 !!!!!!
The simple fact of saying that I had the idea of ​​towing I saw my insurance terminating in the 10 minutes on the pretext increase in risks !!!
I saw nothing coming !!</v>
      </c>
    </row>
    <row r="877" ht="15.75" customHeight="1">
      <c r="A877" s="3">
        <v>2.0</v>
      </c>
      <c r="B877" s="3" t="s">
        <v>2444</v>
      </c>
      <c r="C877" s="3" t="s">
        <v>2445</v>
      </c>
      <c r="D877" s="3" t="s">
        <v>42</v>
      </c>
      <c r="E877" s="3" t="s">
        <v>14</v>
      </c>
      <c r="F877" s="3" t="s">
        <v>15</v>
      </c>
      <c r="G877" s="3" t="s">
        <v>2446</v>
      </c>
      <c r="H877" s="3" t="s">
        <v>184</v>
      </c>
      <c r="I877" s="3" t="str">
        <f>IFERROR(__xludf.DUMMYFUNCTION("GOOGLETRANSLATE(C877,""fr"",""en"")"),"Do not contact to modify your contract because I did it to tell them an error on their part it makes me an increase 22.95 €+2/3 €. After many calls they made -22.95 € remains € 2/3")</f>
        <v>Do not contact to modify your contract because I did it to tell them an error on their part it makes me an increase 22.95 €+2/3 €. After many calls they made -22.95 € remains € 2/3</v>
      </c>
    </row>
    <row r="878" ht="15.75" customHeight="1">
      <c r="A878" s="3">
        <v>5.0</v>
      </c>
      <c r="B878" s="3" t="s">
        <v>2447</v>
      </c>
      <c r="C878" s="3" t="s">
        <v>2448</v>
      </c>
      <c r="D878" s="3" t="s">
        <v>13</v>
      </c>
      <c r="E878" s="3" t="s">
        <v>14</v>
      </c>
      <c r="F878" s="3" t="s">
        <v>15</v>
      </c>
      <c r="G878" s="3" t="s">
        <v>2103</v>
      </c>
      <c r="H878" s="3" t="s">
        <v>165</v>
      </c>
      <c r="I878" s="3" t="str">
        <f>IFERROR(__xludf.DUMMYFUNCTION("GOOGLETRANSLATE(C878,""fr"",""en"")"),"Very satisfied very simple I really recommend this insurance the top telephone super nice and very fast to ensure a car thank you again")</f>
        <v>Very satisfied very simple I really recommend this insurance the top telephone super nice and very fast to ensure a car thank you again</v>
      </c>
    </row>
    <row r="879" ht="15.75" customHeight="1">
      <c r="A879" s="3">
        <v>5.0</v>
      </c>
      <c r="B879" s="3" t="s">
        <v>2449</v>
      </c>
      <c r="C879" s="3" t="s">
        <v>2450</v>
      </c>
      <c r="D879" s="3" t="s">
        <v>42</v>
      </c>
      <c r="E879" s="3" t="s">
        <v>14</v>
      </c>
      <c r="F879" s="3" t="s">
        <v>15</v>
      </c>
      <c r="G879" s="3" t="s">
        <v>747</v>
      </c>
      <c r="H879" s="3" t="s">
        <v>23</v>
      </c>
      <c r="I879" s="3" t="str">
        <f>IFERROR(__xludf.DUMMYFUNCTION("GOOGLETRANSLATE(C879,""fr"",""en"")"),"Hello
The prices offered are very affordable much more than most of the insurers on the market, the site is complete and very easy to use.
Without forgetting the large options that are offered.
Cordially")</f>
        <v>Hello
The prices offered are very affordable much more than most of the insurers on the market, the site is complete and very easy to use.
Without forgetting the large options that are offered.
Cordially</v>
      </c>
    </row>
    <row r="880" ht="15.75" customHeight="1">
      <c r="A880" s="3">
        <v>1.0</v>
      </c>
      <c r="B880" s="3" t="s">
        <v>2451</v>
      </c>
      <c r="C880" s="3" t="s">
        <v>2452</v>
      </c>
      <c r="D880" s="3" t="s">
        <v>81</v>
      </c>
      <c r="E880" s="3" t="s">
        <v>14</v>
      </c>
      <c r="F880" s="3" t="s">
        <v>15</v>
      </c>
      <c r="G880" s="3" t="s">
        <v>2453</v>
      </c>
      <c r="H880" s="3" t="s">
        <v>220</v>
      </c>
      <c r="I880" s="3" t="str">
        <f>IFERROR(__xludf.DUMMYFUNCTION("GOOGLETRANSLATE(C880,""fr"",""en"")"),"To avoid if you want your compensation following a flight!
Abusive clauses of another time so as not to pay you.
I really hope to save some future members from these troubles ...
For my part I go in procedure and I will communicate as much as possible "&amp;"in their disadvantages. Go to real GMF, Maif or even certain bank insurers.")</f>
        <v>To avoid if you want your compensation following a flight!
Abusive clauses of another time so as not to pay you.
I really hope to save some future members from these troubles ...
For my part I go in procedure and I will communicate as much as possible in their disadvantages. Go to real GMF, Maif or even certain bank insurers.</v>
      </c>
    </row>
    <row r="881" ht="15.75" customHeight="1">
      <c r="A881" s="3">
        <v>3.0</v>
      </c>
      <c r="B881" s="3" t="s">
        <v>2454</v>
      </c>
      <c r="C881" s="3" t="s">
        <v>2455</v>
      </c>
      <c r="D881" s="3" t="s">
        <v>246</v>
      </c>
      <c r="E881" s="3" t="s">
        <v>14</v>
      </c>
      <c r="F881" s="3" t="s">
        <v>15</v>
      </c>
      <c r="G881" s="3" t="s">
        <v>1048</v>
      </c>
      <c r="H881" s="3" t="s">
        <v>105</v>
      </c>
      <c r="I881" s="3" t="str">
        <f>IFERROR(__xludf.DUMMYFUNCTION("GOOGLETRANSLATE(C881,""fr"",""en"")"),"When you ask AXA why insurance has increased by 5% in an agency no one is able to find out
In addition AXA increases while other insurers drop the prices")</f>
        <v>When you ask AXA why insurance has increased by 5% in an agency no one is able to find out
In addition AXA increases while other insurers drop the prices</v>
      </c>
    </row>
    <row r="882" ht="15.75" customHeight="1">
      <c r="A882" s="3">
        <v>2.0</v>
      </c>
      <c r="B882" s="3" t="s">
        <v>2456</v>
      </c>
      <c r="C882" s="3" t="s">
        <v>2457</v>
      </c>
      <c r="D882" s="3" t="s">
        <v>26</v>
      </c>
      <c r="E882" s="3" t="s">
        <v>194</v>
      </c>
      <c r="F882" s="3" t="s">
        <v>15</v>
      </c>
      <c r="G882" s="3" t="s">
        <v>359</v>
      </c>
      <c r="H882" s="3" t="s">
        <v>360</v>
      </c>
      <c r="I882" s="3" t="str">
        <f>IFERROR(__xludf.DUMMYFUNCTION("GOOGLETRANSLATE(C882,""fr"",""en"")"),"As part of my CCN Provident managed by CERGAP and of which Swisslife is the insurer, I have been waiting for my supplementary disability for 10 months! The manager relaunch Swisslife every week and every 3 months Swisslife requests the update of the docum"&amp;"ents provided. The end of year celebrations will be sad with the deception of my husband, my disability and his little pension, my over -indebtedness file which is the consequence, .. in short thank you Swisslife and Merry Christmas.")</f>
        <v>As part of my CCN Provident managed by CERGAP and of which Swisslife is the insurer, I have been waiting for my supplementary disability for 10 months! The manager relaunch Swisslife every week and every 3 months Swisslife requests the update of the documents provided. The end of year celebrations will be sad with the deception of my husband, my disability and his little pension, my over -indebtedness file which is the consequence, .. in short thank you Swisslife and Merry Christmas.</v>
      </c>
    </row>
    <row r="883" ht="15.75" customHeight="1">
      <c r="A883" s="3">
        <v>2.0</v>
      </c>
      <c r="B883" s="3" t="s">
        <v>2458</v>
      </c>
      <c r="C883" s="3" t="s">
        <v>2459</v>
      </c>
      <c r="D883" s="3" t="s">
        <v>13</v>
      </c>
      <c r="E883" s="3" t="s">
        <v>14</v>
      </c>
      <c r="F883" s="3" t="s">
        <v>15</v>
      </c>
      <c r="G883" s="3" t="s">
        <v>2460</v>
      </c>
      <c r="H883" s="3" t="s">
        <v>253</v>
      </c>
      <c r="I883" s="3" t="str">
        <f>IFERROR(__xludf.DUMMYFUNCTION("GOOGLETRANSLATE(C883,""fr"",""en"")"),"I used a comparator and this insurance was the most competitive. So I subscribed.
Once the contract has been received for signature, I notice that it is written ""French driving license"" while my driving license is foreign. I contact customer service "&amp;"who tells me that there is no problem, that you just have to scratch the mention and write ""foreign permit"" instead and then sign the contract and send them back.
I do. In the process, the Olivier Insurance sends me an termination letter for false de"&amp;"claration!
Needless to say the galley to find another insurance when you have an information statement with written on it ""terminated by the insurer for false declaration"".
I contacted the Olivier Insurance several times if it is only to remove th"&amp;"is mention. They didn't want to hear anything.")</f>
        <v>I used a comparator and this insurance was the most competitive. So I subscribed.
Once the contract has been received for signature, I notice that it is written "French driving license" while my driving license is foreign. I contact customer service who tells me that there is no problem, that you just have to scratch the mention and write "foreign permit" instead and then sign the contract and send them back.
I do. In the process, the Olivier Insurance sends me an termination letter for false declaration!
Needless to say the galley to find another insurance when you have an information statement with written on it "terminated by the insurer for false declaration".
I contacted the Olivier Insurance several times if it is only to remove this mention. They didn't want to hear anything.</v>
      </c>
    </row>
    <row r="884" ht="15.75" customHeight="1">
      <c r="A884" s="3">
        <v>5.0</v>
      </c>
      <c r="B884" s="3" t="s">
        <v>2461</v>
      </c>
      <c r="C884" s="3" t="s">
        <v>2462</v>
      </c>
      <c r="D884" s="3" t="s">
        <v>13</v>
      </c>
      <c r="E884" s="3" t="s">
        <v>14</v>
      </c>
      <c r="F884" s="3" t="s">
        <v>15</v>
      </c>
      <c r="G884" s="3" t="s">
        <v>921</v>
      </c>
      <c r="H884" s="3" t="s">
        <v>165</v>
      </c>
      <c r="I884" s="3" t="str">
        <f>IFERROR(__xludf.DUMMYFUNCTION("GOOGLETRANSLATE(C884,""fr"",""en"")"),"I am satisfied with the service and the price offer very satisfied staff contact by very pleasant phone thank you for your service.")</f>
        <v>I am satisfied with the service and the price offer very satisfied staff contact by very pleasant phone thank you for your service.</v>
      </c>
    </row>
    <row r="885" ht="15.75" customHeight="1">
      <c r="A885" s="3">
        <v>1.0</v>
      </c>
      <c r="B885" s="3" t="s">
        <v>2463</v>
      </c>
      <c r="C885" s="3" t="s">
        <v>2464</v>
      </c>
      <c r="D885" s="3" t="s">
        <v>175</v>
      </c>
      <c r="E885" s="3" t="s">
        <v>98</v>
      </c>
      <c r="F885" s="3" t="s">
        <v>15</v>
      </c>
      <c r="G885" s="3" t="s">
        <v>2465</v>
      </c>
      <c r="H885" s="3" t="s">
        <v>169</v>
      </c>
      <c r="I885" s="3" t="str">
        <f>IFERROR(__xludf.DUMMYFUNCTION("GOOGLETRANSLATE(C885,""fr"",""en"")"),"I sent a refund request for glasses with prescription more invoice by mail.
They replied to me to send the prescription and the invoice. What is stupid, the request for reimbursement necessarily included one of the 2, I returned the 2, I am asked to send"&amp;" now the proof of reimbursement of social security, that they have, because with Amélie they receive everything.
They do everything not to reimburse, I had problems with the assurance of a credit, they are the cheapest but no guarantee, and incredible ba"&amp;"d faith to never repay, I strongly advise against.")</f>
        <v>I sent a refund request for glasses with prescription more invoice by mail.
They replied to me to send the prescription and the invoice. What is stupid, the request for reimbursement necessarily included one of the 2, I returned the 2, I am asked to send now the proof of reimbursement of social security, that they have, because with Amélie they receive everything.
They do everything not to reimburse, I had problems with the assurance of a credit, they are the cheapest but no guarantee, and incredible bad faith to never repay, I strongly advise against.</v>
      </c>
    </row>
    <row r="886" ht="15.75" customHeight="1">
      <c r="A886" s="3">
        <v>3.0</v>
      </c>
      <c r="B886" s="3" t="s">
        <v>2466</v>
      </c>
      <c r="C886" s="3" t="s">
        <v>2467</v>
      </c>
      <c r="D886" s="3" t="s">
        <v>81</v>
      </c>
      <c r="E886" s="3" t="s">
        <v>14</v>
      </c>
      <c r="F886" s="3" t="s">
        <v>15</v>
      </c>
      <c r="G886" s="3" t="s">
        <v>2468</v>
      </c>
      <c r="H886" s="3" t="s">
        <v>360</v>
      </c>
      <c r="I886" s="3" t="str">
        <f>IFERROR(__xludf.DUMMYFUNCTION("GOOGLETRANSLATE(C886,""fr"",""en"")"),"I had a non -responsible accident on November 3. An expert estimated the price of my car to a derisory amount despite all the maintenance invoices provided. More than a month has passed and I have no news from the Macif despite emails and letters and my v"&amp;"ehicle is abandoned in a garage. I plan to terminate all my contracts once the problem is settled.")</f>
        <v>I had a non -responsible accident on November 3. An expert estimated the price of my car to a derisory amount despite all the maintenance invoices provided. More than a month has passed and I have no news from the Macif despite emails and letters and my vehicle is abandoned in a garage. I plan to terminate all my contracts once the problem is settled.</v>
      </c>
    </row>
    <row r="887" ht="15.75" customHeight="1">
      <c r="A887" s="3">
        <v>5.0</v>
      </c>
      <c r="B887" s="3" t="s">
        <v>2469</v>
      </c>
      <c r="C887" s="3" t="s">
        <v>2470</v>
      </c>
      <c r="D887" s="3" t="s">
        <v>42</v>
      </c>
      <c r="E887" s="3" t="s">
        <v>14</v>
      </c>
      <c r="F887" s="3" t="s">
        <v>15</v>
      </c>
      <c r="G887" s="3" t="s">
        <v>730</v>
      </c>
      <c r="H887" s="3" t="s">
        <v>86</v>
      </c>
      <c r="I887" s="3" t="str">
        <f>IFERROR(__xludf.DUMMYFUNCTION("GOOGLETRANSLATE(C887,""fr"",""en"")"),"I am very satisfied with prices and service, payment facilities. Telephone reception when I had to call on insurance. I do not intend to leave.")</f>
        <v>I am very satisfied with prices and service, payment facilities. Telephone reception when I had to call on insurance. I do not intend to leave.</v>
      </c>
    </row>
    <row r="888" ht="15.75" customHeight="1">
      <c r="A888" s="3">
        <v>2.0</v>
      </c>
      <c r="B888" s="3" t="s">
        <v>2471</v>
      </c>
      <c r="C888" s="3" t="s">
        <v>2472</v>
      </c>
      <c r="D888" s="3" t="s">
        <v>78</v>
      </c>
      <c r="E888" s="3" t="s">
        <v>14</v>
      </c>
      <c r="F888" s="3" t="s">
        <v>15</v>
      </c>
      <c r="G888" s="3" t="s">
        <v>2473</v>
      </c>
      <c r="H888" s="3" t="s">
        <v>105</v>
      </c>
      <c r="I888" s="3" t="str">
        <f>IFERROR(__xludf.DUMMYFUNCTION("GOOGLETRANSLATE(C888,""fr"",""en"")"),"Compensation expected for 3 1/2 months since the flight of my car. No answer, no interlocutor. I rent a car at my expense while I pay the monthly payments of the one that I was stolen")</f>
        <v>Compensation expected for 3 1/2 months since the flight of my car. No answer, no interlocutor. I rent a car at my expense while I pay the monthly payments of the one that I was stolen</v>
      </c>
    </row>
    <row r="889" ht="15.75" customHeight="1">
      <c r="A889" s="3">
        <v>2.0</v>
      </c>
      <c r="B889" s="3" t="s">
        <v>2474</v>
      </c>
      <c r="C889" s="3" t="s">
        <v>2475</v>
      </c>
      <c r="D889" s="3" t="s">
        <v>42</v>
      </c>
      <c r="E889" s="3" t="s">
        <v>14</v>
      </c>
      <c r="F889" s="3" t="s">
        <v>15</v>
      </c>
      <c r="G889" s="3" t="s">
        <v>513</v>
      </c>
      <c r="H889" s="3" t="s">
        <v>86</v>
      </c>
      <c r="I889" s="3" t="str">
        <f>IFERROR(__xludf.DUMMYFUNCTION("GOOGLETRANSLATE(C889,""fr"",""en"")"),"This insurance is good when it happens to you. The day you have a disaster expect weeks before everyone agrees between insurance and partner garage and the expert who will charge you even when you have 0 responsibility. A shame. I always wonder why we pay"&amp;" acro legally")</f>
        <v>This insurance is good when it happens to you. The day you have a disaster expect weeks before everyone agrees between insurance and partner garage and the expert who will charge you even when you have 0 responsibility. A shame. I always wonder why we pay acro legally</v>
      </c>
    </row>
    <row r="890" ht="15.75" customHeight="1">
      <c r="A890" s="3">
        <v>4.0</v>
      </c>
      <c r="B890" s="3" t="s">
        <v>2476</v>
      </c>
      <c r="C890" s="3" t="s">
        <v>2477</v>
      </c>
      <c r="D890" s="3" t="s">
        <v>47</v>
      </c>
      <c r="E890" s="3" t="s">
        <v>14</v>
      </c>
      <c r="F890" s="3" t="s">
        <v>15</v>
      </c>
      <c r="G890" s="3" t="s">
        <v>2478</v>
      </c>
      <c r="H890" s="3" t="s">
        <v>341</v>
      </c>
      <c r="I890" s="3" t="str">
        <f>IFERROR(__xludf.DUMMYFUNCTION("GOOGLETRANSLATE(C890,""fr"",""en"")"),"I am in all full risk. For my part, 2 requests (not responsible) and a lot of responsiveness. My broken down car and 12 days of loan from a car. I'm satisfied.")</f>
        <v>I am in all full risk. For my part, 2 requests (not responsible) and a lot of responsiveness. My broken down car and 12 days of loan from a car. I'm satisfied.</v>
      </c>
    </row>
    <row r="891" ht="15.75" customHeight="1">
      <c r="A891" s="3">
        <v>3.0</v>
      </c>
      <c r="B891" s="3" t="s">
        <v>2479</v>
      </c>
      <c r="C891" s="3" t="s">
        <v>2480</v>
      </c>
      <c r="D891" s="3" t="s">
        <v>13</v>
      </c>
      <c r="E891" s="3" t="s">
        <v>14</v>
      </c>
      <c r="F891" s="3" t="s">
        <v>15</v>
      </c>
      <c r="G891" s="3" t="s">
        <v>1862</v>
      </c>
      <c r="H891" s="3" t="s">
        <v>44</v>
      </c>
      <c r="I891" s="3" t="str">
        <f>IFERROR(__xludf.DUMMYFUNCTION("GOOGLETRANSLATE(C891,""fr"",""en"")"),"You made a mistake on the secondary and main driver that we had stipulated. Regarding ""satisfaction"", it is impossible to answer you, we have just signed the contract.
Finally, being ""forced"" to give our opinion is grotesque. But all this is not impo"&amp;"rtant ...")</f>
        <v>You made a mistake on the secondary and main driver that we had stipulated. Regarding "satisfaction", it is impossible to answer you, we have just signed the contract.
Finally, being "forced" to give our opinion is grotesque. But all this is not important ...</v>
      </c>
    </row>
    <row r="892" ht="15.75" customHeight="1">
      <c r="A892" s="3">
        <v>4.0</v>
      </c>
      <c r="B892" s="3" t="s">
        <v>2481</v>
      </c>
      <c r="C892" s="3" t="s">
        <v>2482</v>
      </c>
      <c r="D892" s="3" t="s">
        <v>13</v>
      </c>
      <c r="E892" s="3" t="s">
        <v>14</v>
      </c>
      <c r="F892" s="3" t="s">
        <v>15</v>
      </c>
      <c r="G892" s="3" t="s">
        <v>2483</v>
      </c>
      <c r="H892" s="3" t="s">
        <v>17</v>
      </c>
      <c r="I892" s="3" t="str">
        <f>IFERROR(__xludf.DUMMYFUNCTION("GOOGLETRANSLATE(C892,""fr"",""en"")"),"I would have liked to be able to assert my 7 years of insurance without claim even if it was over 3 years ago. In times that run, it seems to me inappropriate to penalize (abolition of any bonus) people who decide not to have a car for a period when publi"&amp;"c transport is enough.")</f>
        <v>I would have liked to be able to assert my 7 years of insurance without claim even if it was over 3 years ago. In times that run, it seems to me inappropriate to penalize (abolition of any bonus) people who decide not to have a car for a period when public transport is enough.</v>
      </c>
    </row>
    <row r="893" ht="15.75" customHeight="1">
      <c r="A893" s="3">
        <v>4.0</v>
      </c>
      <c r="B893" s="3" t="s">
        <v>2484</v>
      </c>
      <c r="C893" s="3" t="s">
        <v>2485</v>
      </c>
      <c r="D893" s="3" t="s">
        <v>42</v>
      </c>
      <c r="E893" s="3" t="s">
        <v>14</v>
      </c>
      <c r="F893" s="3" t="s">
        <v>15</v>
      </c>
      <c r="G893" s="3" t="s">
        <v>17</v>
      </c>
      <c r="H893" s="3" t="s">
        <v>17</v>
      </c>
      <c r="I893" s="3" t="str">
        <f>IFERROR(__xludf.DUMMYFUNCTION("GOOGLETRANSLATE(C893,""fr"",""en"")"),"Satisfied with the price of my insurance, inexpensive, very competitive, MA, first car insurance and not at all disappointed with the ergonomics of the site. thank you")</f>
        <v>Satisfied with the price of my insurance, inexpensive, very competitive, MA, first car insurance and not at all disappointed with the ergonomics of the site. thank you</v>
      </c>
    </row>
    <row r="894" ht="15.75" customHeight="1">
      <c r="A894" s="3">
        <v>5.0</v>
      </c>
      <c r="B894" s="3" t="s">
        <v>2486</v>
      </c>
      <c r="C894" s="3" t="s">
        <v>2487</v>
      </c>
      <c r="D894" s="3" t="s">
        <v>42</v>
      </c>
      <c r="E894" s="3" t="s">
        <v>14</v>
      </c>
      <c r="F894" s="3" t="s">
        <v>15</v>
      </c>
      <c r="G894" s="3" t="s">
        <v>1588</v>
      </c>
      <c r="H894" s="3" t="s">
        <v>39</v>
      </c>
      <c r="I894" s="3" t="str">
        <f>IFERROR(__xludf.DUMMYFUNCTION("GOOGLETRANSLATE(C894,""fr"",""en"")"),"Nothing to say, perfect insurance and very practical website, I recommend everyone, you are the best. Thank you for everything. It is superb. Truly!")</f>
        <v>Nothing to say, perfect insurance and very practical website, I recommend everyone, you are the best. Thank you for everything. It is superb. Truly!</v>
      </c>
    </row>
    <row r="895" ht="15.75" customHeight="1">
      <c r="A895" s="3">
        <v>1.0</v>
      </c>
      <c r="B895" s="3" t="s">
        <v>2488</v>
      </c>
      <c r="C895" s="3" t="s">
        <v>2489</v>
      </c>
      <c r="D895" s="3" t="s">
        <v>1207</v>
      </c>
      <c r="E895" s="3" t="s">
        <v>194</v>
      </c>
      <c r="F895" s="3" t="s">
        <v>15</v>
      </c>
      <c r="G895" s="3" t="s">
        <v>2490</v>
      </c>
      <c r="H895" s="3" t="s">
        <v>105</v>
      </c>
      <c r="I895" s="3" t="str">
        <f>IFERROR(__xludf.DUMMYFUNCTION("GOOGLETRANSLATE(C895,""fr"",""en"")")," always awaiting additional compensation. When we try to have a certificate, it is marked that the allowances were paid to your employer, because being on a mission and when I ask the employer, they too are pending.
You find it normal to force people to "&amp;"contribute insurance that once on sick leave, are forced to run behind to recover what comes up.
My note will not exceed 0. If I had the choice, I was never going to take your insurance.
We should consult them and find common ground in order to be worth"&amp;" our rights and have a personal choice on the mutual and insurance.")</f>
        <v> always awaiting additional compensation. When we try to have a certificate, it is marked that the allowances were paid to your employer, because being on a mission and when I ask the employer, they too are pending.
You find it normal to force people to contribute insurance that once on sick leave, are forced to run behind to recover what comes up.
My note will not exceed 0. If I had the choice, I was never going to take your insurance.
We should consult them and find common ground in order to be worth our rights and have a personal choice on the mutual and insurance.</v>
      </c>
    </row>
    <row r="896" ht="15.75" customHeight="1">
      <c r="A896" s="3">
        <v>2.0</v>
      </c>
      <c r="B896" s="3" t="s">
        <v>2491</v>
      </c>
      <c r="C896" s="3" t="s">
        <v>2492</v>
      </c>
      <c r="D896" s="3" t="s">
        <v>42</v>
      </c>
      <c r="E896" s="3" t="s">
        <v>14</v>
      </c>
      <c r="F896" s="3" t="s">
        <v>15</v>
      </c>
      <c r="G896" s="3" t="s">
        <v>2493</v>
      </c>
      <c r="H896" s="3" t="s">
        <v>478</v>
      </c>
      <c r="I896" s="3" t="str">
        <f>IFERROR(__xludf.DUMMYFUNCTION("GOOGLETRANSLATE(C896,""fr"",""en"")"),"After a fire on my first vehicle the fire is propagating by radiation on my second vehicle park right in front. The second vehicle had only the rear in melted plastic + the outlet. After expertise it is proven that My vehicle was well ensured against the "&amp;"fire but not the fact that it was vandalism ^^ Vandalism is not taken into account by direct insurance made well attention in your contract ^^ net profit in view of the age of my vehicle and cost of repairs they simply bought the vehicle 250 euros ^^ from"&amp;" the flight ^^")</f>
        <v>After a fire on my first vehicle the fire is propagating by radiation on my second vehicle park right in front. The second vehicle had only the rear in melted plastic + the outlet. After expertise it is proven that My vehicle was well ensured against the fire but not the fact that it was vandalism ^^ Vandalism is not taken into account by direct insurance made well attention in your contract ^^ net profit in view of the age of my vehicle and cost of repairs they simply bought the vehicle 250 euros ^^ from the flight ^^</v>
      </c>
    </row>
    <row r="897" ht="15.75" customHeight="1">
      <c r="A897" s="3">
        <v>1.0</v>
      </c>
      <c r="B897" s="3" t="s">
        <v>2494</v>
      </c>
      <c r="C897" s="3" t="s">
        <v>2495</v>
      </c>
      <c r="D897" s="3" t="s">
        <v>97</v>
      </c>
      <c r="E897" s="3" t="s">
        <v>98</v>
      </c>
      <c r="F897" s="3" t="s">
        <v>15</v>
      </c>
      <c r="G897" s="3" t="s">
        <v>2496</v>
      </c>
      <c r="H897" s="3" t="s">
        <v>563</v>
      </c>
      <c r="I897" s="3" t="str">
        <f>IFERROR(__xludf.DUMMYFUNCTION("GOOGLETRANSLATE(C897,""fr"",""en"")"),"Very aggressive and illegal commercial policy: subscription to 19.90 euros per month without our agreement. The hierarchy must be called to confirm the cancellation.")</f>
        <v>Very aggressive and illegal commercial policy: subscription to 19.90 euros per month without our agreement. The hierarchy must be called to confirm the cancellation.</v>
      </c>
    </row>
    <row r="898" ht="15.75" customHeight="1">
      <c r="A898" s="3">
        <v>1.0</v>
      </c>
      <c r="B898" s="3" t="s">
        <v>2497</v>
      </c>
      <c r="C898" s="3" t="s">
        <v>2498</v>
      </c>
      <c r="D898" s="3" t="s">
        <v>42</v>
      </c>
      <c r="E898" s="3" t="s">
        <v>14</v>
      </c>
      <c r="F898" s="3" t="s">
        <v>15</v>
      </c>
      <c r="G898" s="3" t="s">
        <v>2499</v>
      </c>
      <c r="H898" s="3" t="s">
        <v>91</v>
      </c>
      <c r="I898" s="3" t="str">
        <f>IFERROR(__xludf.DUMMYFUNCTION("GOOGLETRANSLATE(C898,""fr"",""en"")"),"Not very expensive the first year but after it increases even if you have not had a responsible accident, false advertising. 1st year inexpensive and after they light up and no commercial gesture if you find it cheaper you will see elsewhere if you want, "&amp;"keeping the customer is not their priority. To flee")</f>
        <v>Not very expensive the first year but after it increases even if you have not had a responsible accident, false advertising. 1st year inexpensive and after they light up and no commercial gesture if you find it cheaper you will see elsewhere if you want, keeping the customer is not their priority. To flee</v>
      </c>
    </row>
    <row r="899" ht="15.75" customHeight="1">
      <c r="A899" s="3">
        <v>1.0</v>
      </c>
      <c r="B899" s="3" t="s">
        <v>2500</v>
      </c>
      <c r="C899" s="3" t="s">
        <v>2501</v>
      </c>
      <c r="D899" s="3" t="s">
        <v>97</v>
      </c>
      <c r="E899" s="3" t="s">
        <v>98</v>
      </c>
      <c r="F899" s="3" t="s">
        <v>15</v>
      </c>
      <c r="G899" s="3" t="s">
        <v>2502</v>
      </c>
      <c r="H899" s="3" t="s">
        <v>131</v>
      </c>
      <c r="I899" s="3" t="str">
        <f>IFERROR(__xludf.DUMMYFUNCTION("GOOGLETRANSLATE(C899,""fr"",""en"")"),"Do not subscribe to this complementary health! A shame ! Scandalous. Not to mention the quality of exchange, much more than mediocre. Above all, do not subscribe to this mutual. Incompetent service.")</f>
        <v>Do not subscribe to this complementary health! A shame ! Scandalous. Not to mention the quality of exchange, much more than mediocre. Above all, do not subscribe to this mutual. Incompetent service.</v>
      </c>
    </row>
    <row r="900" ht="15.75" customHeight="1">
      <c r="A900" s="3">
        <v>1.0</v>
      </c>
      <c r="B900" s="3" t="s">
        <v>2503</v>
      </c>
      <c r="C900" s="3" t="s">
        <v>2504</v>
      </c>
      <c r="D900" s="3" t="s">
        <v>78</v>
      </c>
      <c r="E900" s="3" t="s">
        <v>14</v>
      </c>
      <c r="F900" s="3" t="s">
        <v>15</v>
      </c>
      <c r="G900" s="3" t="s">
        <v>2505</v>
      </c>
      <c r="H900" s="3" t="s">
        <v>35</v>
      </c>
      <c r="I900" s="3" t="str">
        <f>IFERROR(__xludf.DUMMYFUNCTION("GOOGLETRANSLATE(C900,""fr"",""en"")"),"Client for over 20 years at Allianz, currently 2 in progress with legal protection. The 1st which dates from August 2019 due to the assembly of bad tires on my vehicle. Despite expert report in my favor, this dispute is still not settled! The 2nd, a hen n"&amp;"est in December 2019 due to the poor maintenance of the road. Result: exploded tire. Supporting photo, attestation..Fref .... a letter was sent by the PJ to city insurance and which unanswered and in the health crisis decides to close the file. The Allian"&amp;"z legal protection service has only the name! That's all !!! The remarks of customers are not taken into account, the lawyers are sometimes arrogant, the files poorly treated, do not respond to the emails that are addressed to them, slowness of the treatm"&amp;"ent of disputes, lack of transparency on the veracity of their approaches. .The list is long. These people take customers for morons, stupids, fools (and I remain polite) !!! I will enter the mediator but above all change insurance! No need to be contacte"&amp;"d for a processing of these files .... there are only words that are never followed by acts.")</f>
        <v>Client for over 20 years at Allianz, currently 2 in progress with legal protection. The 1st which dates from August 2019 due to the assembly of bad tires on my vehicle. Despite expert report in my favor, this dispute is still not settled! The 2nd, a hen nest in December 2019 due to the poor maintenance of the road. Result: exploded tire. Supporting photo, attestation..Fref .... a letter was sent by the PJ to city insurance and which unanswered and in the health crisis decides to close the file. The Allianz legal protection service has only the name! That's all !!! The remarks of customers are not taken into account, the lawyers are sometimes arrogant, the files poorly treated, do not respond to the emails that are addressed to them, slowness of the treatment of disputes, lack of transparency on the veracity of their approaches. .The list is long. These people take customers for morons, stupids, fools (and I remain polite) !!! I will enter the mediator but above all change insurance! No need to be contacted for a processing of these files .... there are only words that are never followed by acts.</v>
      </c>
    </row>
    <row r="901" ht="15.75" customHeight="1">
      <c r="A901" s="3">
        <v>5.0</v>
      </c>
      <c r="B901" s="3" t="s">
        <v>2506</v>
      </c>
      <c r="C901" s="3" t="s">
        <v>2507</v>
      </c>
      <c r="D901" s="3" t="s">
        <v>42</v>
      </c>
      <c r="E901" s="3" t="s">
        <v>14</v>
      </c>
      <c r="F901" s="3" t="s">
        <v>15</v>
      </c>
      <c r="G901" s="3" t="s">
        <v>2508</v>
      </c>
      <c r="H901" s="3" t="s">
        <v>39</v>
      </c>
      <c r="I901" s="3" t="str">
        <f>IFERROR(__xludf.DUMMYFUNCTION("GOOGLETRANSLATE(C901,""fr"",""en"")"),"I am satisfied with the Direct Insurance Service by Internet, to have during a possible claim.
The price seems honest and make me want to change my insurance")</f>
        <v>I am satisfied with the Direct Insurance Service by Internet, to have during a possible claim.
The price seems honest and make me want to change my insurance</v>
      </c>
    </row>
    <row r="902" ht="15.75" customHeight="1">
      <c r="A902" s="3">
        <v>3.0</v>
      </c>
      <c r="B902" s="3" t="s">
        <v>2509</v>
      </c>
      <c r="C902" s="3" t="s">
        <v>2510</v>
      </c>
      <c r="D902" s="3" t="s">
        <v>20</v>
      </c>
      <c r="E902" s="3" t="s">
        <v>21</v>
      </c>
      <c r="F902" s="3" t="s">
        <v>15</v>
      </c>
      <c r="G902" s="3" t="s">
        <v>2511</v>
      </c>
      <c r="H902" s="3" t="s">
        <v>17</v>
      </c>
      <c r="I902" s="3" t="str">
        <f>IFERROR(__xludf.DUMMYFUNCTION("GOOGLETRANSLATE(C902,""fr"",""en"")"),"I appreciated the fast online subscription, 100 % digital, just as I liked responsiveness and detail. I will be more satisfied with a lower price, even if it is one of the most interesting")</f>
        <v>I appreciated the fast online subscription, 100 % digital, just as I liked responsiveness and detail. I will be more satisfied with a lower price, even if it is one of the most interesting</v>
      </c>
    </row>
    <row r="903" ht="15.75" customHeight="1">
      <c r="A903" s="3">
        <v>1.0</v>
      </c>
      <c r="B903" s="3" t="s">
        <v>2512</v>
      </c>
      <c r="C903" s="3" t="s">
        <v>2513</v>
      </c>
      <c r="D903" s="3" t="s">
        <v>716</v>
      </c>
      <c r="E903" s="3" t="s">
        <v>98</v>
      </c>
      <c r="F903" s="3" t="s">
        <v>15</v>
      </c>
      <c r="G903" s="3" t="s">
        <v>774</v>
      </c>
      <c r="H903" s="3" t="s">
        <v>75</v>
      </c>
      <c r="I903" s="3" t="str">
        <f>IFERROR(__xludf.DUMMYFUNCTION("GOOGLETRANSLATE(C903,""fr"",""en"")"),"Incompetent interlocutors who transmit your request by saying we remind you in 2 to 3 days, it's been 2 months, he had to lose his phone ....
Request for reimbursement of a direct debit which should not have been, I am answered in progress, after email s"&amp;"ent by my employer.
Unfortunately mutual imposed by the employer.
Do not subscribe to this mutual insurance company, a multitude of people unable to answer you on their platform, you have the impression of being on a telephone platform, enough to write "&amp;"a sketch ....")</f>
        <v>Incompetent interlocutors who transmit your request by saying we remind you in 2 to 3 days, it's been 2 months, he had to lose his phone ....
Request for reimbursement of a direct debit which should not have been, I am answered in progress, after email sent by my employer.
Unfortunately mutual imposed by the employer.
Do not subscribe to this mutual insurance company, a multitude of people unable to answer you on their platform, you have the impression of being on a telephone platform, enough to write a sketch ....</v>
      </c>
    </row>
    <row r="904" ht="15.75" customHeight="1">
      <c r="A904" s="3">
        <v>1.0</v>
      </c>
      <c r="B904" s="3" t="s">
        <v>2514</v>
      </c>
      <c r="C904" s="3" t="s">
        <v>2515</v>
      </c>
      <c r="D904" s="3" t="s">
        <v>81</v>
      </c>
      <c r="E904" s="3" t="s">
        <v>33</v>
      </c>
      <c r="F904" s="3" t="s">
        <v>15</v>
      </c>
      <c r="G904" s="3" t="s">
        <v>2516</v>
      </c>
      <c r="H904" s="3" t="s">
        <v>563</v>
      </c>
      <c r="I904" s="3" t="str">
        <f>IFERROR(__xludf.DUMMYFUNCTION("GOOGLETRANSLATE(C904,""fr"",""en"")"),"I have been assured at the Macif for 40 years, and I had never been robbed, unfortunately it has just happened with the suites that a burglary leads, how to say, a kind of violation of the intimate where you share without discussing What you have more bea"&amp;"utiful with unknown people ... But that is not the worst, the most cruel event is when your insurer assures (free for once!) That you have not closed Your shutters and that you are not insured because you have been robbed, he will say by complacency. ..u "&amp;"do not know how he does to be certain (it is not he who committed the flight, otherwise he would know that the shutters were closed), you send testimonies which prove that your shutters were well closed, but he The insurer, suspicious no longer dialogue a"&amp;"nd prefers to take refuge behind his presumption of guilt!
At the same time, if his ethics is doubtful, he is right: if I say nothing, the case is closed and our insurer misses his contractual obligations and I continue to pay 41.42.43 years more
So go "&amp;"your way, even if the prices are more interesting (for 40 years, not compared, but maybe?) And above all do not do like me, do not take all your insurance in the same insurer
And if you believe that it is a fake, I would give you avenues to establish a c"&amp;"onnection, or a group action!")</f>
        <v>I have been assured at the Macif for 40 years, and I had never been robbed, unfortunately it has just happened with the suites that a burglary leads, how to say, a kind of violation of the intimate where you share without discussing What you have more beautiful with unknown people ... But that is not the worst, the most cruel event is when your insurer assures (free for once!) That you have not closed Your shutters and that you are not insured because you have been robbed, he will say by complacency. ..u do not know how he does to be certain (it is not he who committed the flight, otherwise he would know that the shutters were closed), you send testimonies which prove that your shutters were well closed, but he The insurer, suspicious no longer dialogue and prefers to take refuge behind his presumption of guilt!
At the same time, if his ethics is doubtful, he is right: if I say nothing, the case is closed and our insurer misses his contractual obligations and I continue to pay 41.42.43 years more
So go your way, even if the prices are more interesting (for 40 years, not compared, but maybe?) And above all do not do like me, do not take all your insurance in the same insurer
And if you believe that it is a fake, I would give you avenues to establish a connection, or a group action!</v>
      </c>
    </row>
    <row r="905" ht="15.75" customHeight="1">
      <c r="A905" s="3">
        <v>4.0</v>
      </c>
      <c r="B905" s="3" t="s">
        <v>2517</v>
      </c>
      <c r="C905" s="3" t="s">
        <v>2518</v>
      </c>
      <c r="D905" s="3" t="s">
        <v>42</v>
      </c>
      <c r="E905" s="3" t="s">
        <v>14</v>
      </c>
      <c r="F905" s="3" t="s">
        <v>15</v>
      </c>
      <c r="G905" s="3" t="s">
        <v>165</v>
      </c>
      <c r="H905" s="3" t="s">
        <v>165</v>
      </c>
      <c r="I905" s="3" t="str">
        <f>IFERROR(__xludf.DUMMYFUNCTION("GOOGLETRANSLATE(C905,""fr"",""en"")"),"Satisfied with the service, good telephone contact, clear and net information, speed, I am satisfied and I recommend, Correct home and car insurance rate.
")</f>
        <v>Satisfied with the service, good telephone contact, clear and net information, speed, I am satisfied and I recommend, Correct home and car insurance rate.
</v>
      </c>
    </row>
    <row r="906" ht="15.75" customHeight="1">
      <c r="A906" s="3">
        <v>3.0</v>
      </c>
      <c r="B906" s="3" t="s">
        <v>2519</v>
      </c>
      <c r="C906" s="3" t="s">
        <v>2520</v>
      </c>
      <c r="D906" s="3" t="s">
        <v>42</v>
      </c>
      <c r="E906" s="3" t="s">
        <v>14</v>
      </c>
      <c r="F906" s="3" t="s">
        <v>15</v>
      </c>
      <c r="G906" s="3" t="s">
        <v>1654</v>
      </c>
      <c r="H906" s="3" t="s">
        <v>506</v>
      </c>
      <c r="I906" s="3" t="str">
        <f>IFERROR(__xludf.DUMMYFUNCTION("GOOGLETRANSLATE(C906,""fr"",""en"")"),"Well -designed site easy to use
Competitive price
To see the following year if the prices do not evolve too much up
The guarantees are clearly explained
")</f>
        <v>Well -designed site easy to use
Competitive price
To see the following year if the prices do not evolve too much up
The guarantees are clearly explained
</v>
      </c>
    </row>
    <row r="907" ht="15.75" customHeight="1">
      <c r="A907" s="3">
        <v>1.0</v>
      </c>
      <c r="B907" s="3" t="s">
        <v>2521</v>
      </c>
      <c r="C907" s="3" t="s">
        <v>2522</v>
      </c>
      <c r="D907" s="3" t="s">
        <v>42</v>
      </c>
      <c r="E907" s="3" t="s">
        <v>14</v>
      </c>
      <c r="F907" s="3" t="s">
        <v>15</v>
      </c>
      <c r="G907" s="3" t="s">
        <v>588</v>
      </c>
      <c r="H907" s="3" t="s">
        <v>75</v>
      </c>
      <c r="I907" s="3" t="str">
        <f>IFERROR(__xludf.DUMMYFUNCTION("GOOGLETRANSLATE(C907,""fr"",""en"")"),"No customer service, managers and directors to whom I spoke barely speak French, all contrast all and make you have the fault ...")</f>
        <v>No customer service, managers and directors to whom I spoke barely speak French, all contrast all and make you have the fault ...</v>
      </c>
    </row>
    <row r="908" ht="15.75" customHeight="1">
      <c r="A908" s="3">
        <v>4.0</v>
      </c>
      <c r="B908" s="3" t="s">
        <v>2523</v>
      </c>
      <c r="C908" s="3" t="s">
        <v>2524</v>
      </c>
      <c r="D908" s="3" t="s">
        <v>140</v>
      </c>
      <c r="E908" s="3" t="s">
        <v>98</v>
      </c>
      <c r="F908" s="3" t="s">
        <v>15</v>
      </c>
      <c r="G908" s="3" t="s">
        <v>470</v>
      </c>
      <c r="H908" s="3" t="s">
        <v>23</v>
      </c>
      <c r="I908" s="3" t="str">
        <f>IFERROR(__xludf.DUMMYFUNCTION("GOOGLETRANSLATE(C908,""fr"",""en"")"),"Having recently subscribed to this new mutual insurance company I had not received my paid third party card. Mariama that I had on the phone sent me this one by email. Everything was set in 5 minutes
")</f>
        <v>Having recently subscribed to this new mutual insurance company I had not received my paid third party card. Mariama that I had on the phone sent me this one by email. Everything was set in 5 minutes
</v>
      </c>
    </row>
    <row r="909" ht="15.75" customHeight="1">
      <c r="A909" s="3">
        <v>4.0</v>
      </c>
      <c r="B909" s="3" t="s">
        <v>2525</v>
      </c>
      <c r="C909" s="3" t="s">
        <v>2526</v>
      </c>
      <c r="D909" s="3" t="s">
        <v>384</v>
      </c>
      <c r="E909" s="3" t="s">
        <v>21</v>
      </c>
      <c r="F909" s="3" t="s">
        <v>15</v>
      </c>
      <c r="G909" s="3" t="s">
        <v>2527</v>
      </c>
      <c r="H909" s="3" t="s">
        <v>29</v>
      </c>
      <c r="I909" s="3" t="str">
        <f>IFERROR(__xludf.DUMMYFUNCTION("GOOGLETRANSLATE(C909,""fr"",""en"")"),"Good availability and good care after an accident.
A little high price, knowing that the person I have bought the street triple r paid 3 times less than me for the same guarantees, with only a few more years.")</f>
        <v>Good availability and good care after an accident.
A little high price, knowing that the person I have bought the street triple r paid 3 times less than me for the same guarantees, with only a few more years.</v>
      </c>
    </row>
    <row r="910" ht="15.75" customHeight="1">
      <c r="A910" s="3">
        <v>1.0</v>
      </c>
      <c r="B910" s="3" t="s">
        <v>2528</v>
      </c>
      <c r="C910" s="3" t="s">
        <v>2529</v>
      </c>
      <c r="D910" s="3" t="s">
        <v>42</v>
      </c>
      <c r="E910" s="3" t="s">
        <v>14</v>
      </c>
      <c r="F910" s="3" t="s">
        <v>15</v>
      </c>
      <c r="G910" s="3" t="s">
        <v>944</v>
      </c>
      <c r="H910" s="3" t="s">
        <v>86</v>
      </c>
      <c r="I910" s="3" t="str">
        <f>IFERROR(__xludf.DUMMYFUNCTION("GOOGLETRANSLATE(C910,""fr"",""en"")"),"Very dissatisfied The prices are only increased, the franchises still remains to be paid and the services really to be reviewed, never broke down ....")</f>
        <v>Very dissatisfied The prices are only increased, the franchises still remains to be paid and the services really to be reviewed, never broke down ....</v>
      </c>
    </row>
    <row r="911" ht="15.75" customHeight="1">
      <c r="A911" s="3">
        <v>2.0</v>
      </c>
      <c r="B911" s="3" t="s">
        <v>2530</v>
      </c>
      <c r="C911" s="3" t="s">
        <v>2531</v>
      </c>
      <c r="D911" s="3" t="s">
        <v>78</v>
      </c>
      <c r="E911" s="3" t="s">
        <v>14</v>
      </c>
      <c r="F911" s="3" t="s">
        <v>15</v>
      </c>
      <c r="G911" s="3" t="s">
        <v>152</v>
      </c>
      <c r="H911" s="3" t="s">
        <v>86</v>
      </c>
      <c r="I911" s="3" t="str">
        <f>IFERROR(__xludf.DUMMYFUNCTION("GOOGLETRANSLATE(C911,""fr"",""en"")"),"Do not respond to any emails, does not respond to any contact request made on their site, endless waiting up to more than 17 minutes, to ultimately have no one, and with officials of civil servants, to the various number of such 09789780xx, frankly To run"&amp;" away by running ..... I have to contact UFC Que Choisir, to take a lawyer and certainly file a complaint!")</f>
        <v>Do not respond to any emails, does not respond to any contact request made on their site, endless waiting up to more than 17 minutes, to ultimately have no one, and with officials of civil servants, to the various number of such 09789780xx, frankly To run away by running ..... I have to contact UFC Que Choisir, to take a lawyer and certainly file a complaint!</v>
      </c>
    </row>
    <row r="912" ht="15.75" customHeight="1">
      <c r="A912" s="3">
        <v>4.0</v>
      </c>
      <c r="B912" s="3" t="s">
        <v>2532</v>
      </c>
      <c r="C912" s="3" t="s">
        <v>2533</v>
      </c>
      <c r="D912" s="3" t="s">
        <v>42</v>
      </c>
      <c r="E912" s="3" t="s">
        <v>14</v>
      </c>
      <c r="F912" s="3" t="s">
        <v>15</v>
      </c>
      <c r="G912" s="3" t="s">
        <v>944</v>
      </c>
      <c r="H912" s="3" t="s">
        <v>86</v>
      </c>
      <c r="I912" s="3" t="str">
        <f>IFERROR(__xludf.DUMMYFUNCTION("GOOGLETRANSLATE(C912,""fr"",""en"")"),"The prices suit me, and until now between guarantees and prices that is what I have found best. Too bad the franchises are so important")</f>
        <v>The prices suit me, and until now between guarantees and prices that is what I have found best. Too bad the franchises are so important</v>
      </c>
    </row>
    <row r="913" ht="15.75" customHeight="1">
      <c r="A913" s="3">
        <v>1.0</v>
      </c>
      <c r="B913" s="3" t="s">
        <v>2534</v>
      </c>
      <c r="C913" s="3" t="s">
        <v>2535</v>
      </c>
      <c r="D913" s="3" t="s">
        <v>384</v>
      </c>
      <c r="E913" s="3" t="s">
        <v>21</v>
      </c>
      <c r="F913" s="3" t="s">
        <v>15</v>
      </c>
      <c r="G913" s="3" t="s">
        <v>2004</v>
      </c>
      <c r="H913" s="3" t="s">
        <v>100</v>
      </c>
      <c r="I913" s="3" t="str">
        <f>IFERROR(__xludf.DUMMYFUNCTION("GOOGLETRANSLATE(C913,""fr"",""en"")"),"I contacted my AMV insurance, after an attempted theft of my scooter. I followed the declaration procedures. I was surprised at the number of additional documents to provide not registered in the contract for the first shipment. I have since been contacti"&amp;"ng several times for additional additional documents !! The person responsible for my file contacts me at any time of the day without asking me if they bother me and without apologizing. Is it to believe that they do not want to ensure your protection as "&amp;"an assistance or the staff is not form?. For a Neiman at 19 Euro, I pay 29 euros in all -risk insurance! I hope that these calls are saved for a reason. While waiting for my scooter is blocked and I can't move.")</f>
        <v>I contacted my AMV insurance, after an attempted theft of my scooter. I followed the declaration procedures. I was surprised at the number of additional documents to provide not registered in the contract for the first shipment. I have since been contacting several times for additional additional documents !! The person responsible for my file contacts me at any time of the day without asking me if they bother me and without apologizing. Is it to believe that they do not want to ensure your protection as an assistance or the staff is not form?. For a Neiman at 19 Euro, I pay 29 euros in all -risk insurance! I hope that these calls are saved for a reason. While waiting for my scooter is blocked and I can't move.</v>
      </c>
    </row>
    <row r="914" ht="15.75" customHeight="1">
      <c r="A914" s="3">
        <v>4.0</v>
      </c>
      <c r="B914" s="3" t="s">
        <v>2536</v>
      </c>
      <c r="C914" s="3" t="s">
        <v>2537</v>
      </c>
      <c r="D914" s="3" t="s">
        <v>42</v>
      </c>
      <c r="E914" s="3" t="s">
        <v>14</v>
      </c>
      <c r="F914" s="3" t="s">
        <v>15</v>
      </c>
      <c r="G914" s="3" t="s">
        <v>2234</v>
      </c>
      <c r="H914" s="3" t="s">
        <v>115</v>
      </c>
      <c r="I914" s="3" t="str">
        <f>IFERROR(__xludf.DUMMYFUNCTION("GOOGLETRANSLATE(C914,""fr"",""en"")"),"The prices on the site are different from the prices that the advisor gave me and we do not really know why.
I also wanted to have the 0km franchise without a loan car and it is not possible")</f>
        <v>The prices on the site are different from the prices that the advisor gave me and we do not really know why.
I also wanted to have the 0km franchise without a loan car and it is not possible</v>
      </c>
    </row>
    <row r="915" ht="15.75" customHeight="1">
      <c r="A915" s="3">
        <v>5.0</v>
      </c>
      <c r="B915" s="3" t="s">
        <v>2538</v>
      </c>
      <c r="C915" s="3" t="s">
        <v>2539</v>
      </c>
      <c r="D915" s="3" t="s">
        <v>42</v>
      </c>
      <c r="E915" s="3" t="s">
        <v>14</v>
      </c>
      <c r="F915" s="3" t="s">
        <v>15</v>
      </c>
      <c r="G915" s="3" t="s">
        <v>158</v>
      </c>
      <c r="H915" s="3" t="s">
        <v>39</v>
      </c>
      <c r="I915" s="3" t="str">
        <f>IFERROR(__xludf.DUMMYFUNCTION("GOOGLETRANSLATE(C915,""fr"",""en"")"),"I’m very satisfied, we’ve been at home for several years now. I do not regret our choice in any case. I highly recommend direct insurance")</f>
        <v>I’m very satisfied, we’ve been at home for several years now. I do not regret our choice in any case. I highly recommend direct insurance</v>
      </c>
    </row>
    <row r="916" ht="15.75" customHeight="1">
      <c r="A916" s="3">
        <v>2.0</v>
      </c>
      <c r="B916" s="3" t="s">
        <v>2540</v>
      </c>
      <c r="C916" s="3" t="s">
        <v>2541</v>
      </c>
      <c r="D916" s="3" t="s">
        <v>81</v>
      </c>
      <c r="E916" s="3" t="s">
        <v>14</v>
      </c>
      <c r="F916" s="3" t="s">
        <v>15</v>
      </c>
      <c r="G916" s="3" t="s">
        <v>2542</v>
      </c>
      <c r="H916" s="3" t="s">
        <v>124</v>
      </c>
      <c r="I916" s="3" t="str">
        <f>IFERROR(__xludf.DUMMYFUNCTION("GOOGLETRANSLATE(C916,""fr"",""en"")"),"Macif client for 20 years.
At the end of February I type a boar that tumbles 2 meters in front of my vehicle.
€ 3,000 in repair.
Meeting with the expert in the garage on Monday ... he did not come.
Reminder of Macif customer service who replies that t"&amp;"here was an error The expert will go on Thursday.
I am announced that I have 500 euros in franchises in all risk Whaouuu Super.
I go to the Macif site to make a simulation for my vehicle.
Same contract same price but deductible of € 300.
I remind you "&amp;"of the Macif where I am told that I have an old contract that on the new franchises is 300 ...
I have the feeling of being taken for a rabbit ...")</f>
        <v>Macif client for 20 years.
At the end of February I type a boar that tumbles 2 meters in front of my vehicle.
€ 3,000 in repair.
Meeting with the expert in the garage on Monday ... he did not come.
Reminder of Macif customer service who replies that there was an error The expert will go on Thursday.
I am announced that I have 500 euros in franchises in all risk Whaouuu Super.
I go to the Macif site to make a simulation for my vehicle.
Same contract same price but deductible of € 300.
I remind you of the Macif where I am told that I have an old contract that on the new franchises is 300 ...
I have the feeling of being taken for a rabbit ...</v>
      </c>
    </row>
    <row r="917" ht="15.75" customHeight="1">
      <c r="A917" s="3">
        <v>5.0</v>
      </c>
      <c r="B917" s="3" t="s">
        <v>2543</v>
      </c>
      <c r="C917" s="3" t="s">
        <v>2544</v>
      </c>
      <c r="D917" s="3" t="s">
        <v>13</v>
      </c>
      <c r="E917" s="3" t="s">
        <v>14</v>
      </c>
      <c r="F917" s="3" t="s">
        <v>15</v>
      </c>
      <c r="G917" s="3" t="s">
        <v>566</v>
      </c>
      <c r="H917" s="3" t="s">
        <v>224</v>
      </c>
      <c r="I917" s="3" t="str">
        <f>IFERROR(__xludf.DUMMYFUNCTION("GOOGLETRANSLATE(C917,""fr"",""en"")"),"The prices are attractive and the service serious. I recommend for people who do not dare to cross the course. The service is competent and price level, it's incredible.")</f>
        <v>The prices are attractive and the service serious. I recommend for people who do not dare to cross the course. The service is competent and price level, it's incredible.</v>
      </c>
    </row>
    <row r="918" ht="15.75" customHeight="1">
      <c r="A918" s="3">
        <v>4.0</v>
      </c>
      <c r="B918" s="3" t="s">
        <v>2545</v>
      </c>
      <c r="C918" s="3" t="s">
        <v>2546</v>
      </c>
      <c r="D918" s="3" t="s">
        <v>140</v>
      </c>
      <c r="E918" s="3" t="s">
        <v>98</v>
      </c>
      <c r="F918" s="3" t="s">
        <v>15</v>
      </c>
      <c r="G918" s="3" t="s">
        <v>2547</v>
      </c>
      <c r="H918" s="3" t="s">
        <v>86</v>
      </c>
      <c r="I918" s="3" t="str">
        <f>IFERROR(__xludf.DUMMYFUNCTION("GOOGLETRANSLATE(C918,""fr"",""en"")"),"HELLO;
Following my telephone exchange this afternoon with an interlocutor whose prenon is Aminata; I want to say our exchange went well because she took the time to listen to me and give me the answers I am waiting for.
Thank you again Aminata.
Re"&amp;"gards Ms. Filipe Marie Christine
.thank you.
 ")</f>
        <v>HELLO;
Following my telephone exchange this afternoon with an interlocutor whose prenon is Aminata; I want to say our exchange went well because she took the time to listen to me and give me the answers I am waiting for.
Thank you again Aminata.
Regards Ms. Filipe Marie Christine
.thank you.
 </v>
      </c>
    </row>
    <row r="919" ht="15.75" customHeight="1">
      <c r="A919" s="3">
        <v>4.0</v>
      </c>
      <c r="B919" s="3" t="s">
        <v>2548</v>
      </c>
      <c r="C919" s="3" t="s">
        <v>2549</v>
      </c>
      <c r="D919" s="3" t="s">
        <v>140</v>
      </c>
      <c r="E919" s="3" t="s">
        <v>98</v>
      </c>
      <c r="F919" s="3" t="s">
        <v>15</v>
      </c>
      <c r="G919" s="3" t="s">
        <v>2550</v>
      </c>
      <c r="H919" s="3" t="s">
        <v>23</v>
      </c>
      <c r="I919" s="3" t="str">
        <f>IFERROR(__xludf.DUMMYFUNCTION("GOOGLETRANSLATE(C919,""fr"",""en"")"),"Thanks to Angélique for her welcome and her professionalism. The answer was very effective and I received the documents requested by email before the end of my call.")</f>
        <v>Thanks to Angélique for her welcome and her professionalism. The answer was very effective and I received the documents requested by email before the end of my call.</v>
      </c>
    </row>
    <row r="920" ht="15.75" customHeight="1">
      <c r="A920" s="3">
        <v>5.0</v>
      </c>
      <c r="B920" s="3" t="s">
        <v>2551</v>
      </c>
      <c r="C920" s="3" t="s">
        <v>2552</v>
      </c>
      <c r="D920" s="3" t="s">
        <v>13</v>
      </c>
      <c r="E920" s="3" t="s">
        <v>14</v>
      </c>
      <c r="F920" s="3" t="s">
        <v>15</v>
      </c>
      <c r="G920" s="3" t="s">
        <v>1249</v>
      </c>
      <c r="H920" s="3" t="s">
        <v>44</v>
      </c>
      <c r="I920" s="3" t="str">
        <f>IFERROR(__xludf.DUMMYFUNCTION("GOOGLETRANSLATE(C920,""fr"",""en"")"),"Thank you for ensuring me in your company the price is completely up to my budget and the guarantees suit me, I would not fail to recommend you cordially")</f>
        <v>Thank you for ensuring me in your company the price is completely up to my budget and the guarantees suit me, I would not fail to recommend you cordially</v>
      </c>
    </row>
    <row r="921" ht="15.75" customHeight="1">
      <c r="A921" s="3">
        <v>4.0</v>
      </c>
      <c r="B921" s="3" t="s">
        <v>2553</v>
      </c>
      <c r="C921" s="3" t="s">
        <v>2554</v>
      </c>
      <c r="D921" s="3" t="s">
        <v>42</v>
      </c>
      <c r="E921" s="3" t="s">
        <v>14</v>
      </c>
      <c r="F921" s="3" t="s">
        <v>15</v>
      </c>
      <c r="G921" s="3" t="s">
        <v>44</v>
      </c>
      <c r="H921" s="3" t="s">
        <v>44</v>
      </c>
      <c r="I921" s="3" t="str">
        <f>IFERROR(__xludf.DUMMYFUNCTION("GOOGLETRANSLATE(C921,""fr"",""en"")"),"Satisfied with the service and the price of the customer for years in car as well as for secondary home insurance you cannot find me dear on the web and in addition they are stores")</f>
        <v>Satisfied with the service and the price of the customer for years in car as well as for secondary home insurance you cannot find me dear on the web and in addition they are stores</v>
      </c>
    </row>
    <row r="922" ht="15.75" customHeight="1">
      <c r="A922" s="3">
        <v>4.0</v>
      </c>
      <c r="B922" s="3" t="s">
        <v>2555</v>
      </c>
      <c r="C922" s="3" t="s">
        <v>2556</v>
      </c>
      <c r="D922" s="3" t="s">
        <v>42</v>
      </c>
      <c r="E922" s="3" t="s">
        <v>14</v>
      </c>
      <c r="F922" s="3" t="s">
        <v>15</v>
      </c>
      <c r="G922" s="3" t="s">
        <v>1937</v>
      </c>
      <c r="H922" s="3" t="s">
        <v>86</v>
      </c>
      <c r="I922" s="3" t="str">
        <f>IFERROR(__xludf.DUMMYFUNCTION("GOOGLETRANSLATE(C922,""fr"",""en"")"),"I am satisfied with the service.
A few bugs must be corrected on the mobile and web application.
                                                       ")</f>
        <v>I am satisfied with the service.
A few bugs must be corrected on the mobile and web application.
                                                       </v>
      </c>
    </row>
    <row r="923" ht="15.75" customHeight="1">
      <c r="A923" s="3">
        <v>5.0</v>
      </c>
      <c r="B923" s="3" t="s">
        <v>2557</v>
      </c>
      <c r="C923" s="3" t="s">
        <v>2558</v>
      </c>
      <c r="D923" s="3" t="s">
        <v>42</v>
      </c>
      <c r="E923" s="3" t="s">
        <v>14</v>
      </c>
      <c r="F923" s="3" t="s">
        <v>15</v>
      </c>
      <c r="G923" s="3" t="s">
        <v>546</v>
      </c>
      <c r="H923" s="3" t="s">
        <v>39</v>
      </c>
      <c r="I923" s="3" t="str">
        <f>IFERROR(__xludf.DUMMYFUNCTION("GOOGLETRANSLATE(C923,""fr"",""en"")"),"I am satisfied with the speed compared to my quote request.
Now to see the length of the services offered on the length.
I don't ask for much but the minimum")</f>
        <v>I am satisfied with the speed compared to my quote request.
Now to see the length of the services offered on the length.
I don't ask for much but the minimum</v>
      </c>
    </row>
    <row r="924" ht="15.75" customHeight="1">
      <c r="A924" s="3">
        <v>5.0</v>
      </c>
      <c r="B924" s="3" t="s">
        <v>2559</v>
      </c>
      <c r="C924" s="3" t="s">
        <v>2560</v>
      </c>
      <c r="D924" s="3" t="s">
        <v>13</v>
      </c>
      <c r="E924" s="3" t="s">
        <v>14</v>
      </c>
      <c r="F924" s="3" t="s">
        <v>15</v>
      </c>
      <c r="G924" s="3" t="s">
        <v>865</v>
      </c>
      <c r="H924" s="3" t="s">
        <v>115</v>
      </c>
      <c r="I924" s="3" t="str">
        <f>IFERROR(__xludf.DUMMYFUNCTION("GOOGLETRANSLATE(C924,""fr"",""en"")"),"Very good online experience and good price too, it was an easy transaction, I would recommend the olive tree to my friends. I hope I never have an accident of course!")</f>
        <v>Very good online experience and good price too, it was an easy transaction, I would recommend the olive tree to my friends. I hope I never have an accident of course!</v>
      </c>
    </row>
    <row r="925" ht="15.75" customHeight="1">
      <c r="A925" s="3">
        <v>1.0</v>
      </c>
      <c r="B925" s="3" t="s">
        <v>2561</v>
      </c>
      <c r="C925" s="3" t="s">
        <v>2562</v>
      </c>
      <c r="D925" s="3" t="s">
        <v>69</v>
      </c>
      <c r="E925" s="3" t="s">
        <v>14</v>
      </c>
      <c r="F925" s="3" t="s">
        <v>15</v>
      </c>
      <c r="G925" s="3" t="s">
        <v>363</v>
      </c>
      <c r="H925" s="3" t="s">
        <v>44</v>
      </c>
      <c r="I925" s="3" t="str">
        <f>IFERROR(__xludf.DUMMYFUNCTION("GOOGLETRANSLATE(C925,""fr"",""en"")"),"Impossible to attach them to modify my insurance contract, since their acquisition by Aviva this insurance company (Eurofil) to lower")</f>
        <v>Impossible to attach them to modify my insurance contract, since their acquisition by Aviva this insurance company (Eurofil) to lower</v>
      </c>
    </row>
    <row r="926" ht="15.75" customHeight="1">
      <c r="A926" s="3">
        <v>3.0</v>
      </c>
      <c r="B926" s="3" t="s">
        <v>2563</v>
      </c>
      <c r="C926" s="3" t="s">
        <v>2564</v>
      </c>
      <c r="D926" s="3" t="s">
        <v>42</v>
      </c>
      <c r="E926" s="3" t="s">
        <v>14</v>
      </c>
      <c r="F926" s="3" t="s">
        <v>15</v>
      </c>
      <c r="G926" s="3" t="s">
        <v>86</v>
      </c>
      <c r="H926" s="3" t="s">
        <v>86</v>
      </c>
      <c r="I926" s="3" t="str">
        <f>IFERROR(__xludf.DUMMYFUNCTION("GOOGLETRANSLATE(C926,""fr"",""en"")"),"I'm not satisfied, happy
Too expensive compared to the Macif, Matmut, Carrefour and Gan
I am at home almost 15 years old with the bonus 50 and over 12 years old
It's a shame I leave with you")</f>
        <v>I'm not satisfied, happy
Too expensive compared to the Macif, Matmut, Carrefour and Gan
I am at home almost 15 years old with the bonus 50 and over 12 years old
It's a shame I leave with you</v>
      </c>
    </row>
    <row r="927" ht="15.75" customHeight="1">
      <c r="A927" s="3">
        <v>4.0</v>
      </c>
      <c r="B927" s="3" t="s">
        <v>2565</v>
      </c>
      <c r="C927" s="3" t="s">
        <v>2566</v>
      </c>
      <c r="D927" s="3" t="s">
        <v>42</v>
      </c>
      <c r="E927" s="3" t="s">
        <v>14</v>
      </c>
      <c r="F927" s="3" t="s">
        <v>15</v>
      </c>
      <c r="G927" s="3" t="s">
        <v>2269</v>
      </c>
      <c r="H927" s="3" t="s">
        <v>39</v>
      </c>
      <c r="I927" s="3" t="str">
        <f>IFERROR(__xludf.DUMMYFUNCTION("GOOGLETRANSLATE(C927,""fr"",""en"")"),"Satisfied but impractical in case of poor internet connection and above all very complicated when there are several vehicles to administer this becomes laborious")</f>
        <v>Satisfied but impractical in case of poor internet connection and above all very complicated when there are several vehicles to administer this becomes laborious</v>
      </c>
    </row>
    <row r="928" ht="15.75" customHeight="1">
      <c r="A928" s="3">
        <v>1.0</v>
      </c>
      <c r="B928" s="3" t="s">
        <v>2567</v>
      </c>
      <c r="C928" s="3" t="s">
        <v>2568</v>
      </c>
      <c r="D928" s="3" t="s">
        <v>81</v>
      </c>
      <c r="E928" s="3" t="s">
        <v>14</v>
      </c>
      <c r="F928" s="3" t="s">
        <v>15</v>
      </c>
      <c r="G928" s="3" t="s">
        <v>2234</v>
      </c>
      <c r="H928" s="3" t="s">
        <v>115</v>
      </c>
      <c r="I928" s="3" t="str">
        <f>IFERROR(__xludf.DUMMYFUNCTION("GOOGLETRANSLATE(C928,""fr"",""en"")"),"Please note the only insurer to add. The body guarantee this is not included in the basic price
It immediately brings the invoice
So you find it less expensive elsewhere elsewhere
Be careful before signing")</f>
        <v>Please note the only insurer to add. The body guarantee this is not included in the basic price
It immediately brings the invoice
So you find it less expensive elsewhere elsewhere
Be careful before signing</v>
      </c>
    </row>
    <row r="929" ht="15.75" customHeight="1">
      <c r="A929" s="3">
        <v>5.0</v>
      </c>
      <c r="B929" s="3" t="s">
        <v>2569</v>
      </c>
      <c r="C929" s="3" t="s">
        <v>2570</v>
      </c>
      <c r="D929" s="3" t="s">
        <v>42</v>
      </c>
      <c r="E929" s="3" t="s">
        <v>14</v>
      </c>
      <c r="F929" s="3" t="s">
        <v>15</v>
      </c>
      <c r="G929" s="3" t="s">
        <v>2144</v>
      </c>
      <c r="H929" s="3" t="s">
        <v>75</v>
      </c>
      <c r="I929" s="3" t="str">
        <f>IFERROR(__xludf.DUMMYFUNCTION("GOOGLETRANSLATE(C929,""fr"",""en"")"),"Very good services - very pleasant and competent staff knowing how to answer various questions - very satisfactory value for money - I am delighted to have changed supplier
")</f>
        <v>Very good services - very pleasant and competent staff knowing how to answer various questions - very satisfactory value for money - I am delighted to have changed supplier
</v>
      </c>
    </row>
    <row r="930" ht="15.75" customHeight="1">
      <c r="A930" s="3">
        <v>5.0</v>
      </c>
      <c r="B930" s="3" t="s">
        <v>2571</v>
      </c>
      <c r="C930" s="3" t="s">
        <v>2572</v>
      </c>
      <c r="D930" s="3" t="s">
        <v>32</v>
      </c>
      <c r="E930" s="3" t="s">
        <v>14</v>
      </c>
      <c r="F930" s="3" t="s">
        <v>15</v>
      </c>
      <c r="G930" s="3" t="s">
        <v>656</v>
      </c>
      <c r="H930" s="3" t="s">
        <v>165</v>
      </c>
      <c r="I930" s="3" t="str">
        <f>IFERROR(__xludf.DUMMYFUNCTION("GOOGLETRANSLATE(C930,""fr"",""en"")"),"I am very satisfied, the site is very well done. The documents arrive fairly quickly after the request. The prices are very attractive and listening advisers.")</f>
        <v>I am very satisfied, the site is very well done. The documents arrive fairly quickly after the request. The prices are very attractive and listening advisers.</v>
      </c>
    </row>
    <row r="931" ht="15.75" customHeight="1">
      <c r="A931" s="3">
        <v>5.0</v>
      </c>
      <c r="B931" s="3" t="s">
        <v>2573</v>
      </c>
      <c r="C931" s="3" t="s">
        <v>2574</v>
      </c>
      <c r="D931" s="3" t="s">
        <v>13</v>
      </c>
      <c r="E931" s="3" t="s">
        <v>14</v>
      </c>
      <c r="F931" s="3" t="s">
        <v>15</v>
      </c>
      <c r="G931" s="3" t="s">
        <v>793</v>
      </c>
      <c r="H931" s="3" t="s">
        <v>337</v>
      </c>
      <c r="I931" s="3" t="str">
        <f>IFERROR(__xludf.DUMMYFUNCTION("GOOGLETRANSLATE(C931,""fr"",""en"")"),"The olive tree is my first insurance because I have just obtained my license they offered me a price that corresponds to my student income and explained to me how insurance worked because I knew nothing, thank you very much I recommend strongly")</f>
        <v>The olive tree is my first insurance because I have just obtained my license they offered me a price that corresponds to my student income and explained to me how insurance worked because I knew nothing, thank you very much I recommend strongly</v>
      </c>
    </row>
    <row r="932" ht="15.75" customHeight="1">
      <c r="A932" s="3">
        <v>1.0</v>
      </c>
      <c r="B932" s="3" t="s">
        <v>2575</v>
      </c>
      <c r="C932" s="3" t="s">
        <v>2576</v>
      </c>
      <c r="D932" s="3" t="s">
        <v>175</v>
      </c>
      <c r="E932" s="3" t="s">
        <v>98</v>
      </c>
      <c r="F932" s="3" t="s">
        <v>15</v>
      </c>
      <c r="G932" s="3" t="s">
        <v>2577</v>
      </c>
      <c r="H932" s="3" t="s">
        <v>35</v>
      </c>
      <c r="I932" s="3" t="str">
        <f>IFERROR(__xludf.DUMMYFUNCTION("GOOGLETRANSLATE(C932,""fr"",""en"")"),"Mutual Mutual Mutual Mutual very badly reimbursed Mutual Mutual Mutual Customer Relations which is useless for waiting time too long")</f>
        <v>Mutual Mutual Mutual Mutual very badly reimbursed Mutual Mutual Mutual Customer Relations which is useless for waiting time too long</v>
      </c>
    </row>
    <row r="933" ht="15.75" customHeight="1">
      <c r="A933" s="3">
        <v>4.0</v>
      </c>
      <c r="B933" s="3" t="s">
        <v>2578</v>
      </c>
      <c r="C933" s="3" t="s">
        <v>2579</v>
      </c>
      <c r="D933" s="3" t="s">
        <v>42</v>
      </c>
      <c r="E933" s="3" t="s">
        <v>14</v>
      </c>
      <c r="F933" s="3" t="s">
        <v>15</v>
      </c>
      <c r="G933" s="3" t="s">
        <v>85</v>
      </c>
      <c r="H933" s="3" t="s">
        <v>86</v>
      </c>
      <c r="I933" s="3" t="str">
        <f>IFERROR(__xludf.DUMMYFUNCTION("GOOGLETRANSLATE(C933,""fr"",""en"")"),"Very satisfied for the moment. ? I'm waiting to see following the resolution of my disaster. For the moment no news, it's a bit long .............")</f>
        <v>Very satisfied for the moment. ? I'm waiting to see following the resolution of my disaster. For the moment no news, it's a bit long .............</v>
      </c>
    </row>
    <row r="934" ht="15.75" customHeight="1">
      <c r="A934" s="3">
        <v>3.0</v>
      </c>
      <c r="B934" s="3" t="s">
        <v>2580</v>
      </c>
      <c r="C934" s="3" t="s">
        <v>2581</v>
      </c>
      <c r="D934" s="3" t="s">
        <v>13</v>
      </c>
      <c r="E934" s="3" t="s">
        <v>14</v>
      </c>
      <c r="F934" s="3" t="s">
        <v>15</v>
      </c>
      <c r="G934" s="3" t="s">
        <v>938</v>
      </c>
      <c r="H934" s="3" t="s">
        <v>165</v>
      </c>
      <c r="I934" s="3" t="str">
        <f>IFERROR(__xludf.DUMMYFUNCTION("GOOGLETRANSLATE(C934,""fr"",""en"")"),"I am satisfied well for insurance well played with online service it is practical for customer who works eh no need to call for know -how merciiii")</f>
        <v>I am satisfied well for insurance well played with online service it is practical for customer who works eh no need to call for know -how merciiii</v>
      </c>
    </row>
    <row r="935" ht="15.75" customHeight="1">
      <c r="A935" s="3">
        <v>1.0</v>
      </c>
      <c r="B935" s="3" t="s">
        <v>2582</v>
      </c>
      <c r="C935" s="3" t="s">
        <v>2583</v>
      </c>
      <c r="D935" s="3" t="s">
        <v>42</v>
      </c>
      <c r="E935" s="3" t="s">
        <v>14</v>
      </c>
      <c r="F935" s="3" t="s">
        <v>15</v>
      </c>
      <c r="G935" s="3" t="s">
        <v>1294</v>
      </c>
      <c r="H935" s="3" t="s">
        <v>86</v>
      </c>
      <c r="I935" s="3" t="str">
        <f>IFERROR(__xludf.DUMMYFUNCTION("GOOGLETRANSLATE(C935,""fr"",""en"")"),"100 times too expensive for guarantees double the price in a few years while the car is worth nothing and deductibles of 150 euros when no accident
")</f>
        <v>100 times too expensive for guarantees double the price in a few years while the car is worth nothing and deductibles of 150 euros when no accident
</v>
      </c>
    </row>
    <row r="936" ht="15.75" customHeight="1">
      <c r="A936" s="3">
        <v>4.0</v>
      </c>
      <c r="B936" s="3" t="s">
        <v>2584</v>
      </c>
      <c r="C936" s="3" t="s">
        <v>2585</v>
      </c>
      <c r="D936" s="3" t="s">
        <v>13</v>
      </c>
      <c r="E936" s="3" t="s">
        <v>14</v>
      </c>
      <c r="F936" s="3" t="s">
        <v>15</v>
      </c>
      <c r="G936" s="3" t="s">
        <v>1318</v>
      </c>
      <c r="H936" s="3" t="s">
        <v>115</v>
      </c>
      <c r="I936" s="3" t="str">
        <f>IFERROR(__xludf.DUMMYFUNCTION("GOOGLETRANSLATE(C936,""fr"",""en"")"),"I hesitated for a long time to take insurance from Olivier Insurance.
But the prices are really competition and their reputation looks good.
To be continued ...")</f>
        <v>I hesitated for a long time to take insurance from Olivier Insurance.
But the prices are really competition and their reputation looks good.
To be continued ...</v>
      </c>
    </row>
    <row r="937" ht="15.75" customHeight="1">
      <c r="A937" s="3">
        <v>1.0</v>
      </c>
      <c r="B937" s="3" t="s">
        <v>2586</v>
      </c>
      <c r="C937" s="3" t="s">
        <v>2587</v>
      </c>
      <c r="D937" s="3" t="s">
        <v>81</v>
      </c>
      <c r="E937" s="3" t="s">
        <v>33</v>
      </c>
      <c r="F937" s="3" t="s">
        <v>15</v>
      </c>
      <c r="G937" s="3" t="s">
        <v>2588</v>
      </c>
      <c r="H937" s="3" t="s">
        <v>91</v>
      </c>
      <c r="I937" s="3" t="str">
        <f>IFERROR(__xludf.DUMMYFUNCTION("GOOGLETRANSLATE(C937,""fr"",""en"")"),"Customer at the Macif for many years over 20 years, I have been very unhappy with the care of a sinister flood. My house was flooded no compensation, no professionalism I have been walking from service to service yet until now the insurance monthly paymen"&amp;"ts are honored. I really do not recover this insurance company, we recognize insurance during a sinist A shame to leave a member without a clear answer !!!")</f>
        <v>Customer at the Macif for many years over 20 years, I have been very unhappy with the care of a sinister flood. My house was flooded no compensation, no professionalism I have been walking from service to service yet until now the insurance monthly payments are honored. I really do not recover this insurance company, we recognize insurance during a sinist A shame to leave a member without a clear answer !!!</v>
      </c>
    </row>
    <row r="938" ht="15.75" customHeight="1">
      <c r="A938" s="3">
        <v>3.0</v>
      </c>
      <c r="B938" s="3" t="s">
        <v>2589</v>
      </c>
      <c r="C938" s="3" t="s">
        <v>2590</v>
      </c>
      <c r="D938" s="3" t="s">
        <v>42</v>
      </c>
      <c r="E938" s="3" t="s">
        <v>14</v>
      </c>
      <c r="F938" s="3" t="s">
        <v>15</v>
      </c>
      <c r="G938" s="3" t="s">
        <v>2591</v>
      </c>
      <c r="H938" s="3" t="s">
        <v>111</v>
      </c>
      <c r="I938" s="3" t="str">
        <f>IFERROR(__xludf.DUMMYFUNCTION("GOOGLETRANSLATE(C938,""fr"",""en"")"),"Hi there,
I want to share my very negative return of experience hoping that it serves another.
It is often said that unhappy people ask comments and those happy not (by the way words of a direct insurance advisor). But know that I am not the type to pos"&amp;"t negative and positive comments. But here I want to keep people informed so that they can have all the necessary information before wanting to take out their insurance at Direct Insurance. Because when they need their insurer it will be too late.
So for"&amp;" my part everything at the beginning everything is beautiful everything is pink obviously not confronted with an accident with this insurance. Glad to have chosen direct insurance with my pretty all -risk formula and my pretty ""tranquility"" pack to feel"&amp;" safe from unpleasant surprises (cool I will have a loan vehicle if I have an accident that reassures me…. HOPHOP not so quickly finally you have to read more to understand).
Here is my wife has an accident with her vehicle, something you never want and "&amp;"that is never done on purpose!
The whole thing is well she calls insurance, assistance we trailer her vehicle in an approved garage she does not ask her if she wishes to go to another garage, still shocked from the accident she does not think that is not"&amp;" an obligation. In short, it is not very serious whatever the garage The work will be done. But arriving at the garage that clearly specifies to the assistance that they will not have a loan vehicle to offer so do not come here if the customer will need a"&amp;" vehicle. Obviously that I need it we work you have to be able to move the vehicle that can not drive anymore and having my pretty ""tranquility"" pack which has peace of mind only. The assistance responds yes there will be no worries. Hop the vehicle is "&amp;"deposited 50km from our home and my wife left in this garage.
Fortunately she had kept her legs in the accident she was able to do 40 km on foot. Advantage in there it allowed him to relax after this accident.
Unhappy with this adventure and telling me "&amp;"that it will be settled I call Direct Answer Answer MR The loan of the vehicle only intervenes once the expert report has been carried out !! I get angry for nothing because it is how it was indicated in the famous general conditions but on the other hand"&amp;" on their offer is not written that. In short, so I'm waiting for the expert report and we are doing while waiting.
A few days later cool the expert passed the vehicle is repairable ect. Hop I hasten to call the garage to ask them for the loan vehicle I "&amp;"have entitled with my pretty ""tranquility"" pack ... the answer mr I had clarified that I had no loan vehicle so see Have your assurance I can't do anything I had warned them. OK I so call the assistance it answers me in your contract it is not specified"&amp;" vehicle loan !! Well and my pack ah well we have no trace calls direct insurance ok other number.
Yes Mr You have the right to a loan vehicle with your pack !! Okay, my little lady but the garage tells me that they don't have it. Ben Mr We can not do an"&amp;"ything except compensate you for 10 €/days of rental fees for a vehicle for repairs. I groan ect it goes at 30 € ok I will lose money but it's better than nothing and there I ask how to know the number of repair reply according to the expert the duration "&amp;"of the work will be 4 days so we compensate you up to 4 days. Uhhh yes except that the garage informed that there will be 3 weeks of time for the repair of the vehicle and not 4.
Ah yes in there they do not count the availability of the garage. Indeed th"&amp;"e compensation according to the claims advisor is from the technical date of repairs. To put it simply they are based on the duration of the work and not the time of immobilization of the vehicle. If the garage is not able to do the work immediately, it i"&amp;"s necessary to manage either cool the tranquility pack. Yet in their offer it is clearly specified a loan of the vehicle during all the durations of the work (my as I am silly according to the advisor because I do not understand the term repair). And yes "&amp;"it is not the duration of the work but the technical duration of the work (dixit the general conditions). This means that they are based on the duration of the work defined by the expert and not the duration that the garage will put to make your vehicle.
"&amp;"
In short after discussion I have to share my dissatisfaction with customer services is all they can do for me.
So be careful to peel the general conditions and pay attention to the ambiguous sentences which necessarily allow us to default and allow th"&amp;"em not to honor their service.
Note also that Direct Insurance Insurance No transfer of insurance. Indeed I ended up towing my vehicle in a garage where I could be made the loan of another. And when you want to make the insurance transfer to avoid in t"&amp;"he event of an accident to have the € 2,000 franchise on garage insurance. The MR response under our ""internal"" conditions we do not practice insurance transfer. Ah yes and how we can know us when we sign the contract because not specified in these famo"&amp;"us general conditions !! Mr made complaints ...
In short, know where you are going and what you expect certainly the prices are low but the service is just as low you have to know. And by phone you can't do much.
Thank you for taking the time to read me"&amp;".")</f>
        <v>Hi there,
I want to share my very negative return of experience hoping that it serves another.
It is often said that unhappy people ask comments and those happy not (by the way words of a direct insurance advisor). But know that I am not the type to post negative and positive comments. But here I want to keep people informed so that they can have all the necessary information before wanting to take out their insurance at Direct Insurance. Because when they need their insurer it will be too late.
So for my part everything at the beginning everything is beautiful everything is pink obviously not confronted with an accident with this insurance. Glad to have chosen direct insurance with my pretty all -risk formula and my pretty "tranquility" pack to feel safe from unpleasant surprises (cool I will have a loan vehicle if I have an accident that reassures me…. HOPHOP not so quickly finally you have to read more to understand).
Here is my wife has an accident with her vehicle, something you never want and that is never done on purpose!
The whole thing is well she calls insurance, assistance we trailer her vehicle in an approved garage she does not ask her if she wishes to go to another garage, still shocked from the accident she does not think that is not an obligation. In short, it is not very serious whatever the garage The work will be done. But arriving at the garage that clearly specifies to the assistance that they will not have a loan vehicle to offer so do not come here if the customer will need a vehicle. Obviously that I need it we work you have to be able to move the vehicle that can not drive anymore and having my pretty "tranquility" pack which has peace of mind only. The assistance responds yes there will be no worries. Hop the vehicle is deposited 50km from our home and my wife left in this garage.
Fortunately she had kept her legs in the accident she was able to do 40 km on foot. Advantage in there it allowed him to relax after this accident.
Unhappy with this adventure and telling me that it will be settled I call Direct Answer Answer MR The loan of the vehicle only intervenes once the expert report has been carried out !! I get angry for nothing because it is how it was indicated in the famous general conditions but on the other hand on their offer is not written that. In short, so I'm waiting for the expert report and we are doing while waiting.
A few days later cool the expert passed the vehicle is repairable ect. Hop I hasten to call the garage to ask them for the loan vehicle I have entitled with my pretty "tranquility" pack ... the answer mr I had clarified that I had no loan vehicle so see Have your assurance I can't do anything I had warned them. OK I so call the assistance it answers me in your contract it is not specified vehicle loan !! Well and my pack ah well we have no trace calls direct insurance ok other number.
Yes Mr You have the right to a loan vehicle with your pack !! Okay, my little lady but the garage tells me that they don't have it. Ben Mr We can not do anything except compensate you for 10 €/days of rental fees for a vehicle for repairs. I groan ect it goes at 30 € ok I will lose money but it's better than nothing and there I ask how to know the number of repair reply according to the expert the duration of the work will be 4 days so we compensate you up to 4 days. Uhhh yes except that the garage informed that there will be 3 weeks of time for the repair of the vehicle and not 4.
Ah yes in there they do not count the availability of the garage. Indeed the compensation according to the claims advisor is from the technical date of repairs. To put it simply they are based on the duration of the work and not the time of immobilization of the vehicle. If the garage is not able to do the work immediately, it is necessary to manage either cool the tranquility pack. Yet in their offer it is clearly specified a loan of the vehicle during all the durations of the work (my as I am silly according to the advisor because I do not understand the term repair). And yes it is not the duration of the work but the technical duration of the work (dixit the general conditions). This means that they are based on the duration of the work defined by the expert and not the duration that the garage will put to make your vehicle.
In short after discussion I have to share my dissatisfaction with customer services is all they can do for me.
So be careful to peel the general conditions and pay attention to the ambiguous sentences which necessarily allow us to default and allow them not to honor their service.
Note also that Direct Insurance Insurance No transfer of insurance. Indeed I ended up towing my vehicle in a garage where I could be made the loan of another. And when you want to make the insurance transfer to avoid in the event of an accident to have the € 2,000 franchise on garage insurance. The MR response under our "internal" conditions we do not practice insurance transfer. Ah yes and how we can know us when we sign the contract because not specified in these famous general conditions !! Mr made complaints ...
In short, know where you are going and what you expect certainly the prices are low but the service is just as low you have to know. And by phone you can't do much.
Thank you for taking the time to read me.</v>
      </c>
    </row>
    <row r="939" ht="15.75" customHeight="1">
      <c r="A939" s="3">
        <v>5.0</v>
      </c>
      <c r="B939" s="3" t="s">
        <v>2592</v>
      </c>
      <c r="C939" s="3" t="s">
        <v>2593</v>
      </c>
      <c r="D939" s="3" t="s">
        <v>20</v>
      </c>
      <c r="E939" s="3" t="s">
        <v>21</v>
      </c>
      <c r="F939" s="3" t="s">
        <v>15</v>
      </c>
      <c r="G939" s="3" t="s">
        <v>747</v>
      </c>
      <c r="H939" s="3" t="s">
        <v>23</v>
      </c>
      <c r="I939" s="3" t="str">
        <f>IFERROR(__xludf.DUMMYFUNCTION("GOOGLETRANSLATE(C939,""fr"",""en"")"),"Prices suit me. Implementation of the rapid contract. Listening team. I recommend for tailor -made motorcycle insurance according to my needs ...........")</f>
        <v>Prices suit me. Implementation of the rapid contract. Listening team. I recommend for tailor -made motorcycle insurance according to my needs ...........</v>
      </c>
    </row>
    <row r="940" ht="15.75" customHeight="1">
      <c r="A940" s="3">
        <v>4.0</v>
      </c>
      <c r="B940" s="3" t="s">
        <v>2594</v>
      </c>
      <c r="C940" s="3" t="s">
        <v>2595</v>
      </c>
      <c r="D940" s="3" t="s">
        <v>42</v>
      </c>
      <c r="E940" s="3" t="s">
        <v>14</v>
      </c>
      <c r="F940" s="3" t="s">
        <v>15</v>
      </c>
      <c r="G940" s="3" t="s">
        <v>528</v>
      </c>
      <c r="H940" s="3" t="s">
        <v>86</v>
      </c>
      <c r="I940" s="3" t="str">
        <f>IFERROR(__xludf.DUMMYFUNCTION("GOOGLETRANSLATE(C940,""fr"",""en"")"),"I am satisfied with the service
Everything seems correct and simple to me
I would have preferred to have an additional discount on the price of my contract
I wish to sponsor other friends from your service soon")</f>
        <v>I am satisfied with the service
Everything seems correct and simple to me
I would have preferred to have an additional discount on the price of my contract
I wish to sponsor other friends from your service soon</v>
      </c>
    </row>
    <row r="941" ht="15.75" customHeight="1">
      <c r="A941" s="3">
        <v>3.0</v>
      </c>
      <c r="B941" s="3" t="s">
        <v>2596</v>
      </c>
      <c r="C941" s="3" t="s">
        <v>2597</v>
      </c>
      <c r="D941" s="3" t="s">
        <v>20</v>
      </c>
      <c r="E941" s="3" t="s">
        <v>21</v>
      </c>
      <c r="F941" s="3" t="s">
        <v>15</v>
      </c>
      <c r="G941" s="3" t="s">
        <v>378</v>
      </c>
      <c r="H941" s="3" t="s">
        <v>23</v>
      </c>
      <c r="I941" s="3" t="str">
        <f>IFERROR(__xludf.DUMMYFUNCTION("GOOGLETRANSLATE(C941,""fr"",""en"")"),"Difficult to say I just registered me
For prices it's okay and for the site it's good and we manage to have someone on the phone
Now to see when I really need it without hoping it")</f>
        <v>Difficult to say I just registered me
For prices it's okay and for the site it's good and we manage to have someone on the phone
Now to see when I really need it without hoping it</v>
      </c>
    </row>
    <row r="942" ht="15.75" customHeight="1">
      <c r="A942" s="3">
        <v>5.0</v>
      </c>
      <c r="B942" s="3" t="s">
        <v>2598</v>
      </c>
      <c r="C942" s="3" t="s">
        <v>2599</v>
      </c>
      <c r="D942" s="3" t="s">
        <v>42</v>
      </c>
      <c r="E942" s="3" t="s">
        <v>14</v>
      </c>
      <c r="F942" s="3" t="s">
        <v>15</v>
      </c>
      <c r="G942" s="3" t="s">
        <v>513</v>
      </c>
      <c r="H942" s="3" t="s">
        <v>86</v>
      </c>
      <c r="I942" s="3" t="str">
        <f>IFERROR(__xludf.DUMMYFUNCTION("GOOGLETRANSLATE(C942,""fr"",""en"")"),"I am very satisfied with the subscription ... Listening people. Very competitive price ...
Hoping that it is the same if there is a problem ...")</f>
        <v>I am very satisfied with the subscription ... Listening people. Very competitive price ...
Hoping that it is the same if there is a problem ...</v>
      </c>
    </row>
    <row r="943" ht="15.75" customHeight="1">
      <c r="A943" s="3">
        <v>3.0</v>
      </c>
      <c r="B943" s="3" t="s">
        <v>2600</v>
      </c>
      <c r="C943" s="3" t="s">
        <v>2601</v>
      </c>
      <c r="D943" s="3" t="s">
        <v>97</v>
      </c>
      <c r="E943" s="3" t="s">
        <v>98</v>
      </c>
      <c r="F943" s="3" t="s">
        <v>15</v>
      </c>
      <c r="G943" s="3" t="s">
        <v>2188</v>
      </c>
      <c r="H943" s="3" t="s">
        <v>898</v>
      </c>
      <c r="I943" s="3" t="str">
        <f>IFERROR(__xludf.DUMMYFUNCTION("GOOGLETRANSLATE(C943,""fr"",""en"")"),"I had a mutual in 2017 and I was not satisfied either in terms of the amount of monthly payments (too expensive), or in terms of reimbursements.
In 2018 I joined Néoliane and I am satisfied at all levels (reimbursement and price of monthly payments that "&amp;"allowed me to save money).")</f>
        <v>I had a mutual in 2017 and I was not satisfied either in terms of the amount of monthly payments (too expensive), or in terms of reimbursements.
In 2018 I joined Néoliane and I am satisfied at all levels (reimbursement and price of monthly payments that allowed me to save money).</v>
      </c>
    </row>
    <row r="944" ht="15.75" customHeight="1">
      <c r="A944" s="3">
        <v>2.0</v>
      </c>
      <c r="B944" s="3" t="s">
        <v>2602</v>
      </c>
      <c r="C944" s="3" t="s">
        <v>2603</v>
      </c>
      <c r="D944" s="3" t="s">
        <v>13</v>
      </c>
      <c r="E944" s="3" t="s">
        <v>14</v>
      </c>
      <c r="F944" s="3" t="s">
        <v>15</v>
      </c>
      <c r="G944" s="3" t="s">
        <v>2604</v>
      </c>
      <c r="H944" s="3" t="s">
        <v>29</v>
      </c>
      <c r="I944" s="3" t="str">
        <f>IFERROR(__xludf.DUMMYFUNCTION("GOOGLETRANSLATE(C944,""fr"",""en"")"),"I had a puncture problem.
I called to find out if I could be taken care of, I was told no problem.
In the end, I went from service to service.
I lost 2 days and I managed on my own by paying everything.
They could be frank and say, we don't take care "&amp;"of anything, it would have made me win 2 days.
They are not pro, they probably take trainees to do the work
")</f>
        <v>I had a puncture problem.
I called to find out if I could be taken care of, I was told no problem.
In the end, I went from service to service.
I lost 2 days and I managed on my own by paying everything.
They could be frank and say, we don't take care of anything, it would have made me win 2 days.
They are not pro, they probably take trainees to do the work
</v>
      </c>
    </row>
    <row r="945" ht="15.75" customHeight="1">
      <c r="A945" s="3">
        <v>1.0</v>
      </c>
      <c r="B945" s="3" t="s">
        <v>2605</v>
      </c>
      <c r="C945" s="3" t="s">
        <v>2606</v>
      </c>
      <c r="D945" s="3" t="s">
        <v>476</v>
      </c>
      <c r="E945" s="3" t="s">
        <v>33</v>
      </c>
      <c r="F945" s="3" t="s">
        <v>15</v>
      </c>
      <c r="G945" s="3" t="s">
        <v>2607</v>
      </c>
      <c r="H945" s="3" t="s">
        <v>1261</v>
      </c>
      <c r="I945" s="3" t="str">
        <f>IFERROR(__xludf.DUMMYFUNCTION("GOOGLETRANSLATE(C945,""fr"",""en"")"),"To flee")</f>
        <v>To flee</v>
      </c>
    </row>
    <row r="946" ht="15.75" customHeight="1">
      <c r="A946" s="3">
        <v>1.0</v>
      </c>
      <c r="B946" s="3" t="s">
        <v>2608</v>
      </c>
      <c r="C946" s="3" t="s">
        <v>2609</v>
      </c>
      <c r="D946" s="3" t="s">
        <v>42</v>
      </c>
      <c r="E946" s="3" t="s">
        <v>14</v>
      </c>
      <c r="F946" s="3" t="s">
        <v>15</v>
      </c>
      <c r="G946" s="3" t="s">
        <v>243</v>
      </c>
      <c r="H946" s="3" t="s">
        <v>44</v>
      </c>
      <c r="I946" s="3" t="str">
        <f>IFERROR(__xludf.DUMMYFUNCTION("GOOGLETRANSLATE(C946,""fr"",""en"")"),"Very very disappointed with your monitoring of my sinister. The time in response (negative) was very long, no one could give me more information in the file. In addition you note me a disaster on my information statement which increases my insurance while"&amp;" you adjusted me 0 euros for this sinister for which I am not responsible.
Still customer at home but more for a long time ...")</f>
        <v>Very very disappointed with your monitoring of my sinister. The time in response (negative) was very long, no one could give me more information in the file. In addition you note me a disaster on my information statement which increases my insurance while you adjusted me 0 euros for this sinister for which I am not responsible.
Still customer at home but more for a long time ...</v>
      </c>
    </row>
    <row r="947" ht="15.75" customHeight="1">
      <c r="A947" s="3">
        <v>1.0</v>
      </c>
      <c r="B947" s="3" t="s">
        <v>2610</v>
      </c>
      <c r="C947" s="3" t="s">
        <v>2611</v>
      </c>
      <c r="D947" s="3" t="s">
        <v>716</v>
      </c>
      <c r="E947" s="3" t="s">
        <v>98</v>
      </c>
      <c r="F947" s="3" t="s">
        <v>15</v>
      </c>
      <c r="G947" s="3" t="s">
        <v>164</v>
      </c>
      <c r="H947" s="3" t="s">
        <v>165</v>
      </c>
      <c r="I947" s="3" t="str">
        <f>IFERROR(__xludf.DUMMYFUNCTION("GOOGLETRANSLATE(C947,""fr"",""en"")"),"Hell on earth. More than two months of waiting for my reimbursement. Mutual imposed by the employer otherwise that I would have deserted for a long time. I may call every week, the answers are the same ""Your requests are being processing you will be reim"&amp;"bursed within a week""
A week later, still nothing, and two months later either.
Avoid, run away, never subscribe to Mercer.
A star because compulsory but this mutual does not even deserve one.")</f>
        <v>Hell on earth. More than two months of waiting for my reimbursement. Mutual imposed by the employer otherwise that I would have deserted for a long time. I may call every week, the answers are the same "Your requests are being processing you will be reimbursed within a week"
A week later, still nothing, and two months later either.
Avoid, run away, never subscribe to Mercer.
A star because compulsory but this mutual does not even deserve one.</v>
      </c>
    </row>
    <row r="948" ht="15.75" customHeight="1">
      <c r="A948" s="3">
        <v>4.0</v>
      </c>
      <c r="B948" s="3" t="s">
        <v>2612</v>
      </c>
      <c r="C948" s="3" t="s">
        <v>2613</v>
      </c>
      <c r="D948" s="3" t="s">
        <v>20</v>
      </c>
      <c r="E948" s="3" t="s">
        <v>21</v>
      </c>
      <c r="F948" s="3" t="s">
        <v>15</v>
      </c>
      <c r="G948" s="3" t="s">
        <v>2508</v>
      </c>
      <c r="H948" s="3" t="s">
        <v>39</v>
      </c>
      <c r="I948" s="3" t="str">
        <f>IFERROR(__xludf.DUMMYFUNCTION("GOOGLETRANSLATE(C948,""fr"",""en"")"),"Pleasant and very responsive advisers (maybe a little too much, 5 calls in less than 10 minutes ...). Attractive prices compared to other insurance.")</f>
        <v>Pleasant and very responsive advisers (maybe a little too much, 5 calls in less than 10 minutes ...). Attractive prices compared to other insurance.</v>
      </c>
    </row>
    <row r="949" ht="15.75" customHeight="1">
      <c r="A949" s="3">
        <v>4.0</v>
      </c>
      <c r="B949" s="3" t="s">
        <v>2614</v>
      </c>
      <c r="C949" s="3" t="s">
        <v>2615</v>
      </c>
      <c r="D949" s="3" t="s">
        <v>466</v>
      </c>
      <c r="E949" s="3" t="s">
        <v>14</v>
      </c>
      <c r="F949" s="3" t="s">
        <v>15</v>
      </c>
      <c r="G949" s="3" t="s">
        <v>2616</v>
      </c>
      <c r="H949" s="3" t="s">
        <v>360</v>
      </c>
      <c r="I949" s="3" t="str">
        <f>IFERROR(__xludf.DUMMYFUNCTION("GOOGLETRANSLATE(C949,""fr"",""en"")"),"After 32 years, assures the Matmut, I can only express my satisfaction both on the follow -up of files during claims, the rapidity of the answers and the quality of the contacts with agency employees as well as in the seat.")</f>
        <v>After 32 years, assures the Matmut, I can only express my satisfaction both on the follow -up of files during claims, the rapidity of the answers and the quality of the contacts with agency employees as well as in the seat.</v>
      </c>
    </row>
    <row r="950" ht="15.75" customHeight="1">
      <c r="A950" s="3">
        <v>1.0</v>
      </c>
      <c r="B950" s="3" t="s">
        <v>2617</v>
      </c>
      <c r="C950" s="3" t="s">
        <v>2618</v>
      </c>
      <c r="D950" s="3" t="s">
        <v>227</v>
      </c>
      <c r="E950" s="3" t="s">
        <v>98</v>
      </c>
      <c r="F950" s="3" t="s">
        <v>15</v>
      </c>
      <c r="G950" s="3" t="s">
        <v>260</v>
      </c>
      <c r="H950" s="3" t="s">
        <v>165</v>
      </c>
      <c r="I950" s="3" t="str">
        <f>IFERROR(__xludf.DUMMYFUNCTION("GOOGLETRANSLATE(C950,""fr"",""en"")"),"To flee since January I have taken hearing aids the social security to be reimbursed on 04/14/2021 for more than a month I have been waiting for the reimbursement of my device taken 100% by the CEGEMA mutual")</f>
        <v>To flee since January I have taken hearing aids the social security to be reimbursed on 04/14/2021 for more than a month I have been waiting for the reimbursement of my device taken 100% by the CEGEMA mutual</v>
      </c>
    </row>
    <row r="951" ht="15.75" customHeight="1">
      <c r="A951" s="3">
        <v>5.0</v>
      </c>
      <c r="B951" s="3" t="s">
        <v>2619</v>
      </c>
      <c r="C951" s="3" t="s">
        <v>2620</v>
      </c>
      <c r="D951" s="3" t="s">
        <v>42</v>
      </c>
      <c r="E951" s="3" t="s">
        <v>14</v>
      </c>
      <c r="F951" s="3" t="s">
        <v>15</v>
      </c>
      <c r="G951" s="3" t="s">
        <v>2621</v>
      </c>
      <c r="H951" s="3" t="s">
        <v>86</v>
      </c>
      <c r="I951" s="3" t="str">
        <f>IFERROR(__xludf.DUMMYFUNCTION("GOOGLETRANSLATE(C951,""fr"",""en"")"),"I am very satisfied with contacts with Direct Insurance
clear response of the advisor, good explanation, it's perfect
Good advice for different options")</f>
        <v>I am very satisfied with contacts with Direct Insurance
clear response of the advisor, good explanation, it's perfect
Good advice for different options</v>
      </c>
    </row>
    <row r="952" ht="15.75" customHeight="1">
      <c r="A952" s="3">
        <v>2.0</v>
      </c>
      <c r="B952" s="3" t="s">
        <v>2622</v>
      </c>
      <c r="C952" s="3" t="s">
        <v>2623</v>
      </c>
      <c r="D952" s="3" t="s">
        <v>466</v>
      </c>
      <c r="E952" s="3" t="s">
        <v>14</v>
      </c>
      <c r="F952" s="3" t="s">
        <v>15</v>
      </c>
      <c r="G952" s="3" t="s">
        <v>2624</v>
      </c>
      <c r="H952" s="3" t="s">
        <v>60</v>
      </c>
      <c r="I952" s="3" t="str">
        <f>IFERROR(__xludf.DUMMYFUNCTION("GOOGLETRANSLATE(C952,""fr"",""en"")"),"To be terminated all his insurance contracts (all were taken out at home) after 15 years of contributions because it was not appreciated in the Matmut that I start to yell while I am still waiting for the repair of My SDB door, following water damage and "&amp;"after 15 months of waiting ... (still not repaired at the moment) they are strong in the Matmut and above all they do not need customers! Do not waste your time entering an agency! Go see elsewhere ...")</f>
        <v>To be terminated all his insurance contracts (all were taken out at home) after 15 years of contributions because it was not appreciated in the Matmut that I start to yell while I am still waiting for the repair of My SDB door, following water damage and after 15 months of waiting ... (still not repaired at the moment) they are strong in the Matmut and above all they do not need customers! Do not waste your time entering an agency! Go see elsewhere ...</v>
      </c>
    </row>
    <row r="953" ht="15.75" customHeight="1">
      <c r="A953" s="3">
        <v>2.0</v>
      </c>
      <c r="B953" s="3" t="s">
        <v>2625</v>
      </c>
      <c r="C953" s="3" t="s">
        <v>2626</v>
      </c>
      <c r="D953" s="3" t="s">
        <v>32</v>
      </c>
      <c r="E953" s="3" t="s">
        <v>14</v>
      </c>
      <c r="F953" s="3" t="s">
        <v>15</v>
      </c>
      <c r="G953" s="3" t="s">
        <v>2627</v>
      </c>
      <c r="H953" s="3" t="s">
        <v>149</v>
      </c>
      <c r="I953" s="3" t="str">
        <f>IFERROR(__xludf.DUMMYFUNCTION("GOOGLETRANSLATE(C953,""fr"",""en"")"),"Be careful if you take out a contract at GMF: a advice after two claims responsible or not: leave the GMF because in the 3rd they will terminate you with 50% bonuses.")</f>
        <v>Be careful if you take out a contract at GMF: a advice after two claims responsible or not: leave the GMF because in the 3rd they will terminate you with 50% bonuses.</v>
      </c>
    </row>
    <row r="954" ht="15.75" customHeight="1">
      <c r="A954" s="3">
        <v>5.0</v>
      </c>
      <c r="B954" s="3" t="s">
        <v>2628</v>
      </c>
      <c r="C954" s="3" t="s">
        <v>2629</v>
      </c>
      <c r="D954" s="3" t="s">
        <v>13</v>
      </c>
      <c r="E954" s="3" t="s">
        <v>14</v>
      </c>
      <c r="F954" s="3" t="s">
        <v>15</v>
      </c>
      <c r="G954" s="3" t="s">
        <v>152</v>
      </c>
      <c r="H954" s="3" t="s">
        <v>86</v>
      </c>
      <c r="I954" s="3" t="str">
        <f>IFERROR(__xludf.DUMMYFUNCTION("GOOGLETRANSLATE(C954,""fr"",""en"")"),"The ease of exchanges from the customer account.
Responsiveness from my request.
Competitive prices and the choice of formulas and the speed of subscription.
")</f>
        <v>The ease of exchanges from the customer account.
Responsiveness from my request.
Competitive prices and the choice of formulas and the speed of subscription.
</v>
      </c>
    </row>
    <row r="955" ht="15.75" customHeight="1">
      <c r="A955" s="3">
        <v>2.0</v>
      </c>
      <c r="B955" s="3" t="s">
        <v>2630</v>
      </c>
      <c r="C955" s="3" t="s">
        <v>2631</v>
      </c>
      <c r="D955" s="3" t="s">
        <v>32</v>
      </c>
      <c r="E955" s="3" t="s">
        <v>33</v>
      </c>
      <c r="F955" s="3" t="s">
        <v>15</v>
      </c>
      <c r="G955" s="3" t="s">
        <v>2632</v>
      </c>
      <c r="H955" s="3" t="s">
        <v>169</v>
      </c>
      <c r="I955" s="3" t="str">
        <f>IFERROR(__xludf.DUMMYFUNCTION("GOOGLETRANSLATE(C955,""fr"",""en"")"),"To flee in the event of a claim no follow -up")</f>
        <v>To flee in the event of a claim no follow -up</v>
      </c>
    </row>
    <row r="956" ht="15.75" customHeight="1">
      <c r="A956" s="3">
        <v>4.0</v>
      </c>
      <c r="B956" s="3" t="s">
        <v>2633</v>
      </c>
      <c r="C956" s="3" t="s">
        <v>2634</v>
      </c>
      <c r="D956" s="3" t="s">
        <v>13</v>
      </c>
      <c r="E956" s="3" t="s">
        <v>14</v>
      </c>
      <c r="F956" s="3" t="s">
        <v>15</v>
      </c>
      <c r="G956" s="3" t="s">
        <v>2635</v>
      </c>
      <c r="H956" s="3" t="s">
        <v>165</v>
      </c>
      <c r="I956" s="3" t="str">
        <f>IFERROR(__xludf.DUMMYFUNCTION("GOOGLETRANSLATE(C956,""fr"",""en"")"),"I am satisfied with the service. All the steps are simple and clearly explained.
The advisor who enlightened me for the procedures to follow was very friendly and professional.")</f>
        <v>I am satisfied with the service. All the steps are simple and clearly explained.
The advisor who enlightened me for the procedures to follow was very friendly and professional.</v>
      </c>
    </row>
    <row r="957" ht="15.75" customHeight="1">
      <c r="A957" s="3">
        <v>1.0</v>
      </c>
      <c r="B957" s="3" t="s">
        <v>2636</v>
      </c>
      <c r="C957" s="3" t="s">
        <v>2637</v>
      </c>
      <c r="D957" s="3" t="s">
        <v>182</v>
      </c>
      <c r="E957" s="3" t="s">
        <v>98</v>
      </c>
      <c r="F957" s="3" t="s">
        <v>15</v>
      </c>
      <c r="G957" s="3" t="s">
        <v>307</v>
      </c>
      <c r="H957" s="3" t="s">
        <v>35</v>
      </c>
      <c r="I957" s="3" t="str">
        <f>IFERROR(__xludf.DUMMYFUNCTION("GOOGLETRANSLATE(C957,""fr"",""en"")"),"Mutual which has unfortunately become very bad")</f>
        <v>Mutual which has unfortunately become very bad</v>
      </c>
    </row>
    <row r="958" ht="15.75" customHeight="1">
      <c r="A958" s="3">
        <v>1.0</v>
      </c>
      <c r="B958" s="3" t="s">
        <v>2638</v>
      </c>
      <c r="C958" s="3" t="s">
        <v>2639</v>
      </c>
      <c r="D958" s="3" t="s">
        <v>251</v>
      </c>
      <c r="E958" s="3" t="s">
        <v>311</v>
      </c>
      <c r="F958" s="3" t="s">
        <v>15</v>
      </c>
      <c r="G958" s="3" t="s">
        <v>575</v>
      </c>
      <c r="H958" s="3" t="s">
        <v>75</v>
      </c>
      <c r="I958" s="3" t="str">
        <f>IFERROR(__xludf.DUMMYFUNCTION("GOOGLETRANSLATE(C958,""fr"",""en"")"),"In 2013, I signed a loan insurance contract at the meadows of Cardif through multi -impact intermediary. Anxious to be well protected, I have subscribed the maximum guarantee to 100% of my meadows. In 2017 I made a violent burnout which leaves important c"&amp;"onsequences to date, we believe ourselves infallible and that it only happens to others. Today I find myself in category 2 disability, I receive an email indicating that they continue the payments of the services and then once they have received the docum"&amp;"ents are delighted (3 months have passed!) And send me a doctor Expert who endeavors to see if there is not a possible exclusion, he asked me quite bizarre questions but in no case on my real state and my intellectual capacities which are clearly reduced,"&amp;" the maintenance has Duration 30 minutes, how can we judge in if can be time? In the end Cardif does not apply his contract and supports partial and non -total disability. Another proof that insurers make sure to pay only the minimum and do not respect th"&amp;"eir contract. I wouldn’t let myself be done, I have initiated legal proceedings to gain their case.
So if, you have the choice of the insurer do not take cardif or you have excellent legal protection because they will get out of it to find exclusions tha"&amp;"t are not or explain to you how you go from their compensation! In short, flee !!!!! I sent a complaint to Cardif of course they responded next to it!")</f>
        <v>In 2013, I signed a loan insurance contract at the meadows of Cardif through multi -impact intermediary. Anxious to be well protected, I have subscribed the maximum guarantee to 100% of my meadows. In 2017 I made a violent burnout which leaves important consequences to date, we believe ourselves infallible and that it only happens to others. Today I find myself in category 2 disability, I receive an email indicating that they continue the payments of the services and then once they have received the documents are delighted (3 months have passed!) And send me a doctor Expert who endeavors to see if there is not a possible exclusion, he asked me quite bizarre questions but in no case on my real state and my intellectual capacities which are clearly reduced, the maintenance has Duration 30 minutes, how can we judge in if can be time? In the end Cardif does not apply his contract and supports partial and non -total disability. Another proof that insurers make sure to pay only the minimum and do not respect their contract. I wouldn’t let myself be done, I have initiated legal proceedings to gain their case.
So if, you have the choice of the insurer do not take cardif or you have excellent legal protection because they will get out of it to find exclusions that are not or explain to you how you go from their compensation! In short, flee !!!!! I sent a complaint to Cardif of course they responded next to it!</v>
      </c>
    </row>
    <row r="959" ht="15.75" customHeight="1">
      <c r="A959" s="3">
        <v>3.0</v>
      </c>
      <c r="B959" s="3" t="s">
        <v>2640</v>
      </c>
      <c r="C959" s="3" t="s">
        <v>2641</v>
      </c>
      <c r="D959" s="3" t="s">
        <v>55</v>
      </c>
      <c r="E959" s="3" t="s">
        <v>14</v>
      </c>
      <c r="F959" s="3" t="s">
        <v>15</v>
      </c>
      <c r="G959" s="3" t="s">
        <v>2642</v>
      </c>
      <c r="H959" s="3" t="s">
        <v>184</v>
      </c>
      <c r="I959" s="3" t="str">
        <f>IFERROR(__xludf.DUMMYFUNCTION("GOOGLETRANSLATE(C959,""fr"",""en"")"),"Am very disappointed with the contradictory information that I received and the lack of listening in particular of the management service when I tried to explain myself in order to find a solution and a commercial gesture !! The regulations suddenly took "&amp;"over and the doors of communication closed.
")</f>
        <v>Am very disappointed with the contradictory information that I received and the lack of listening in particular of the management service when I tried to explain myself in order to find a solution and a commercial gesture !! The regulations suddenly took over and the doors of communication closed.
</v>
      </c>
    </row>
    <row r="960" ht="15.75" customHeight="1">
      <c r="A960" s="3">
        <v>1.0</v>
      </c>
      <c r="B960" s="3" t="s">
        <v>2643</v>
      </c>
      <c r="C960" s="3" t="s">
        <v>2644</v>
      </c>
      <c r="D960" s="3" t="s">
        <v>42</v>
      </c>
      <c r="E960" s="3" t="s">
        <v>14</v>
      </c>
      <c r="F960" s="3" t="s">
        <v>15</v>
      </c>
      <c r="G960" s="3" t="s">
        <v>575</v>
      </c>
      <c r="H960" s="3" t="s">
        <v>75</v>
      </c>
      <c r="I960" s="3" t="str">
        <f>IFERROR(__xludf.DUMMYFUNCTION("GOOGLETRANSLATE(C960,""fr"",""en"")"),"Hello I was very satisfied on the first 2 year and the third it increased me by 61 euro for no reason and I am as much as possible from my bonus.
")</f>
        <v>Hello I was very satisfied on the first 2 year and the third it increased me by 61 euro for no reason and I am as much as possible from my bonus.
</v>
      </c>
    </row>
    <row r="961" ht="15.75" customHeight="1">
      <c r="A961" s="3">
        <v>2.0</v>
      </c>
      <c r="B961" s="3" t="s">
        <v>2645</v>
      </c>
      <c r="C961" s="3" t="s">
        <v>2646</v>
      </c>
      <c r="D961" s="3" t="s">
        <v>20</v>
      </c>
      <c r="E961" s="3" t="s">
        <v>21</v>
      </c>
      <c r="F961" s="3" t="s">
        <v>15</v>
      </c>
      <c r="G961" s="3" t="s">
        <v>1511</v>
      </c>
      <c r="H961" s="3" t="s">
        <v>17</v>
      </c>
      <c r="I961" s="3" t="str">
        <f>IFERROR(__xludf.DUMMYFUNCTION("GOOGLETRANSLATE(C961,""fr"",""en"")"),"A little expensive for a motorcycle to consider GT and non -sporting and I would have liked a gesture as a customer because otherwise I will leave next year for on")</f>
        <v>A little expensive for a motorcycle to consider GT and non -sporting and I would have liked a gesture as a customer because otherwise I will leave next year for on</v>
      </c>
    </row>
    <row r="962" ht="15.75" customHeight="1">
      <c r="A962" s="3">
        <v>4.0</v>
      </c>
      <c r="B962" s="3" t="s">
        <v>2647</v>
      </c>
      <c r="C962" s="3" t="s">
        <v>2648</v>
      </c>
      <c r="D962" s="3" t="s">
        <v>13</v>
      </c>
      <c r="E962" s="3" t="s">
        <v>14</v>
      </c>
      <c r="F962" s="3" t="s">
        <v>15</v>
      </c>
      <c r="G962" s="3" t="s">
        <v>155</v>
      </c>
      <c r="H962" s="3" t="s">
        <v>39</v>
      </c>
      <c r="I962" s="3" t="str">
        <f>IFERROR(__xludf.DUMMYFUNCTION("GOOGLETRANSLATE(C962,""fr"",""en"")"),"I am satisfied with the service
simple and practical
Different options available
personalized service
takes into account several consumer profile
")</f>
        <v>I am satisfied with the service
simple and practical
Different options available
personalized service
takes into account several consumer profile
</v>
      </c>
    </row>
    <row r="963" ht="15.75" customHeight="1">
      <c r="A963" s="3">
        <v>5.0</v>
      </c>
      <c r="B963" s="3" t="s">
        <v>2649</v>
      </c>
      <c r="C963" s="3" t="s">
        <v>2650</v>
      </c>
      <c r="D963" s="3" t="s">
        <v>13</v>
      </c>
      <c r="E963" s="3" t="s">
        <v>14</v>
      </c>
      <c r="F963" s="3" t="s">
        <v>15</v>
      </c>
      <c r="G963" s="3" t="s">
        <v>137</v>
      </c>
      <c r="H963" s="3" t="s">
        <v>23</v>
      </c>
      <c r="I963" s="3" t="str">
        <f>IFERROR(__xludf.DUMMYFUNCTION("GOOGLETRANSLATE(C963,""fr"",""en"")"),"Very satisfied, an impeccable service, the prices are very affordable, the advisers very attentive that it continues, good continuation to all")</f>
        <v>Very satisfied, an impeccable service, the prices are very affordable, the advisers very attentive that it continues, good continuation to all</v>
      </c>
    </row>
    <row r="964" ht="15.75" customHeight="1">
      <c r="A964" s="3">
        <v>1.0</v>
      </c>
      <c r="B964" s="3" t="s">
        <v>2651</v>
      </c>
      <c r="C964" s="3" t="s">
        <v>2652</v>
      </c>
      <c r="D964" s="3" t="s">
        <v>466</v>
      </c>
      <c r="E964" s="3" t="s">
        <v>14</v>
      </c>
      <c r="F964" s="3" t="s">
        <v>15</v>
      </c>
      <c r="G964" s="3" t="s">
        <v>2653</v>
      </c>
      <c r="H964" s="3" t="s">
        <v>551</v>
      </c>
      <c r="I964" s="3" t="str">
        <f>IFERROR(__xludf.DUMMYFUNCTION("GOOGLETRANSLATE(C964,""fr"",""en"")")," 
Beautiful brochure!
Beautiful lyrics !
But at what times do you apply what you promise: after 50 years of membership, mom had 2 alone and unique car accidents between 2018-2017 for which she was not responsible…. BUT …. Amazingly, you have struck it "&amp;"off from your car insurance !!! A strange example of a concern for proximity to your members, moreover is one of the oldest !!!
Yes, you are right: ""The company moves, Matmut accompanies it"" ... Indeed the Matmut has accompanied my mother, a member for"&amp;" 57 years, towards the ejection !!! Bravo la Matmut !!! , Future Society, Hi!
")</f>
        <v> 
Beautiful brochure!
Beautiful lyrics !
But at what times do you apply what you promise: after 50 years of membership, mom had 2 alone and unique car accidents between 2018-2017 for which she was not responsible…. BUT …. Amazingly, you have struck it off from your car insurance !!! A strange example of a concern for proximity to your members, moreover is one of the oldest !!!
Yes, you are right: "The company moves, Matmut accompanies it" ... Indeed the Matmut has accompanied my mother, a member for 57 years, towards the ejection !!! Bravo la Matmut !!! , Future Society, Hi!
</v>
      </c>
    </row>
    <row r="965" ht="15.75" customHeight="1">
      <c r="A965" s="3">
        <v>4.0</v>
      </c>
      <c r="B965" s="3" t="s">
        <v>2654</v>
      </c>
      <c r="C965" s="3" t="s">
        <v>2655</v>
      </c>
      <c r="D965" s="3" t="s">
        <v>13</v>
      </c>
      <c r="E965" s="3" t="s">
        <v>14</v>
      </c>
      <c r="F965" s="3" t="s">
        <v>15</v>
      </c>
      <c r="G965" s="3" t="s">
        <v>378</v>
      </c>
      <c r="H965" s="3" t="s">
        <v>23</v>
      </c>
      <c r="I965" s="3" t="str">
        <f>IFERROR(__xludf.DUMMYFUNCTION("GOOGLETRANSLATE(C965,""fr"",""en"")"),"Satisfied with the olive tree, simple effective practice. The prices are correct. The quote is done online with clarity, site very well explained and good return to this insurer.")</f>
        <v>Satisfied with the olive tree, simple effective practice. The prices are correct. The quote is done online with clarity, site very well explained and good return to this insurer.</v>
      </c>
    </row>
    <row r="966" ht="15.75" customHeight="1">
      <c r="A966" s="3">
        <v>1.0</v>
      </c>
      <c r="B966" s="3" t="s">
        <v>2656</v>
      </c>
      <c r="C966" s="3" t="s">
        <v>2657</v>
      </c>
      <c r="D966" s="3" t="s">
        <v>2658</v>
      </c>
      <c r="E966" s="3" t="s">
        <v>194</v>
      </c>
      <c r="F966" s="3" t="s">
        <v>15</v>
      </c>
      <c r="G966" s="3" t="s">
        <v>2659</v>
      </c>
      <c r="H966" s="3" t="s">
        <v>105</v>
      </c>
      <c r="I966" s="3" t="str">
        <f>IFERROR(__xludf.DUMMYFUNCTION("GOOGLETRANSLATE(C966,""fr"",""en"")"),"My father holds a pension contract which has come to an end since February 1.
He contributed for 20 years to have a good sum for his old days.
However, he has still not touched the slightest penny, and it is not for lack of asking what he is entitled .."&amp;".
Despite 3 emails that have remained unanswered (while Gan France boasts of answering in 48 hours ...), 2 calls to say that they send a letter with the balance of the contract, he has never received anything!
It will be 2 months that it lasts, if it is"&amp;" not to make fun of the world, it is that they are really incompetent.
What should we do to recover what we have entitled and contributed for years, take legal action?
To sell insurance, they know how to welcome customers with open arms, but to make wha"&amp;"t we are entitled to, there is no one left! No sign of life!
Really scandalous as a practice ....")</f>
        <v>My father holds a pension contract which has come to an end since February 1.
He contributed for 20 years to have a good sum for his old days.
However, he has still not touched the slightest penny, and it is not for lack of asking what he is entitled ...
Despite 3 emails that have remained unanswered (while Gan France boasts of answering in 48 hours ...), 2 calls to say that they send a letter with the balance of the contract, he has never received anything!
It will be 2 months that it lasts, if it is not to make fun of the world, it is that they are really incompetent.
What should we do to recover what we have entitled and contributed for years, take legal action?
To sell insurance, they know how to welcome customers with open arms, but to make what we are entitled to, there is no one left! No sign of life!
Really scandalous as a practice ....</v>
      </c>
    </row>
    <row r="967" ht="15.75" customHeight="1">
      <c r="A967" s="3">
        <v>4.0</v>
      </c>
      <c r="B967" s="3" t="s">
        <v>2660</v>
      </c>
      <c r="C967" s="3" t="s">
        <v>2661</v>
      </c>
      <c r="D967" s="3" t="s">
        <v>42</v>
      </c>
      <c r="E967" s="3" t="s">
        <v>14</v>
      </c>
      <c r="F967" s="3" t="s">
        <v>15</v>
      </c>
      <c r="G967" s="3" t="s">
        <v>348</v>
      </c>
      <c r="H967" s="3" t="s">
        <v>44</v>
      </c>
      <c r="I967" s="3" t="str">
        <f>IFERROR(__xludf.DUMMYFUNCTION("GOOGLETRANSLATE(C967,""fr"",""en"")"),"Simple, efficient, easier to be joint and quote to be validated on the site very simply. I had left Direct Insurance and I am delighted to return home.")</f>
        <v>Simple, efficient, easier to be joint and quote to be validated on the site very simply. I had left Direct Insurance and I am delighted to return home.</v>
      </c>
    </row>
    <row r="968" ht="15.75" customHeight="1">
      <c r="A968" s="3">
        <v>5.0</v>
      </c>
      <c r="B968" s="3" t="s">
        <v>2662</v>
      </c>
      <c r="C968" s="3" t="s">
        <v>2663</v>
      </c>
      <c r="D968" s="3" t="s">
        <v>13</v>
      </c>
      <c r="E968" s="3" t="s">
        <v>14</v>
      </c>
      <c r="F968" s="3" t="s">
        <v>15</v>
      </c>
      <c r="G968" s="3" t="s">
        <v>1204</v>
      </c>
      <c r="H968" s="3" t="s">
        <v>115</v>
      </c>
      <c r="I968" s="3" t="str">
        <f>IFERROR(__xludf.DUMMYFUNCTION("GOOGLETRANSLATE(C968,""fr"",""en"")"),"I had an excellent contact with Maxime,
He was very patient, very pleasant, and very reassuring because it is my first car insurance as a main driver.
It was very picky and precise which allowed me to have insurance at a very attractive price despite my"&amp;" recent accident.
I thank him infinitely")</f>
        <v>I had an excellent contact with Maxime,
He was very patient, very pleasant, and very reassuring because it is my first car insurance as a main driver.
It was very picky and precise which allowed me to have insurance at a very attractive price despite my recent accident.
I thank him infinitely</v>
      </c>
    </row>
    <row r="969" ht="15.75" customHeight="1">
      <c r="A969" s="3">
        <v>1.0</v>
      </c>
      <c r="B969" s="3" t="s">
        <v>2664</v>
      </c>
      <c r="C969" s="3" t="s">
        <v>2665</v>
      </c>
      <c r="D969" s="3" t="s">
        <v>704</v>
      </c>
      <c r="E969" s="3" t="s">
        <v>27</v>
      </c>
      <c r="F969" s="3" t="s">
        <v>15</v>
      </c>
      <c r="G969" s="3" t="s">
        <v>2666</v>
      </c>
      <c r="H969" s="3" t="s">
        <v>35</v>
      </c>
      <c r="I969" s="3" t="str">
        <f>IFERROR(__xludf.DUMMYFUNCTION("GOOGLETRANSLATE(C969,""fr"",""en"")"),"Hello,
Following the death of my father who was a member of AFER and held a life insurance contract, I wanted to inform you of the attachment of our family concerning the succession service.
We informed AFER of its death almost 6 months ago, in Octo"&amp;"ber 2019.
Subsequently, we sent 9 recovery emails.
We have called the standard 14 times.
We moved 4 times at the headquarters of 36 rue de Châteaudun, 75009 Paris.
We sent 2 letters recommended to the headquarters.
And we still have no informatio"&amp;"n as to the processing of our file, the latter being identified as complete for a time limited to the 30 days provided for by law.
In the coming days, we will be brought to pay the inheritance costs, and have the need to have these funds.
Beyond the"&amp;" fact that it is not legal to prevent the beneficiaries from exercising their rights beyond 30 days - with regard to the Eckert law - my family will be in an extremely delicate position vis -à -vis the tax administration if nothing is done.
This is why"&amp;" we want to make known the deplorable treatment that AFER reserves for mourning families.
It is unacceptable to act in this way with the relatives of the deceased members of AFER, who live a difficult period.")</f>
        <v>Hello,
Following the death of my father who was a member of AFER and held a life insurance contract, I wanted to inform you of the attachment of our family concerning the succession service.
We informed AFER of its death almost 6 months ago, in October 2019.
Subsequently, we sent 9 recovery emails.
We have called the standard 14 times.
We moved 4 times at the headquarters of 36 rue de Châteaudun, 75009 Paris.
We sent 2 letters recommended to the headquarters.
And we still have no information as to the processing of our file, the latter being identified as complete for a time limited to the 30 days provided for by law.
In the coming days, we will be brought to pay the inheritance costs, and have the need to have these funds.
Beyond the fact that it is not legal to prevent the beneficiaries from exercising their rights beyond 30 days - with regard to the Eckert law - my family will be in an extremely delicate position vis -à -vis the tax administration if nothing is done.
This is why we want to make known the deplorable treatment that AFER reserves for mourning families.
It is unacceptable to act in this way with the relatives of the deceased members of AFER, who live a difficult period.</v>
      </c>
    </row>
    <row r="970" ht="15.75" customHeight="1">
      <c r="A970" s="3">
        <v>3.0</v>
      </c>
      <c r="B970" s="3" t="s">
        <v>2667</v>
      </c>
      <c r="C970" s="3" t="s">
        <v>2668</v>
      </c>
      <c r="D970" s="3" t="s">
        <v>251</v>
      </c>
      <c r="E970" s="3" t="s">
        <v>27</v>
      </c>
      <c r="F970" s="3" t="s">
        <v>15</v>
      </c>
      <c r="G970" s="3" t="s">
        <v>2669</v>
      </c>
      <c r="H970" s="3" t="s">
        <v>270</v>
      </c>
      <c r="I970" s="3" t="str">
        <f>IFERROR(__xludf.DUMMYFUNCTION("GOOGLETRANSLATE(C970,""fr"",""en"")"),"Cardif Ass Life apparently in liquidation ... taken up by BNP / Hello Bank ... All irresponsible letter Rec mail fax and mediator have been doing nothing for 6 months impossible to manage 80,000 euros more internet access ... Veritable nuisances for the S"&amp;"avings ... Cardif becomes deficked and referring to Hello Bank customer service an unreachable tangou and which never reminds me !!!")</f>
        <v>Cardif Ass Life apparently in liquidation ... taken up by BNP / Hello Bank ... All irresponsible letter Rec mail fax and mediator have been doing nothing for 6 months impossible to manage 80,000 euros more internet access ... Veritable nuisances for the Savings ... Cardif becomes deficked and referring to Hello Bank customer service an unreachable tangou and which never reminds me !!!</v>
      </c>
    </row>
    <row r="971" ht="15.75" customHeight="1">
      <c r="A971" s="3">
        <v>4.0</v>
      </c>
      <c r="B971" s="3" t="s">
        <v>2670</v>
      </c>
      <c r="C971" s="3" t="s">
        <v>2671</v>
      </c>
      <c r="D971" s="3" t="s">
        <v>42</v>
      </c>
      <c r="E971" s="3" t="s">
        <v>14</v>
      </c>
      <c r="F971" s="3" t="s">
        <v>15</v>
      </c>
      <c r="G971" s="3" t="s">
        <v>2672</v>
      </c>
      <c r="H971" s="3" t="s">
        <v>23</v>
      </c>
      <c r="I971" s="3" t="str">
        <f>IFERROR(__xludf.DUMMYFUNCTION("GOOGLETRANSLATE(C971,""fr"",""en"")"),"I am satisfied but I expect details for the rest of my contract: date of receipt box you drive etc, installation methods etc. It is not very clear for the future")</f>
        <v>I am satisfied but I expect details for the rest of my contract: date of receipt box you drive etc, installation methods etc. It is not very clear for the future</v>
      </c>
    </row>
    <row r="972" ht="15.75" customHeight="1">
      <c r="A972" s="3">
        <v>5.0</v>
      </c>
      <c r="B972" s="3" t="s">
        <v>2673</v>
      </c>
      <c r="C972" s="3" t="s">
        <v>2674</v>
      </c>
      <c r="D972" s="3" t="s">
        <v>13</v>
      </c>
      <c r="E972" s="3" t="s">
        <v>14</v>
      </c>
      <c r="F972" s="3" t="s">
        <v>15</v>
      </c>
      <c r="G972" s="3" t="s">
        <v>223</v>
      </c>
      <c r="H972" s="3" t="s">
        <v>224</v>
      </c>
      <c r="I972" s="3" t="str">
        <f>IFERROR(__xludf.DUMMYFUNCTION("GOOGLETRANSLATE(C972,""fr"",""en"")"),"I was very well received on the phone and good advice.
Very good and competitive prices and converts. Hoping to be able to secure my motorcycle with you perfectly!")</f>
        <v>I was very well received on the phone and good advice.
Very good and competitive prices and converts. Hoping to be able to secure my motorcycle with you perfectly!</v>
      </c>
    </row>
    <row r="973" ht="15.75" customHeight="1">
      <c r="A973" s="3">
        <v>2.0</v>
      </c>
      <c r="B973" s="3" t="s">
        <v>2675</v>
      </c>
      <c r="C973" s="3" t="s">
        <v>2676</v>
      </c>
      <c r="D973" s="3" t="s">
        <v>97</v>
      </c>
      <c r="E973" s="3" t="s">
        <v>98</v>
      </c>
      <c r="F973" s="3" t="s">
        <v>15</v>
      </c>
      <c r="G973" s="3" t="s">
        <v>2677</v>
      </c>
      <c r="H973" s="3" t="s">
        <v>60</v>
      </c>
      <c r="I973" s="3" t="str">
        <f>IFERROR(__xludf.DUMMYFUNCTION("GOOGLETRANSLATE(C973,""fr"",""en"")"),"I wanted to terminate because I have the CMU has been entitled to the month of November he send me a Courier that he stops the mutual and since he has always taken after several calls he walks me and yesterday he returns a letter by which the mutual is Bo"&amp;"ard that February 28 which makes me take 3 months for nothing and they want to hear anything very decu from this mutual I would not take it after my CMU")</f>
        <v>I wanted to terminate because I have the CMU has been entitled to the month of November he send me a Courier that he stops the mutual and since he has always taken after several calls he walks me and yesterday he returns a letter by which the mutual is Board that February 28 which makes me take 3 months for nothing and they want to hear anything very decu from this mutual I would not take it after my CMU</v>
      </c>
    </row>
    <row r="974" ht="15.75" customHeight="1">
      <c r="A974" s="3">
        <v>4.0</v>
      </c>
      <c r="B974" s="3" t="s">
        <v>2678</v>
      </c>
      <c r="C974" s="3" t="s">
        <v>2679</v>
      </c>
      <c r="D974" s="3" t="s">
        <v>175</v>
      </c>
      <c r="E974" s="3" t="s">
        <v>98</v>
      </c>
      <c r="F974" s="3" t="s">
        <v>15</v>
      </c>
      <c r="G974" s="3" t="s">
        <v>2680</v>
      </c>
      <c r="H974" s="3" t="s">
        <v>66</v>
      </c>
      <c r="I974" s="3" t="str">
        <f>IFERROR(__xludf.DUMMYFUNCTION("GOOGLETRANSLATE(C974,""fr"",""en"")"),"The prices are higher than these competitors, but the reimbursements are rapid. We can always call them, they are polite and available. I can almost adjust everything on their site (request for care, sending documents ...). 3
")</f>
        <v>The prices are higher than these competitors, but the reimbursements are rapid. We can always call them, they are polite and available. I can almost adjust everything on their site (request for care, sending documents ...). 3
</v>
      </c>
    </row>
    <row r="975" ht="15.75" customHeight="1">
      <c r="A975" s="3">
        <v>1.0</v>
      </c>
      <c r="B975" s="3" t="s">
        <v>2681</v>
      </c>
      <c r="C975" s="3" t="s">
        <v>2682</v>
      </c>
      <c r="D975" s="3" t="s">
        <v>13</v>
      </c>
      <c r="E975" s="3" t="s">
        <v>14</v>
      </c>
      <c r="F975" s="3" t="s">
        <v>15</v>
      </c>
      <c r="G975" s="3" t="s">
        <v>2683</v>
      </c>
      <c r="H975" s="3" t="s">
        <v>119</v>
      </c>
      <c r="I975" s="3" t="str">
        <f>IFERROR(__xludf.DUMMYFUNCTION("GOOGLETRANSLATE(C975,""fr"",""en"")"),"New customer for a few weeks, I got fooled. I explain to the telephone advisor that I have had a company car for 11 years, he brings me a contract with a bonus at 0.5. He made me pay in one go, to say, to benefit from an additional reduction. The followin"&amp;"g week after sending my information statement from my company, another advisor announces that in their commercial conditions customers having a company car, automatically the bonus is 0.76. They take me without my agreement 300 € more on my account. I had"&amp;" two different advisers, none told me this commercial clause. They push for sale and lie on commercial conditions.
                                                                                                                                       "&amp;"                     ")</f>
        <v>New customer for a few weeks, I got fooled. I explain to the telephone advisor that I have had a company car for 11 years, he brings me a contract with a bonus at 0.5. He made me pay in one go, to say, to benefit from an additional reduction. The following week after sending my information statement from my company, another advisor announces that in their commercial conditions customers having a company car, automatically the bonus is 0.76. They take me without my agreement 300 € more on my account. I had two different advisers, none told me this commercial clause. They push for sale and lie on commercial conditions.
                                                                                                                                                            </v>
      </c>
    </row>
    <row r="976" ht="15.75" customHeight="1">
      <c r="A976" s="3">
        <v>1.0</v>
      </c>
      <c r="B976" s="3" t="s">
        <v>2684</v>
      </c>
      <c r="C976" s="3" t="s">
        <v>2685</v>
      </c>
      <c r="D976" s="3" t="s">
        <v>1207</v>
      </c>
      <c r="E976" s="3" t="s">
        <v>98</v>
      </c>
      <c r="F976" s="3" t="s">
        <v>15</v>
      </c>
      <c r="G976" s="3" t="s">
        <v>2441</v>
      </c>
      <c r="H976" s="3" t="s">
        <v>429</v>
      </c>
      <c r="I976" s="3" t="str">
        <f>IFERROR(__xludf.DUMMYFUNCTION("GOOGLETRANSLATE(C976,""fr"",""en"")"),"It has been more than a month since I have an orthodontic reimbursement after several calls I am told that we received nothing (I have their email of reception confirmation) no invoices here we have to wait again 25 days more for To be reimbursed, (alread"&amp;"y waiting for 25 days for a refund is just a shame).
Basically AG2R is really unacapable.
Cordially.")</f>
        <v>It has been more than a month since I have an orthodontic reimbursement after several calls I am told that we received nothing (I have their email of reception confirmation) no invoices here we have to wait again 25 days more for To be reimbursed, (already waiting for 25 days for a refund is just a shame).
Basically AG2R is really unacapable.
Cordially.</v>
      </c>
    </row>
    <row r="977" ht="15.75" customHeight="1">
      <c r="A977" s="3">
        <v>5.0</v>
      </c>
      <c r="B977" s="3" t="s">
        <v>2686</v>
      </c>
      <c r="C977" s="3" t="s">
        <v>2687</v>
      </c>
      <c r="D977" s="3" t="s">
        <v>13</v>
      </c>
      <c r="E977" s="3" t="s">
        <v>14</v>
      </c>
      <c r="F977" s="3" t="s">
        <v>15</v>
      </c>
      <c r="G977" s="3" t="s">
        <v>747</v>
      </c>
      <c r="H977" s="3" t="s">
        <v>23</v>
      </c>
      <c r="I977" s="3" t="str">
        <f>IFERROR(__xludf.DUMMYFUNCTION("GOOGLETRANSLATE(C977,""fr"",""en"")"),"Very satisfied by the telephonic welcome and the simplicity of the site and by the prices proposed in relation to the competition I will easily recommend to my friends")</f>
        <v>Very satisfied by the telephonic welcome and the simplicity of the site and by the prices proposed in relation to the competition I will easily recommend to my friends</v>
      </c>
    </row>
    <row r="978" ht="15.75" customHeight="1">
      <c r="A978" s="3">
        <v>1.0</v>
      </c>
      <c r="B978" s="3" t="s">
        <v>2688</v>
      </c>
      <c r="C978" s="3" t="s">
        <v>2689</v>
      </c>
      <c r="D978" s="3" t="s">
        <v>42</v>
      </c>
      <c r="E978" s="3" t="s">
        <v>14</v>
      </c>
      <c r="F978" s="3" t="s">
        <v>15</v>
      </c>
      <c r="G978" s="3" t="s">
        <v>2690</v>
      </c>
      <c r="H978" s="3" t="s">
        <v>91</v>
      </c>
      <c r="I978" s="3" t="str">
        <f>IFERROR(__xludf.DUMMYFUNCTION("GOOGLETRANSLATE(C978,""fr"",""en"")"),"Direct Assurances attracts new customers and increases its prices by more than 12% without a declaration of a claim after a year when I had sent them a new customer in sponsorship
")</f>
        <v>Direct Assurances attracts new customers and increases its prices by more than 12% without a declaration of a claim after a year when I had sent them a new customer in sponsorship
</v>
      </c>
    </row>
    <row r="979" ht="15.75" customHeight="1">
      <c r="A979" s="3">
        <v>4.0</v>
      </c>
      <c r="B979" s="3" t="s">
        <v>2691</v>
      </c>
      <c r="C979" s="3" t="s">
        <v>2692</v>
      </c>
      <c r="D979" s="3" t="s">
        <v>97</v>
      </c>
      <c r="E979" s="3" t="s">
        <v>98</v>
      </c>
      <c r="F979" s="3" t="s">
        <v>15</v>
      </c>
      <c r="G979" s="3" t="s">
        <v>756</v>
      </c>
      <c r="H979" s="3" t="s">
        <v>39</v>
      </c>
      <c r="I979" s="3" t="str">
        <f>IFERROR(__xludf.DUMMYFUNCTION("GOOGLETRANSLATE(C979,""fr"",""en"")"),"Very good contact with Lamia in customer service! I am at the very beginning of the registration for this mutual. Now rapidity in reimbursements. I would see for LZ dental coverage ...")</f>
        <v>Very good contact with Lamia in customer service! I am at the very beginning of the registration for this mutual. Now rapidity in reimbursements. I would see for LZ dental coverage ...</v>
      </c>
    </row>
    <row r="980" ht="15.75" customHeight="1">
      <c r="A980" s="3">
        <v>5.0</v>
      </c>
      <c r="B980" s="3" t="s">
        <v>2693</v>
      </c>
      <c r="C980" s="3" t="s">
        <v>2694</v>
      </c>
      <c r="D980" s="3" t="s">
        <v>13</v>
      </c>
      <c r="E980" s="3" t="s">
        <v>14</v>
      </c>
      <c r="F980" s="3" t="s">
        <v>15</v>
      </c>
      <c r="G980" s="3" t="s">
        <v>972</v>
      </c>
      <c r="H980" s="3" t="s">
        <v>165</v>
      </c>
      <c r="I980" s="3" t="str">
        <f>IFERROR(__xludf.DUMMYFUNCTION("GOOGLETRANSLATE(C980,""fr"",""en"")"),"Value for money nothing to redire
The advisers are
He advises us a lot
Very attentive
Do nothing
It's very nice I was a little lost he helped me a lot
")</f>
        <v>Value for money nothing to redire
The advisers are
He advises us a lot
Very attentive
Do nothing
It's very nice I was a little lost he helped me a lot
</v>
      </c>
    </row>
    <row r="981" ht="15.75" customHeight="1">
      <c r="A981" s="3">
        <v>3.0</v>
      </c>
      <c r="B981" s="3" t="s">
        <v>2695</v>
      </c>
      <c r="C981" s="3" t="s">
        <v>2696</v>
      </c>
      <c r="D981" s="3" t="s">
        <v>42</v>
      </c>
      <c r="E981" s="3" t="s">
        <v>14</v>
      </c>
      <c r="F981" s="3" t="s">
        <v>15</v>
      </c>
      <c r="G981" s="3" t="s">
        <v>2045</v>
      </c>
      <c r="H981" s="3" t="s">
        <v>253</v>
      </c>
      <c r="I981" s="3" t="str">
        <f>IFERROR(__xludf.DUMMYFUNCTION("GOOGLETRANSLATE(C981,""fr"",""en"")"),"I find it a little expensive compared to other quotes offered elsewhere for all -risk insurance, there are 35 euros in differences anyway it is not negligible.")</f>
        <v>I find it a little expensive compared to other quotes offered elsewhere for all -risk insurance, there are 35 euros in differences anyway it is not negligible.</v>
      </c>
    </row>
    <row r="982" ht="15.75" customHeight="1">
      <c r="A982" s="3">
        <v>1.0</v>
      </c>
      <c r="B982" s="3" t="s">
        <v>2697</v>
      </c>
      <c r="C982" s="3" t="s">
        <v>2698</v>
      </c>
      <c r="D982" s="3" t="s">
        <v>47</v>
      </c>
      <c r="E982" s="3" t="s">
        <v>14</v>
      </c>
      <c r="F982" s="3" t="s">
        <v>15</v>
      </c>
      <c r="G982" s="3" t="s">
        <v>2699</v>
      </c>
      <c r="H982" s="3" t="s">
        <v>17</v>
      </c>
      <c r="I982" s="3" t="str">
        <f>IFERROR(__xludf.DUMMYFUNCTION("GOOGLETRANSLATE(C982,""fr"",""en"")"),"I am really disappointed I had a breakdown in the middle of a roundabout, I call the assistance service at 7 am to make a convenience store coming. Until 8 am no trace of the convenience store, I remind them at 9 a.m. they tell me that the convenience sto"&amp;"re arrives and has 1oh still no convenience store when I have to go to my work. I have been in the rain for more than 2 hours speed and quality of service not top.")</f>
        <v>I am really disappointed I had a breakdown in the middle of a roundabout, I call the assistance service at 7 am to make a convenience store coming. Until 8 am no trace of the convenience store, I remind them at 9 a.m. they tell me that the convenience store arrives and has 1oh still no convenience store when I have to go to my work. I have been in the rain for more than 2 hours speed and quality of service not top.</v>
      </c>
    </row>
    <row r="983" ht="15.75" customHeight="1">
      <c r="A983" s="3">
        <v>1.0</v>
      </c>
      <c r="B983" s="3" t="s">
        <v>2700</v>
      </c>
      <c r="C983" s="3" t="s">
        <v>2701</v>
      </c>
      <c r="D983" s="3" t="s">
        <v>42</v>
      </c>
      <c r="E983" s="3" t="s">
        <v>14</v>
      </c>
      <c r="F983" s="3" t="s">
        <v>15</v>
      </c>
      <c r="G983" s="3" t="s">
        <v>2702</v>
      </c>
      <c r="H983" s="3" t="s">
        <v>439</v>
      </c>
      <c r="I983" s="3" t="str">
        <f>IFERROR(__xludf.DUMMYFUNCTION("GOOGLETRANSLATE(C983,""fr"",""en"")"),"Be careful these are incapacitated, inconception, it is better to pay a little more expensive than to secure at home, you have to display them on the whole net ,. Car breakdown in Spain, big hassle in full sun because unable to find us a vehicle, ""I tell"&amp;" this bad adventure the next time on social networks and now following a fire on my vehicle, I am told that I am of my law.")</f>
        <v>Be careful these are incapacitated, inconception, it is better to pay a little more expensive than to secure at home, you have to display them on the whole net ,. Car breakdown in Spain, big hassle in full sun because unable to find us a vehicle, "I tell this bad adventure the next time on social networks and now following a fire on my vehicle, I am told that I am of my law.</v>
      </c>
    </row>
    <row r="984" ht="15.75" customHeight="1">
      <c r="A984" s="3">
        <v>4.0</v>
      </c>
      <c r="B984" s="3" t="s">
        <v>2703</v>
      </c>
      <c r="C984" s="3" t="s">
        <v>2704</v>
      </c>
      <c r="D984" s="3" t="s">
        <v>20</v>
      </c>
      <c r="E984" s="3" t="s">
        <v>21</v>
      </c>
      <c r="F984" s="3" t="s">
        <v>15</v>
      </c>
      <c r="G984" s="3" t="s">
        <v>546</v>
      </c>
      <c r="H984" s="3" t="s">
        <v>39</v>
      </c>
      <c r="I984" s="3" t="str">
        <f>IFERROR(__xludf.DUMMYFUNCTION("GOOGLETRANSLATE(C984,""fr"",""en"")"),"The service to guide us is very effective, and the price is attractive, the ease of paying are incredible blablabla which is true is just the beginning
")</f>
        <v>The service to guide us is very effective, and the price is attractive, the ease of paying are incredible blablabla which is true is just the beginning
</v>
      </c>
    </row>
    <row r="985" ht="15.75" customHeight="1">
      <c r="A985" s="3">
        <v>3.0</v>
      </c>
      <c r="B985" s="3" t="s">
        <v>2705</v>
      </c>
      <c r="C985" s="3" t="s">
        <v>2706</v>
      </c>
      <c r="D985" s="3" t="s">
        <v>32</v>
      </c>
      <c r="E985" s="3" t="s">
        <v>14</v>
      </c>
      <c r="F985" s="3" t="s">
        <v>15</v>
      </c>
      <c r="G985" s="3" t="s">
        <v>908</v>
      </c>
      <c r="H985" s="3" t="s">
        <v>75</v>
      </c>
      <c r="I985" s="3" t="str">
        <f>IFERROR(__xludf.DUMMYFUNCTION("GOOGLETRANSLATE(C985,""fr"",""en"")"),"not satisfied with the price ..
For quite a few years at home.
Woman, children all insured at home therefore not normal that the price for the new vehicle is so high.")</f>
        <v>not satisfied with the price ..
For quite a few years at home.
Woman, children all insured at home therefore not normal that the price for the new vehicle is so high.</v>
      </c>
    </row>
    <row r="986" ht="15.75" customHeight="1">
      <c r="A986" s="3">
        <v>5.0</v>
      </c>
      <c r="B986" s="3" t="s">
        <v>2707</v>
      </c>
      <c r="C986" s="3" t="s">
        <v>2708</v>
      </c>
      <c r="D986" s="3" t="s">
        <v>42</v>
      </c>
      <c r="E986" s="3" t="s">
        <v>14</v>
      </c>
      <c r="F986" s="3" t="s">
        <v>15</v>
      </c>
      <c r="G986" s="3" t="s">
        <v>608</v>
      </c>
      <c r="H986" s="3" t="s">
        <v>75</v>
      </c>
      <c r="I986" s="3" t="str">
        <f>IFERROR(__xludf.DUMMYFUNCTION("GOOGLETRANSLATE(C986,""fr"",""en"")"),"Hello, I am satisfied with car insurance, the only thing that is really a shame is that there is no customer service reachable by phone.
Cordially")</f>
        <v>Hello, I am satisfied with car insurance, the only thing that is really a shame is that there is no customer service reachable by phone.
Cordially</v>
      </c>
    </row>
    <row r="987" ht="15.75" customHeight="1">
      <c r="A987" s="3">
        <v>4.0</v>
      </c>
      <c r="B987" s="3" t="s">
        <v>2709</v>
      </c>
      <c r="C987" s="3" t="s">
        <v>2710</v>
      </c>
      <c r="D987" s="3" t="s">
        <v>13</v>
      </c>
      <c r="E987" s="3" t="s">
        <v>14</v>
      </c>
      <c r="F987" s="3" t="s">
        <v>15</v>
      </c>
      <c r="G987" s="3" t="s">
        <v>2711</v>
      </c>
      <c r="H987" s="3" t="s">
        <v>29</v>
      </c>
      <c r="I987" s="3" t="str">
        <f>IFERROR(__xludf.DUMMYFUNCTION("GOOGLETRANSLATE(C987,""fr"",""en"")"),"Very good customer service, I mean by that that in the event of a claim with your vehicle The insurance is attentive, very responsive (less than 48 hours to process the request) and the care of the car for repairs it's great.
Excellent quality/price rati"&amp;"o!")</f>
        <v>Very good customer service, I mean by that that in the event of a claim with your vehicle The insurance is attentive, very responsive (less than 48 hours to process the request) and the care of the car for repairs it's great.
Excellent quality/price ratio!</v>
      </c>
    </row>
    <row r="988" ht="15.75" customHeight="1">
      <c r="A988" s="3">
        <v>1.0</v>
      </c>
      <c r="B988" s="3" t="s">
        <v>2712</v>
      </c>
      <c r="C988" s="3" t="s">
        <v>2713</v>
      </c>
      <c r="D988" s="3" t="s">
        <v>476</v>
      </c>
      <c r="E988" s="3" t="s">
        <v>109</v>
      </c>
      <c r="F988" s="3" t="s">
        <v>15</v>
      </c>
      <c r="G988" s="3" t="s">
        <v>2714</v>
      </c>
      <c r="H988" s="3" t="s">
        <v>52</v>
      </c>
      <c r="I988" s="3" t="str">
        <f>IFERROR(__xludf.DUMMYFUNCTION("GOOGLETRANSLATE(C988,""fr"",""en"")"),"Insurance to flee necessarily, Crédit Mutuel sells you the insurance and when needing to be reimbursed for endlessly ending, endless expectations on the phone, pleasant limits and finally supporting quantities to provide.
You discover that depending on t"&amp;"he dog breeds the reimbursements are not made and you do not know during the sale.
I feel cheated and deceived by Crédit Mutuel who benefits from his customers.
Flee this insurance overpriced and which only reimburses randomly.
Doubly lost money, the p"&amp;"rice of insurance and the price of veto costs")</f>
        <v>Insurance to flee necessarily, Crédit Mutuel sells you the insurance and when needing to be reimbursed for endlessly ending, endless expectations on the phone, pleasant limits and finally supporting quantities to provide.
You discover that depending on the dog breeds the reimbursements are not made and you do not know during the sale.
I feel cheated and deceived by Crédit Mutuel who benefits from his customers.
Flee this insurance overpriced and which only reimburses randomly.
Doubly lost money, the price of insurance and the price of veto costs</v>
      </c>
    </row>
    <row r="989" ht="15.75" customHeight="1">
      <c r="A989" s="3">
        <v>2.0</v>
      </c>
      <c r="B989" s="3" t="s">
        <v>2715</v>
      </c>
      <c r="C989" s="3" t="s">
        <v>2716</v>
      </c>
      <c r="D989" s="3" t="s">
        <v>214</v>
      </c>
      <c r="E989" s="3" t="s">
        <v>98</v>
      </c>
      <c r="F989" s="3" t="s">
        <v>15</v>
      </c>
      <c r="G989" s="3" t="s">
        <v>1386</v>
      </c>
      <c r="H989" s="3" t="s">
        <v>23</v>
      </c>
      <c r="I989" s="3" t="str">
        <f>IFERROR(__xludf.DUMMYFUNCTION("GOOGLETRANSLATE(C989,""fr"",""en"")"),"I have always been properly insured at home and I had never had to complain.
For 1 year, I have gone to my compulsory business mutual; So I applied for termination. 1 year later, what was my surprise to see that it relaunches samples from the provident h"&amp;"ospital protection! I learn this day that during my request for termination a year ago, this could not be terminated at the same time. In no case did I inform me of this thing, I end up with samples against my sandstone for another 6 months !!!! Not profe"&amp;"ssional at all, all that to scratch money! From communication to customers is the basis! How to be disgusted.")</f>
        <v>I have always been properly insured at home and I had never had to complain.
For 1 year, I have gone to my compulsory business mutual; So I applied for termination. 1 year later, what was my surprise to see that it relaunches samples from the provident hospital protection! I learn this day that during my request for termination a year ago, this could not be terminated at the same time. In no case did I inform me of this thing, I end up with samples against my sandstone for another 6 months !!!! Not professional at all, all that to scratch money! From communication to customers is the basis! How to be disgusted.</v>
      </c>
    </row>
    <row r="990" ht="15.75" customHeight="1">
      <c r="A990" s="3">
        <v>4.0</v>
      </c>
      <c r="B990" s="3" t="s">
        <v>2717</v>
      </c>
      <c r="C990" s="3" t="s">
        <v>2718</v>
      </c>
      <c r="D990" s="3" t="s">
        <v>42</v>
      </c>
      <c r="E990" s="3" t="s">
        <v>14</v>
      </c>
      <c r="F990" s="3" t="s">
        <v>15</v>
      </c>
      <c r="G990" s="3" t="s">
        <v>835</v>
      </c>
      <c r="H990" s="3" t="s">
        <v>86</v>
      </c>
      <c r="I990" s="3" t="str">
        <f>IFERROR(__xludf.DUMMYFUNCTION("GOOGLETRANSLATE(C990,""fr"",""en"")"),"Satisfied, hoping to maintain my opinion. Very welcome telephone and the conditions seem correct.
very satisfied with the reduction linked to sponsorship")</f>
        <v>Satisfied, hoping to maintain my opinion. Very welcome telephone and the conditions seem correct.
very satisfied with the reduction linked to sponsorship</v>
      </c>
    </row>
    <row r="991" ht="15.75" customHeight="1">
      <c r="A991" s="3">
        <v>1.0</v>
      </c>
      <c r="B991" s="3" t="s">
        <v>2719</v>
      </c>
      <c r="C991" s="3" t="s">
        <v>2720</v>
      </c>
      <c r="D991" s="3" t="s">
        <v>32</v>
      </c>
      <c r="E991" s="3" t="s">
        <v>14</v>
      </c>
      <c r="F991" s="3" t="s">
        <v>15</v>
      </c>
      <c r="G991" s="3" t="s">
        <v>118</v>
      </c>
      <c r="H991" s="3" t="s">
        <v>119</v>
      </c>
      <c r="I991" s="3" t="str">
        <f>IFERROR(__xludf.DUMMYFUNCTION("GOOGLETRANSLATE(C991,""fr"",""en"")"),"Avant I will not recommend, I will make a deplorable advertisement. I have already done so I explain the research refusal of guarantee, and the customer call where the advisor who spoke an approximate Frenchman was at the limit of contempt")</f>
        <v>Avant I will not recommend, I will make a deplorable advertisement. I have already done so I explain the research refusal of guarantee, and the customer call where the advisor who spoke an approximate Frenchman was at the limit of contempt</v>
      </c>
    </row>
    <row r="992" ht="15.75" customHeight="1">
      <c r="A992" s="3">
        <v>4.0</v>
      </c>
      <c r="B992" s="3" t="s">
        <v>2721</v>
      </c>
      <c r="C992" s="3" t="s">
        <v>2722</v>
      </c>
      <c r="D992" s="3" t="s">
        <v>310</v>
      </c>
      <c r="E992" s="3" t="s">
        <v>311</v>
      </c>
      <c r="F992" s="3" t="s">
        <v>15</v>
      </c>
      <c r="G992" s="3" t="s">
        <v>2723</v>
      </c>
      <c r="H992" s="3" t="s">
        <v>91</v>
      </c>
      <c r="I992" s="3" t="str">
        <f>IFERROR(__xludf.DUMMYFUNCTION("GOOGLETRANSLATE(C992,""fr"",""en"")"),"Advised our listening and very responsive. Comes back to us to give us information quickly, takes the time to explain things to us.
Just it is a shame that compared to the weight and size of my husband the price increased by 2000 euros while in other org"&amp;"anizations this information did not even ask us")</f>
        <v>Advised our listening and very responsive. Comes back to us to give us information quickly, takes the time to explain things to us.
Just it is a shame that compared to the weight and size of my husband the price increased by 2000 euros while in other organizations this information did not even ask us</v>
      </c>
    </row>
    <row r="993" ht="15.75" customHeight="1">
      <c r="A993" s="3">
        <v>1.0</v>
      </c>
      <c r="B993" s="3" t="s">
        <v>2724</v>
      </c>
      <c r="C993" s="3" t="s">
        <v>2725</v>
      </c>
      <c r="D993" s="3" t="s">
        <v>246</v>
      </c>
      <c r="E993" s="3" t="s">
        <v>33</v>
      </c>
      <c r="F993" s="3" t="s">
        <v>15</v>
      </c>
      <c r="G993" s="3" t="s">
        <v>779</v>
      </c>
      <c r="H993" s="3" t="s">
        <v>23</v>
      </c>
      <c r="I993" s="3" t="str">
        <f>IFERROR(__xludf.DUMMYFUNCTION("GOOGLETRANSLATE(C993,""fr"",""en"")"),"Hi there,
Axa has just struck again.
Victim of a disaster and very badly reimbursed. It tells you to make an Axa boycott !!! And to do everything to prevent future insured! Mail to: Mr. MENDY73@yahoo.com
That's enough it is doing something.")</f>
        <v>Hi there,
Axa has just struck again.
Victim of a disaster and very badly reimbursed. It tells you to make an Axa boycott !!! And to do everything to prevent future insured! Mail to: Mr. MENDY73@yahoo.com
That's enough it is doing something.</v>
      </c>
    </row>
    <row r="994" ht="15.75" customHeight="1">
      <c r="A994" s="3">
        <v>4.0</v>
      </c>
      <c r="B994" s="3" t="s">
        <v>2726</v>
      </c>
      <c r="C994" s="3" t="s">
        <v>2727</v>
      </c>
      <c r="D994" s="3" t="s">
        <v>47</v>
      </c>
      <c r="E994" s="3" t="s">
        <v>14</v>
      </c>
      <c r="F994" s="3" t="s">
        <v>15</v>
      </c>
      <c r="G994" s="3" t="s">
        <v>2728</v>
      </c>
      <c r="H994" s="3" t="s">
        <v>165</v>
      </c>
      <c r="I994" s="3" t="str">
        <f>IFERROR(__xludf.DUMMYFUNCTION("GOOGLETRANSLATE(C994,""fr"",""en"")"),"Super care during disaster - fast and not in advance of expenses - serious people - provided at all risk at home since 2016. I recommend")</f>
        <v>Super care during disaster - fast and not in advance of expenses - serious people - provided at all risk at home since 2016. I recommend</v>
      </c>
    </row>
    <row r="995" ht="15.75" customHeight="1">
      <c r="A995" s="3">
        <v>1.0</v>
      </c>
      <c r="B995" s="3" t="s">
        <v>2729</v>
      </c>
      <c r="C995" s="3" t="s">
        <v>2730</v>
      </c>
      <c r="D995" s="3" t="s">
        <v>81</v>
      </c>
      <c r="E995" s="3" t="s">
        <v>14</v>
      </c>
      <c r="F995" s="3" t="s">
        <v>15</v>
      </c>
      <c r="G995" s="3" t="s">
        <v>2731</v>
      </c>
      <c r="H995" s="3" t="s">
        <v>294</v>
      </c>
      <c r="I995" s="3" t="str">
        <f>IFERROR(__xludf.DUMMYFUNCTION("GOOGLETRANSLATE(C995,""fr"",""en"")"),"Member at the Macif.
I had a sinister caused by hail on my 3 vehicles (Mazda CX-5, Opel Mokka, Renault Clio) on 07/15/2018. 2 went into expertise via platform on 08/2/2018. As for the Clio she will see the expert on 09/12/2018 (2 months later)
To date a"&amp;"fter presentation of my vehicles in their respective garage (Opel and Mazda) to identify the damage and compare with the expert report! It's flat calm! nothing moves !
I let you imagine as to the continuation to give concerning my contracts with the Maci"&amp;"f which are in numbers of 9.
They do not even have the delicacy to respond to enamels sent to their site.
Dated 05/09/2018 My vehicles are still not planned for their repair and they are at my home.
Mazda is a new vehicle! 2000 km!
The Mokka is a 4 -y"&amp;"ear -old vehicle 13,000 km! ( nine )")</f>
        <v>Member at the Macif.
I had a sinister caused by hail on my 3 vehicles (Mazda CX-5, Opel Mokka, Renault Clio) on 07/15/2018. 2 went into expertise via platform on 08/2/2018. As for the Clio she will see the expert on 09/12/2018 (2 months later)
To date after presentation of my vehicles in their respective garage (Opel and Mazda) to identify the damage and compare with the expert report! It's flat calm! nothing moves !
I let you imagine as to the continuation to give concerning my contracts with the Macif which are in numbers of 9.
They do not even have the delicacy to respond to enamels sent to their site.
Dated 05/09/2018 My vehicles are still not planned for their repair and they are at my home.
Mazda is a new vehicle! 2000 km!
The Mokka is a 4 -year -old vehicle 13,000 km! ( nine )</v>
      </c>
    </row>
    <row r="996" ht="15.75" customHeight="1">
      <c r="A996" s="3">
        <v>4.0</v>
      </c>
      <c r="B996" s="3" t="s">
        <v>2732</v>
      </c>
      <c r="C996" s="3" t="s">
        <v>2733</v>
      </c>
      <c r="D996" s="3" t="s">
        <v>13</v>
      </c>
      <c r="E996" s="3" t="s">
        <v>14</v>
      </c>
      <c r="F996" s="3" t="s">
        <v>15</v>
      </c>
      <c r="G996" s="3" t="s">
        <v>187</v>
      </c>
      <c r="H996" s="3" t="s">
        <v>23</v>
      </c>
      <c r="I996" s="3" t="str">
        <f>IFERROR(__xludf.DUMMYFUNCTION("GOOGLETRANSLATE(C996,""fr"",""en"")"),"Very effective in obtaining a quote with competitive prices and many interesting options. I recommend the olive assurance to all drivers!")</f>
        <v>Very effective in obtaining a quote with competitive prices and many interesting options. I recommend the olive assurance to all drivers!</v>
      </c>
    </row>
    <row r="997" ht="15.75" customHeight="1">
      <c r="A997" s="3">
        <v>4.0</v>
      </c>
      <c r="B997" s="3" t="s">
        <v>2734</v>
      </c>
      <c r="C997" s="3" t="s">
        <v>2735</v>
      </c>
      <c r="D997" s="3" t="s">
        <v>13</v>
      </c>
      <c r="E997" s="3" t="s">
        <v>14</v>
      </c>
      <c r="F997" s="3" t="s">
        <v>15</v>
      </c>
      <c r="G997" s="3" t="s">
        <v>2311</v>
      </c>
      <c r="H997" s="3" t="s">
        <v>165</v>
      </c>
      <c r="I997" s="3" t="str">
        <f>IFERROR(__xludf.DUMMYFUNCTION("GOOGLETRANSLATE(C997,""fr"",""en"")"),"good interpersonal skills .Prix and well -place service. Information to follow in time in terms of file management.")</f>
        <v>good interpersonal skills .Prix and well -place service. Information to follow in time in terms of file management.</v>
      </c>
    </row>
    <row r="998" ht="15.75" customHeight="1">
      <c r="A998" s="3">
        <v>3.0</v>
      </c>
      <c r="B998" s="3" t="s">
        <v>2736</v>
      </c>
      <c r="C998" s="3" t="s">
        <v>2737</v>
      </c>
      <c r="D998" s="3" t="s">
        <v>42</v>
      </c>
      <c r="E998" s="3" t="s">
        <v>14</v>
      </c>
      <c r="F998" s="3" t="s">
        <v>15</v>
      </c>
      <c r="G998" s="3" t="s">
        <v>2738</v>
      </c>
      <c r="H998" s="3" t="s">
        <v>506</v>
      </c>
      <c r="I998" s="3" t="str">
        <f>IFERROR(__xludf.DUMMYFUNCTION("GOOGLETRANSLATE(C998,""fr"",""en"")"),"Quite satisfied I would like to pay a little less
Practical site, hoping that in the event of problems everything goes well because no one in front of us for the rules")</f>
        <v>Quite satisfied I would like to pay a little less
Practical site, hoping that in the event of problems everything goes well because no one in front of us for the rules</v>
      </c>
    </row>
    <row r="999" ht="15.75" customHeight="1">
      <c r="A999" s="3">
        <v>2.0</v>
      </c>
      <c r="B999" s="3" t="s">
        <v>2739</v>
      </c>
      <c r="C999" s="3" t="s">
        <v>2740</v>
      </c>
      <c r="D999" s="3" t="s">
        <v>674</v>
      </c>
      <c r="E999" s="3" t="s">
        <v>194</v>
      </c>
      <c r="F999" s="3" t="s">
        <v>15</v>
      </c>
      <c r="G999" s="3" t="s">
        <v>2741</v>
      </c>
      <c r="H999" s="3" t="s">
        <v>56</v>
      </c>
      <c r="I999" s="3" t="str">
        <f>IFERROR(__xludf.DUMMYFUNCTION("GOOGLETRANSLATE(C999,""fr"",""en"")"),"I live in Morocco and I ask by mail the partial redemption of my life insurance. 15 days after telephone reminder (10 minutes of waiting) The mail has arrived but the transfer is not made. Faced with my insistence I need my money quickly the same laconic "&amp;"response ""I transmit to the manager"". Impossible to reach this manager except .... in writing! Conclusion I have to borrow from a friend while waiting for my transfer. I had exactly the same problem in June 2017")</f>
        <v>I live in Morocco and I ask by mail the partial redemption of my life insurance. 15 days after telephone reminder (10 minutes of waiting) The mail has arrived but the transfer is not made. Faced with my insistence I need my money quickly the same laconic response "I transmit to the manager". Impossible to reach this manager except .... in writing! Conclusion I have to borrow from a friend while waiting for my transfer. I had exactly the same problem in June 2017</v>
      </c>
    </row>
    <row r="1000" ht="15.75" customHeight="1">
      <c r="A1000" s="3">
        <v>1.0</v>
      </c>
      <c r="B1000" s="3" t="s">
        <v>2742</v>
      </c>
      <c r="C1000" s="3" t="s">
        <v>2743</v>
      </c>
      <c r="D1000" s="3" t="s">
        <v>509</v>
      </c>
      <c r="E1000" s="3" t="s">
        <v>33</v>
      </c>
      <c r="F1000" s="3" t="s">
        <v>15</v>
      </c>
      <c r="G1000" s="3" t="s">
        <v>969</v>
      </c>
      <c r="H1000" s="3" t="s">
        <v>17</v>
      </c>
      <c r="I1000" s="3" t="str">
        <f>IFERROR(__xludf.DUMMYFUNCTION("GOOGLETRANSLATE(C1000,""fr"",""en"")"),"Before signing at the maaf so read this:
We have subscribed to a home insurance contract for a house purchased on July 20, 2021 - and have subscribed to the option ""Legal protection for hidden defects; Because it was an option that ""protected us"" ac"&amp;"cording to the sales of the salesperson.
From the first night spent in the house, we underwent a flood following a thunderstorm, we declared a claim following this.
An expert moved. In the meantime we have suffered a second water damage following a se"&amp;"cond thunderstorm.
We reported a second claim to insurance without declaring the slightest damage and activated legal protection.
Following the passage of the expert, and a specialized building professional, is concluded that a drain must be placed "&amp;"at the back of the house without which we will have repeated floods.
At the beginning of September and following the reception of the expert's report, the Maaf of Roanne contacts us and indicates to us by voice message ""I have not known for how long y"&amp;"ou have the house, or even if it is a house or a Apartment (...) But we were solving your contract ”.
I contact the maaf, the advisor tells me that it is not normal as a decision and ""that it is the serpent who bites his tail [...] the decision had to"&amp;" be taken without knowledge of the file"" because we have activity Legal protection and reported the suspicion of hidden defect barely 15 days after purchase.
Following my call we have an agency meeting the next day with the director. The Maaf agency h"&amp;"as not had an agency director for 1 year. An official held this position, we were therefore received by an advisor.
She takes the time to listen to us and tells us that she will defend our file with the agency manager. Despite everything, the advisor i"&amp;"ndicates enormities of the style ""in any case the home insurance is not compulsory"".
Awaiting a final response from the MAAF concerning our file, legal protection informs me of the steps to follow and does not understand the decision of the unilate"&amp;"ral termination of the contract which it deems ""precipitated and abnormal"".
A week later and still without news I contact the agency, an advisor tells me ""The decision is not normal you did what it was necessary, we will find a solution""
The sam"&amp;"e evening (Thursday September 8, 2021) the agency manager contacted me and leaves me a message for more than 3 minutes indicating me ""that his employees could not explain the situation to me (these are the only ones to have attempted to help me!) And tha"&amp;"t it was following the expert's report that he had decided to terminate my contract ""that I will not find any other insurance (...) but that he would take me back With pleasure from the works when the work is carried out and there will be no more risks ”"&amp;".
 I had provided the agency an annex to the sales contract indicating that I was not in a flood zone + the company's quote for the completion of the drain concerning the work that I will carry out.
Following listening to this message I contacted the "&amp;"agency, an advisor told me that the way I was treated was scandalous and opened a complaint. No return to this day!
To date I have found cheaper home insurance and with better protection. I terminated my car contracts, but again the maaf has shown an a"&amp;"stonishing honesty:
When subscribing to my home contract and the MAAF succeeded without my realizing it to have a provident contract independent of the housing contract for the amount of € 160. Obviously I cannot terminate this contract before December"&amp;" because it is independent of the home contract. Being amazed on the phone, I am indicated that for a subscription to online home insurance, we generally indicate ""orally"" that this contract is subscribed!
It is therefore explained to me that I am ra"&amp;"diated from my home contract but that the provident contract undertaken in a very ""borderline"" manner is not canceled despite my complaint.
They had to remind me this afternoon to tell me more about the date of payment of my disaster ""La MAAF undert"&amp;"akes within 30 days to reimburse you""! I was not remembered!
There are no doubts it is the maaf that I prefer!")</f>
        <v>Before signing at the maaf so read this:
We have subscribed to a home insurance contract for a house purchased on July 20, 2021 - and have subscribed to the option "Legal protection for hidden defects; Because it was an option that "protected us" according to the sales of the salesperson.
From the first night spent in the house, we underwent a flood following a thunderstorm, we declared a claim following this.
An expert moved. In the meantime we have suffered a second water damage following a second thunderstorm.
We reported a second claim to insurance without declaring the slightest damage and activated legal protection.
Following the passage of the expert, and a specialized building professional, is concluded that a drain must be placed at the back of the house without which we will have repeated floods.
At the beginning of September and following the reception of the expert's report, the Maaf of Roanne contacts us and indicates to us by voice message "I have not known for how long you have the house, or even if it is a house or a Apartment (...) But we were solving your contract ”.
I contact the maaf, the advisor tells me that it is not normal as a decision and "that it is the serpent who bites his tail [...] the decision had to be taken without knowledge of the file" because we have activity Legal protection and reported the suspicion of hidden defect barely 15 days after purchase.
Following my call we have an agency meeting the next day with the director. The Maaf agency has not had an agency director for 1 year. An official held this position, we were therefore received by an advisor.
She takes the time to listen to us and tells us that she will defend our file with the agency manager. Despite everything, the advisor indicates enormities of the style "in any case the home insurance is not compulsory".
Awaiting a final response from the MAAF concerning our file, legal protection informs me of the steps to follow and does not understand the decision of the unilateral termination of the contract which it deems "precipitated and abnormal".
A week later and still without news I contact the agency, an advisor tells me "The decision is not normal you did what it was necessary, we will find a solution"
The same evening (Thursday September 8, 2021) the agency manager contacted me and leaves me a message for more than 3 minutes indicating me "that his employees could not explain the situation to me (these are the only ones to have attempted to help me!) And that it was following the expert's report that he had decided to terminate my contract "that I will not find any other insurance (...) but that he would take me back With pleasure from the works when the work is carried out and there will be no more risks ”.
 I had provided the agency an annex to the sales contract indicating that I was not in a flood zone + the company's quote for the completion of the drain concerning the work that I will carry out.
Following listening to this message I contacted the agency, an advisor told me that the way I was treated was scandalous and opened a complaint. No return to this day!
To date I have found cheaper home insurance and with better protection. I terminated my car contracts, but again the maaf has shown an astonishing honesty:
When subscribing to my home contract and the MAAF succeeded without my realizing it to have a provident contract independent of the housing contract for the amount of € 160. Obviously I cannot terminate this contract before December because it is independent of the home contract. Being amazed on the phone, I am indicated that for a subscription to online home insurance, we generally indicate "orally" that this contract is subscribed!
It is therefore explained to me that I am radiated from my home contract but that the provident contract undertaken in a very "borderline" manner is not canceled despite my complaint.
They had to remind me this afternoon to tell me more about the date of payment of my disaster "La MAAF undertakes within 30 days to reimburse you"! I was not remembered!
There are no doubts it is the maaf that I prefer!</v>
      </c>
    </row>
    <row r="1001" ht="15.75" customHeight="1">
      <c r="A1001" s="3">
        <v>5.0</v>
      </c>
      <c r="B1001" s="3" t="s">
        <v>2744</v>
      </c>
      <c r="C1001" s="3" t="s">
        <v>2745</v>
      </c>
      <c r="D1001" s="3" t="s">
        <v>13</v>
      </c>
      <c r="E1001" s="3" t="s">
        <v>14</v>
      </c>
      <c r="F1001" s="3" t="s">
        <v>15</v>
      </c>
      <c r="G1001" s="3" t="s">
        <v>2746</v>
      </c>
      <c r="H1001" s="3" t="s">
        <v>240</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2022-12-16T15:48:23Z</dcterms:created>
</cp:coreProperties>
</file>