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7pREttQSlM+ovciT9C4fGUrRsIQ=="/>
    </ext>
  </extLst>
</workbook>
</file>

<file path=xl/sharedStrings.xml><?xml version="1.0" encoding="utf-8"?>
<sst xmlns="http://schemas.openxmlformats.org/spreadsheetml/2006/main" count="7011" uniqueCount="2734">
  <si>
    <t>note</t>
  </si>
  <si>
    <t>auteur</t>
  </si>
  <si>
    <t>avis</t>
  </si>
  <si>
    <t>assureur</t>
  </si>
  <si>
    <t>produit</t>
  </si>
  <si>
    <t>type</t>
  </si>
  <si>
    <t>date_publication</t>
  </si>
  <si>
    <t>date_exp</t>
  </si>
  <si>
    <t>avis_en</t>
  </si>
  <si>
    <t>avis_cor</t>
  </si>
  <si>
    <t>avis_cor_en</t>
  </si>
  <si>
    <t>shanonmercadier-43885</t>
  </si>
  <si>
    <t>si vous voulez être pris pour une courge , ou une simple vache à lait alors souscrivez à cette assurance, vous ne serez pas déçu, incompétence  et manque de sérieux sont leurs caractéristiques.Je suis tombée en panne à paris, en reculant, j'ai percuté une borne rectangulaire en béton, ma boite de vitesse a lâché.J'ai appelé l'assistance qui m'ont dit vous inquiétez pas dans 40 minute, la dépanneuse sera la. Au bout de ce laps de temps, j'ai rappelé et ils m'ont répondus, on n'avait pas votre numéro de téléphone pour vous joindre,on vous mets en relation avec le dépanneur,celui ci me répond je suis à Montpellier, je me suis dit: c'est une blague et non.Je travaillais, je n'avais plus le temps d'attendre et un voisin ai venu m'aider à décaler la voiture qui gênait sur la route.J'ai rappelé quelque jours plus tard pour réitérer  ma demande qui a pu finalement aboutir.J'ai appelé mon assurance pour demander ce qui se passerai si je faisais passer cela en sinistre.Ils m'ont répondu: vous aurez un malus,vous aurez que la franchise a payer de 270 euros,il y aura un expert qui passera.J'ai dit ok . Bien sur, je reçois le devis du garage ,2700 euros à payer, dont 1900 euros seulement pour la boite de vitesse sachant que la voiture vaut 3000 euros et ho surprise ,l'expert  à appliquer un taux de vétusté sur la boite de vitesse  de 50%. Ce qui signifie que tout le reste est à ma charge, je lui dit mais attendez, vous ne prenez pas en compte le kit d'embrayage, l'expert me répond non, pour moi il ne sert à rien de le changer .Je lui demande : pourquoi le garage dans ces cas la le change t-il?Sa réponse, je vous le donne en mille : en fait, c'est le garage qui est responsable des dernières réparation et si il casse dans une semaine ,il ne veulent pas en être les fautifs.Je lui pose une deuxième question: la boite de vitesse que vous allez mettre a la place ,elle est en or?Il me répond non, ce sont les prix..Prends moi pour une nigaude aussi, j'ai regardé les prix et le garage se prends une marge de 700 euros.De plus, je sais qu'il est interdit d'appliquer une vétusté sur une pièce à réparer,et vous ne me prendrez pas pour une imbécile en me fournissant comme excuse , c'est la faute de l'expert sachant que vous travaillez ensemble.En plus, sur mon contrat , j'ai souscrit tout risque.Je pense qu'on se reverra bien assez tôt car  je ne compte pas en rester la, la paperasse ça me connait.a bientôt.</t>
  </si>
  <si>
    <t>Pacifica</t>
  </si>
  <si>
    <t>auto</t>
  </si>
  <si>
    <t>train</t>
  </si>
  <si>
    <t>02/03/2017</t>
  </si>
  <si>
    <t>01/03/2017</t>
  </si>
  <si>
    <t>mali-97585</t>
  </si>
  <si>
    <t xml:space="preserve">reponds pas au telephone
espace client ne marche pas
telephone payant
preleve sur les comptes même apres résiliation
je regrette
c est null de chez null
</t>
  </si>
  <si>
    <t>Mercer</t>
  </si>
  <si>
    <t>sante</t>
  </si>
  <si>
    <t>18/09/2020</t>
  </si>
  <si>
    <t>01/09/2020</t>
  </si>
  <si>
    <t>vincent-g-127256</t>
  </si>
  <si>
    <t>je suis satisfait du prix et services, la démarche est rapide. le fait que vous puissiez résilier à ma place est agréable. Les options sont raisonnables.</t>
  </si>
  <si>
    <t>Direct Assurance</t>
  </si>
  <si>
    <t>09/08/2021</t>
  </si>
  <si>
    <t>01/08/2021</t>
  </si>
  <si>
    <t>aurore-c-105883</t>
  </si>
  <si>
    <t xml:space="preserve">.simple pratique et reactif pour etablir des devis
a voir si je dois mette en jeu mes garanties !  
r                                                 </t>
  </si>
  <si>
    <t>Zen'Up</t>
  </si>
  <si>
    <t>credit</t>
  </si>
  <si>
    <t>08/03/2021</t>
  </si>
  <si>
    <t>01/03/2021</t>
  </si>
  <si>
    <t>edgard-s-128749</t>
  </si>
  <si>
    <t>assez simple d'utilisation facile et rapide recommander par des amis deja clients chez vous tarif attractif par contre la carte verte j'aurais aime l'avoir de suite et non une attestation et attendre 30 jours</t>
  </si>
  <si>
    <t>AMV</t>
  </si>
  <si>
    <t>moto</t>
  </si>
  <si>
    <t>20/08/2021</t>
  </si>
  <si>
    <t>dess7156-61972</t>
  </si>
  <si>
    <t>je suis chez allianz depuis 10ans et je vais resilier mon assurance vie ..les comptes ne sont pas clairs et les interets affiches chaque annee ne sont pas reportes sur mon solde en totalite...de plus demander une explication a son conseiller ne sertt a rien ..lui meme n'y connait rien..a eviterr!!!!</t>
  </si>
  <si>
    <t>Allianz</t>
  </si>
  <si>
    <t>vie</t>
  </si>
  <si>
    <t>03/03/2018</t>
  </si>
  <si>
    <t>01/03/2018</t>
  </si>
  <si>
    <t>saechu-86234</t>
  </si>
  <si>
    <t>difficile pour les avoir au téléphone, envoyer facture de 200 euros le 24 décembre 2019 toujour pasremboursée. envisage de résilier</t>
  </si>
  <si>
    <t>Néoliane Santé</t>
  </si>
  <si>
    <t>23/01/2020</t>
  </si>
  <si>
    <t>01/01/2020</t>
  </si>
  <si>
    <t>catherine-95825</t>
  </si>
  <si>
    <t>Jai eu une panne sur une aire d'autoroute au cap d'agde le 14juillet, jai été remorqué en 15mn, et rapatriée ensuite sur Marseille en taxi. L'assistance de la Maaf a été très sympathique et attentive à mes demandes donc un grand merci vraiment donc je recommande.</t>
  </si>
  <si>
    <t>MAAF</t>
  </si>
  <si>
    <t>01/08/2020</t>
  </si>
  <si>
    <t>yaris-106132</t>
  </si>
  <si>
    <t xml:space="preserve">Assurance qui prends en compte toutes les possibilités d'un contrat en fonction du demandeur , de ses besoins, ses obligations et sans oublier antécédents (obligatoires à signaler comme le stipule le code des assurance ) 
Assurance qui "discute" avec son client, ce qui est rare de nos jours !
Je conseille </t>
  </si>
  <si>
    <t>L'olivier Assurance</t>
  </si>
  <si>
    <t>10/03/2021</t>
  </si>
  <si>
    <t>martine-104822</t>
  </si>
  <si>
    <t xml:space="preserve">Mon oncle est décédé depuis près d’un an.Il avait souscrit 3 assurance vie :MAAF,CNP et SWISSLIFE Il y a près de 6 mois que les 2 premières ont versé l’argent revenant aux héritiers donc zéro bla-bla.Quant à SWISSLIFE le grand bla-bla-bla est le seul langage qu’ils maîtrisent bien,seul leur nom est bien propre.                             </t>
  </si>
  <si>
    <t>SwissLife</t>
  </si>
  <si>
    <t>26/02/2021</t>
  </si>
  <si>
    <t>01/02/2021</t>
  </si>
  <si>
    <t>anoushka--97615</t>
  </si>
  <si>
    <t xml:space="preserve">Ne veulent pas assurer les jeunes conducteurs pas intéressant pour eux. Par contre une personne comme moi avec 50% de bonus aucun soucis. Il n'y aurait pas comme un problème...Les assureurs oublient leur rôle premier nous assurer. Mais ils préfèrent le risque minimum encaisser et éviter de payer...Belle mentalité.  </t>
  </si>
  <si>
    <t>19/09/2020</t>
  </si>
  <si>
    <t>sev12-61048</t>
  </si>
  <si>
    <t>je suis très satisfaite des prestations de Santiane qui m'a conseiller comme il fallait merci et trouvé la meilleur mutuelle qu'il me fallait</t>
  </si>
  <si>
    <t>Santiane</t>
  </si>
  <si>
    <t>01/02/2018</t>
  </si>
  <si>
    <t>khasbulatov-d-123926</t>
  </si>
  <si>
    <t xml:space="preserve">Je suis assez satisfait. Les prix sont moyens, les prestations sont moyennes, le rapport qualité prix est satisfaisant, c'est très facile de pouvoir prendre cette assurance, ce qui est un point positif. </t>
  </si>
  <si>
    <t>20/07/2021</t>
  </si>
  <si>
    <t>01/07/2021</t>
  </si>
  <si>
    <t>bernard-l-107725</t>
  </si>
  <si>
    <t xml:space="preserve">Les prix me conviennent ,  simple à comprendre , service à ma convenance , je vous conseillerais à d'autres assurés , j'espère être content de vos services  </t>
  </si>
  <si>
    <t>23/03/2021</t>
  </si>
  <si>
    <t>thierry-d-133200</t>
  </si>
  <si>
    <t>Bonne prestation
Bon site internet
Bonne réactivité
Tarifs intéressants 
Je recommande cette assurance
Je reviendrai consulter pour mes prochains achats</t>
  </si>
  <si>
    <t>17/09/2021</t>
  </si>
  <si>
    <t>01/09/2021</t>
  </si>
  <si>
    <t>mimi13821-70383</t>
  </si>
  <si>
    <t>Assurée depuis des années 90 voire plus. erreur de la conseillère qui a enregistré un sinistre degat eaux alors que je lui ai demandé les coordonnées d'une entreprise pour changer une tuile. On me reclame une franchise à cause d'une entreprise partenaire qui a simplement collé une tuile et a gonflé sa facture à plus de 500euros. Pourtant aucun dossier sinistre crée.Un depot de plainte à la repression des fraudes va etre fait prochainement. La Maif prefere ecouter un partenaire pas recommandable  qu'un societaire qui s'est fait avoir. La justice tranchera mais le mal est fait. La Maif a payé l'entreprise sans nous écouter.Mefiez vous pas de declaration ou appel par telephone. conseillers inexperientés.Quel dommage. Cela donne une mauvaise image de la Maif.</t>
  </si>
  <si>
    <t>MAIF</t>
  </si>
  <si>
    <t>20/01/2019</t>
  </si>
  <si>
    <t>01/01/2019</t>
  </si>
  <si>
    <t>dom-121323</t>
  </si>
  <si>
    <t>Aucun respect de l assuré en cas de litige l assuré n a pas le droit a la parole au sujet du remboursement ou réparation l expert est roi et ne jamais avoir de litige avec une personne étant dans la même assurance sait à dire la Maaf  car cela veux dire qu il feront des economie sur les réparations même si votre responsabilité n ai pas engager</t>
  </si>
  <si>
    <t>26/06/2021</t>
  </si>
  <si>
    <t>01/06/2021</t>
  </si>
  <si>
    <t>laylou-68745</t>
  </si>
  <si>
    <t xml:space="preserve">J'ai été bien accueilli par téléphone bien renseigné il 
 sont sympa </t>
  </si>
  <si>
    <t>20/11/2018</t>
  </si>
  <si>
    <t>01/11/2018</t>
  </si>
  <si>
    <t>nicolas-p-129287</t>
  </si>
  <si>
    <t xml:space="preserve">Je suis satisfait du prix et du service je vous remercie beaucoup pour l'assurance voiture et fier d'être chez vous et d'avoir une bonne assurance bonne journée a vous 
</t>
  </si>
  <si>
    <t>24/08/2021</t>
  </si>
  <si>
    <t>emilie-h-128926</t>
  </si>
  <si>
    <t xml:space="preserve">Très bien dommage de ne pas réussir a avoir un conseiller par téléphone facilement mais le prix est intéressant. A voir en cas de problème si la réactivité est la. </t>
  </si>
  <si>
    <t>21/08/2021</t>
  </si>
  <si>
    <t>pacomega-58375</t>
  </si>
  <si>
    <t>Je ne comprends pas les remarques précédentes! peut-être y'a-t-il des différences selon les régions? en Bretagne les conseillers en agence comme au téléphone sont toujours très compétents et agréables! on m'a baissé mes cotisations sans que je ne demande rien parce qu'elles ne correspondaient plus à ma situation actuelle! cela fait 29 ans que je suis à la MACIF et, malheureusement, j'ai pu tester beaucoup de leurs services : incendie de la maison, accidents de voiture responsable et non-responsable,  accident de la circulation pour ma fille, dégradation de pc au lycée pour mon fils, responsabilité civile auteur ou victime, grêle sue caravane, rayures intentionnelles sur monospace... et j'en oublie certainement! la MACIF a toujours été parfaite, très réactive et à l'écoute! aucune perte de bonus pour notre accident en étant responsables pour cause "d'ancienneté"! pour rien au monde je ne changerai d'assurance!</t>
  </si>
  <si>
    <t>MACIF</t>
  </si>
  <si>
    <t>habitation</t>
  </si>
  <si>
    <t>26/10/2017</t>
  </si>
  <si>
    <t>01/10/2017</t>
  </si>
  <si>
    <t>francou69-87940</t>
  </si>
  <si>
    <t>Je n'ai jamais vu cela!!! Impossible d'avoir des renseignements fiables sur mon dossier de sinistre corporel qui dure depuis......11 mois!!!
On me balade de service incompétent en service incompétent et l'une de leur conseillère m'a carrément raccrocher au nez en me disant d'aller m'assurer ailleurs si je n'étais pas satisfaite de leurs services. C'est ce que j'ai fait en confiant le dossier de sinistre à un avocat qui m'a dit au passage que la macif était challenger dans les conflits avec leurs sociétaires!!!??... .
A FUIR SANS AUCUNE MODERATION!!!</t>
  </si>
  <si>
    <t>prevoyance</t>
  </si>
  <si>
    <t>04/03/2020</t>
  </si>
  <si>
    <t>01/03/2020</t>
  </si>
  <si>
    <t>ana-53905</t>
  </si>
  <si>
    <t>Rien à dire. Service parfait, toujours eu des conseillers aimable et à l'écoute</t>
  </si>
  <si>
    <t>06/04/2017</t>
  </si>
  <si>
    <t>01/04/2017</t>
  </si>
  <si>
    <t>sangare-y-132458</t>
  </si>
  <si>
    <t>Je suis vraiment satisfait du service et le prix imbattable.
J’ai plusieurs véhicules assurés chez l’Olivier Assurance 
Toutes mes recommandations auprès de mes collègues l’apprécient aussi
Bravo??</t>
  </si>
  <si>
    <t>12/09/2021</t>
  </si>
  <si>
    <t>francesco-q-109866</t>
  </si>
  <si>
    <t xml:space="preserve">je suis satisfais du tarif et du sérieux de la personne que j ai eu au téléphone.
je reviendrai vers vous pour d'autre contrats.
Merci et à bientôt  .
</t>
  </si>
  <si>
    <t>10/04/2021</t>
  </si>
  <si>
    <t>01/04/2021</t>
  </si>
  <si>
    <t>rusty-55053</t>
  </si>
  <si>
    <t>Compagnie à éviter absolument, je confirme ... plateforme à l'étranger, pas de réponse aux appels, pas d'encaissement des chèques pour mes placements ... bref, ils ne respectent pas les clauses du contrat. Tout est fait pour vous attirez dans les mailles du filet à la souscription, un vrai piège pour les (futurs) anciens clients ...</t>
  </si>
  <si>
    <t>Generali</t>
  </si>
  <si>
    <t>01/06/2017</t>
  </si>
  <si>
    <t>chauvet-a-109827</t>
  </si>
  <si>
    <t>bonjour 
s assurer pour un jeune nouveau conducteur reste toujours très cher
la compréhensions des nombreux critères pour définir l exactitude du profil pour assurer le véhicule et son conducteur reste compliquer a comprendre    
avec mes remerciements
mr chauvet</t>
  </si>
  <si>
    <t>09/04/2021</t>
  </si>
  <si>
    <t>oceane-le-chevalier-70791</t>
  </si>
  <si>
    <t>Notre assurance habitation est la Macif Torcy. Nous avons eu une tentative de cambriolage le 15 novembre, la fenêtre et le moteur du volet ont été cassés. Pour commencer, le service de dépannage est venu 20 heures après le vol sans explication pour le retard, nous avons dù bricoler nous même une sécurisation d'attente ! lorsque le dépanneur est enfin arrivé, il a percé l'encadrement de la fenêtre qui n'était pas du tout endommagé et n'a pas sécurisé le volet ! Aucun sérieux, aucune communication... Seule la vitre aurait pu être sécurisée et cela aurait évité de devoir remplacer l'encadrement en plus de la vitre et du moteur ! Vient ensuite l'expertise 25 jours plus tard... à la suite de laquelle nous n'avons eu aucune information ! seul un chèque sans explication, sans compte rendu, sans devis, sans rien, nous a été envoyé ! Un chèque d'une somme dérisoire comparée aux travaux à réaliser, représentant 50% de tous les devis demandés pour la réparation des travaux. Nous avons demandé l'intervention du médiateur, nous ne nous laisserons pas faire !!!</t>
  </si>
  <si>
    <t>30/01/2019</t>
  </si>
  <si>
    <t>ghi-76934</t>
  </si>
  <si>
    <t>Si vous êtes un professionnel et vous souhaitez assurer un véhicule de société ne choisissez surtout pas la maaf. Ils sont incompétents pour conseiller les pros et les sociétés. Nous réalisons aujourd'hui que le contrat signé avec eux est inadaptés car il ne nous couvre pas correctement en cas de sinistre. Nous avons appelés 3 fois leur service client et avons eu 3 versions différentes. Idem avec la directrice de l'agence MAAF de Nogent sur Oise qui fait preuve d'une légèreté et d'une incompétence dans les propos tenus, sans jamais bien entendu vous faire de confirmation par écrit.</t>
  </si>
  <si>
    <t>19/06/2019</t>
  </si>
  <si>
    <t>01/06/2019</t>
  </si>
  <si>
    <t>bernardon-a-136660</t>
  </si>
  <si>
    <t xml:space="preserve">Le prix parfait service client parfait je ne suis pas du tout déçut d’être permis vos assurés je vous recommanderais sans problème et avec grand plaisir </t>
  </si>
  <si>
    <t>08/10/2021</t>
  </si>
  <si>
    <t>01/10/2021</t>
  </si>
  <si>
    <t>pasicouillon-100638</t>
  </si>
  <si>
    <t xml:space="preserve">CNP: un assureur avec une vision très "particulière" de la relation client. Je pose des questions au téléphone sur mon contrat épargne retraite, et on me répond qu'on ne peut pas me répondre, car il faut faire une demande écrite par mail, ce que je fais, mais 3 mois après....Pas de réponse! J'écris donc, en recommandé, pour être sûr. 2 mois après, toujours pas de réponse!
@ la CNP: répondre à un client titulaire de plus de 17 000 € dans vos comptes, ça ne fait pas partie du "minimum syndical"? </t>
  </si>
  <si>
    <t>CNP Assurances</t>
  </si>
  <si>
    <t>26/11/2020</t>
  </si>
  <si>
    <t>01/11/2020</t>
  </si>
  <si>
    <t>jerem-57275</t>
  </si>
  <si>
    <t>Assureur avec des tarifs corrects et un bon niveau de garantie. L'espace client mériterait qu'on puisse transmettre plus d'infos de manière numérique et donc moins d'échange papier.</t>
  </si>
  <si>
    <t>12/09/2017</t>
  </si>
  <si>
    <t>01/09/2017</t>
  </si>
  <si>
    <t>marjo-108462</t>
  </si>
  <si>
    <t xml:space="preserve">Je suis très satisfaite des services et particulièrement concernant la. Prise en charge et la rapidité de traitement des demandes. 
L accueil téléphonique est toujours très agréable et les interlocuteurs sont toujours à l écoute. 
Je recommande. </t>
  </si>
  <si>
    <t>MGP</t>
  </si>
  <si>
    <t>30/03/2021</t>
  </si>
  <si>
    <t>marie-94-68003</t>
  </si>
  <si>
    <t xml:space="preserve">Des Incompétents! Assurer tout risque j ai eu un Accident non responsable la voiture remorquée et au bout de 2 semaines ma voiture n est toujours pas au garage agrée que j avais choisi, je pense qu ils ne savent même pas où elle est ! mon contrat avec assistance 0km cela fait 2 semaines que je suis à pieds avec mon bébé et pour allez travailler je dois demandé à mes collègues de venir me chercher et me récupérer. Un scandale cette assurance. De plus on veux me faire payer des frais de gardiennage ! </t>
  </si>
  <si>
    <t>23/10/2018</t>
  </si>
  <si>
    <t>01/10/2018</t>
  </si>
  <si>
    <t>eliem-65280</t>
  </si>
  <si>
    <t xml:space="preserve">J'ai été résilié parce qu'ils n'ont jamais reçu mon permis, que j'ai envoyé des dizaines de fois sur l'espace personnel, j'ai été remboursé de quelques euros pour la forme, et le service client m'a pris de haut du début à la fin de l'appel.... </t>
  </si>
  <si>
    <t>05/07/2018</t>
  </si>
  <si>
    <t>01/07/2018</t>
  </si>
  <si>
    <t>sg-90977</t>
  </si>
  <si>
    <t>Cela fait 2 ans que je suis sans emploi et en ayant tous les justificatifs nécessaire, Cardif m'a remboursé que 2 mois.
Pourquoi cet acharnement? 
Toujours une excuse, la dernière le COVID bien sur...
Avant l'adresse mail n'était pas la même on se demande a quoi sert le numéro de dossier et j'en passe</t>
  </si>
  <si>
    <t>Cardif</t>
  </si>
  <si>
    <t>15/06/2020</t>
  </si>
  <si>
    <t>01/06/2020</t>
  </si>
  <si>
    <t>victoriab-112176</t>
  </si>
  <si>
    <t>Après un sinistre 2 mois après toujours aucune nouvelle de l’expert après plusieurs relance aucun paiement rien je déconseille fortement il refuse d’assurer mon nouveau véhicules en plus alors que sinistre qui n’est pas de ma faute et aucun malus !</t>
  </si>
  <si>
    <t>30/04/2021</t>
  </si>
  <si>
    <t>jo30-67184</t>
  </si>
  <si>
    <t>Il m on rien prix en compte dans mon cambriolage parce que il y a 15 ans quant j ai signé mon contrat des petite close n avait pas était coché!!!!!!</t>
  </si>
  <si>
    <t>29/09/2018</t>
  </si>
  <si>
    <t>01/09/2018</t>
  </si>
  <si>
    <t>louis-g-105232</t>
  </si>
  <si>
    <t>Je ne suis pas satisfait par l'augmentation pour l'année 2021 ?augmentation de mon assurance 2021 de 273,50€ passé à 257,50€ 5,30% d'augmentation (pour quelle raison ?)
il y été dit pas d'augmentation en 2021</t>
  </si>
  <si>
    <t>03/03/2021</t>
  </si>
  <si>
    <t>girot-105287</t>
  </si>
  <si>
    <t xml:space="preserve">Bonjour,
Je suis très déçu par direct assurance aucun professionnalisme et manque d'expérience.
Je déconseille direct assurance.
Des julie ou Julien du Maroc. </t>
  </si>
  <si>
    <t>lucto-57472</t>
  </si>
  <si>
    <t xml:space="preserve">Bjr
Je suis dàns l'attente du bon vouloir  de la commission médicale pour mon fils parti pour ûn ân aux usa . Pour une assurance au premier euro . Expat studént car attention le Crystal studies exclue d'office les traitements en rapport avec pathologies antérieures ..... Par contre l expat nécessite un questionnaire médical et .... April exclue facilement . La communication reste lente et pas tôujours avec retour je le déplore . Il s'agit de contrat d'assurance donc d'un risque Ét dônc d'une prise de risque pour l'assureur mais âussi pour l'assuré ? Â suivre </t>
  </si>
  <si>
    <t>APRIL</t>
  </si>
  <si>
    <t>20/09/2017</t>
  </si>
  <si>
    <t>makau-mizanga-j-112330</t>
  </si>
  <si>
    <t>Je suis satisfait de l'offre 
Je suis satisfait du prix proposé par l'assurance
Je suis ravi de pouvoir enfin trouver une assurance qui puisse accepter d'assurer ma voiture</t>
  </si>
  <si>
    <t>01/05/2021</t>
  </si>
  <si>
    <t>elisabeth-a-130362</t>
  </si>
  <si>
    <t>Quand l'expert dit fausse déclaration donc les dégâts pas pris en charge en totalité. Je fais le point dans un bureau avec avec plans et photos récentes, je me rends compte que j'assure une piscine en dur pour une hors sol (là aussi, on m'avait forcée la main, je ne sais plus dans quelle circonstance). Pour autant, on ne m'a pas pris en charge la totalité des  dégâts (alors que la soi-disant fausse déclaration était donc au bénéfice de l'assurance !!!)  ... et si c'était la seule fois, c'est toujours pareil refus de payer toujours pour une raison en général même pas valable. 
Surtout ne pas recherchez, par vous même la fuite (sous le carrelage) qui provoque un dégât des eaux, car non pris en charge dans ce cas là.
Sur accident de voiture (accident de travail), j'ai du faire intervenir un cabinet spécialisé (entre la GMF et l’État, mon employeur, il valait mieux). Là, j'ai été indemnisé pour mes blessures. 
Pour la voiture, RAS de particulier, voiture réparée, rien à payer.</t>
  </si>
  <si>
    <t>GMF</t>
  </si>
  <si>
    <t>31/08/2021</t>
  </si>
  <si>
    <t>membre-75705</t>
  </si>
  <si>
    <t xml:space="preserve">Pire mutuelle que j' ai connu, chipote pour la prise en charge, erreur de remboursement. j' attends avec impatience ma date de résiliation.
</t>
  </si>
  <si>
    <t>Mgen</t>
  </si>
  <si>
    <t>07/05/2019</t>
  </si>
  <si>
    <t>01/05/2019</t>
  </si>
  <si>
    <t>vincenzo-57982</t>
  </si>
  <si>
    <t>Cette compagnie est en déliquescence permanente, je dois systématiquement zapper lorsque je me retrouve face à une de ses pubs;ils sont a lopposede leur discours. Rendez-vous au tribunal et mes contrats sont déjà ailleurs.</t>
  </si>
  <si>
    <t>04/06/2020</t>
  </si>
  <si>
    <t>gordini-98728</t>
  </si>
  <si>
    <t>Les informations données sont claires
Bon accueil .
Nadège explique les choses très clairement;
Auparavant j'étais à la MGEN. Impossible de contacter la délégation départementale;
Après comparaison des prestations, j'ai choisi de quitter cette mutuelle</t>
  </si>
  <si>
    <t>14/10/2020</t>
  </si>
  <si>
    <t>01/10/2020</t>
  </si>
  <si>
    <t>baptiste-s-119109</t>
  </si>
  <si>
    <t>Je suis satisfait du service. Peu de commentaire à souligner.
ça fait déjà quelques années que je suis client chez Direct Assurance pour assurer mon véhicule et je compte bien continuer encore quelques temps.</t>
  </si>
  <si>
    <t>24/06/2021</t>
  </si>
  <si>
    <t>francois-m-102317</t>
  </si>
  <si>
    <t>Le service est simple d'utilisation. Le service est rapide à mettre en oeuvre. Le service est simple à comprendre et pratique. Tout se fait sans problème.</t>
  </si>
  <si>
    <t>07/01/2021</t>
  </si>
  <si>
    <t>01/01/2021</t>
  </si>
  <si>
    <t>sandy17-101527</t>
  </si>
  <si>
    <t xml:space="preserve">A fuir, augmenter les cotisations sans motif, refuse les résiliations, ce qui force le client a payer 1 an de plus un service que ne convient pas, ou vous conseille de changer votre animal de propriétaire pour pouvoir résilier, ce que je trouve plus que honteux </t>
  </si>
  <si>
    <t>Eca Assurances</t>
  </si>
  <si>
    <t>animaux</t>
  </si>
  <si>
    <t>16/12/2020</t>
  </si>
  <si>
    <t>01/12/2020</t>
  </si>
  <si>
    <t>chticricri-37011</t>
  </si>
  <si>
    <t>Zéro pointé</t>
  </si>
  <si>
    <t>04/05/2018</t>
  </si>
  <si>
    <t>01/05/2018</t>
  </si>
  <si>
    <t>nath64-126581</t>
  </si>
  <si>
    <t xml:space="preserve">Très satisfaite, j'ai appelé pour un soucis de connexion à mon espace et Lissa m'a gentillement et patiemment guidé pas à pas. Maintenant tout est OK. </t>
  </si>
  <si>
    <t>05/08/2021</t>
  </si>
  <si>
    <t>riehl-y-131906</t>
  </si>
  <si>
    <t>JE DECOUVRE CETTE ASSURANCE ET JE SUIS TRES SATISFAIT DE CETTE NOUVELLE SOUSCRIPTION
LE CONSEILLER A ETE TRES PROFESSIONNEL ET TRES AGREABLE 
JE RECOMMANDE</t>
  </si>
  <si>
    <t>08/09/2021</t>
  </si>
  <si>
    <t>jas-49600</t>
  </si>
  <si>
    <t xml:space="preserve">Je suis tombé en panne en Suisse.La dépanneuse à mis 3heurs à venir pourtant on était à 10km de la frontière. La voiture est resté dans le garage plus proche,ils ne voulaient pas la rapatrier sur Lyon sur prétexte que c'est que pour les voitures récentes. Pour aller chercher la voiture il m'ont réservé un taxi pour 13heurs qui n'est pas arrivé ,du coup je 'les ai rappelé, deuxième taxi est arrivé à 13h49 et je devais récupérer mon billet jusqu'à 13h58 sinon il sera annulé automatiquement, bref une galère. </t>
  </si>
  <si>
    <t>26/11/2016</t>
  </si>
  <si>
    <t>01/11/2016</t>
  </si>
  <si>
    <t>hubert-m-109979</t>
  </si>
  <si>
    <t xml:space="preserve">Je suis très satisfait du service 
Très bonne réactivité 
Des conseils clairs et précis 
Par contre je trouve le prix très élevé ,vu mon bonus malus.
</t>
  </si>
  <si>
    <t>11/04/2021</t>
  </si>
  <si>
    <t>irenee-f-106995</t>
  </si>
  <si>
    <t>Le prix me convient et direct assurance fait partie des compagnie qui propose un prix défiant toute concurrence.
Je n'ai pas encore eu affaire avec les conseiller et j'espère qu'ils seront au top</t>
  </si>
  <si>
    <t>18/03/2021</t>
  </si>
  <si>
    <t>nicolas-90563</t>
  </si>
  <si>
    <t xml:space="preserve">Je suis satisfait du service. Le tarif me convienne. Je recommande cette assurance direct assurance à mes entourages s’il y a des offres intéressantes de parrainage. </t>
  </si>
  <si>
    <t>12/06/2020</t>
  </si>
  <si>
    <t>arno-105352</t>
  </si>
  <si>
    <t>Souscription très facile, tarifs très très compétitifs. Le site internet est très clair. La réception des documents (provosoires ou définitifs) est très rapide.</t>
  </si>
  <si>
    <t>santos-j-134425</t>
  </si>
  <si>
    <t>Un peut déçus du process concernant une voiture immatriculé en WW, je n'ai pas pu souscrire le premier jour à la formule et garanties souhaité.
Le véhicule venant d'une concession c'est un peut dommage de devoir vous recontacter pour faire la démarche.</t>
  </si>
  <si>
    <t>25/09/2021</t>
  </si>
  <si>
    <t>kebbour-i-121128</t>
  </si>
  <si>
    <t xml:space="preserve">Le prix me convient je suis satisfaite du service la gestion de ma demande 
La conseillère  sympathique  et professionnelle elle a tout expliquée de A à Z </t>
  </si>
  <si>
    <t>jean-louis-b-115787</t>
  </si>
  <si>
    <t>Satisfait des services proposés.
Formulaire de souscription d'assurances auto compliqué à remplir sur le site mais l'assistance conseiller parfaite. Merci</t>
  </si>
  <si>
    <t>03/06/2021</t>
  </si>
  <si>
    <t>sensei-78168</t>
  </si>
  <si>
    <t>8800 euros de facture dentiste Harmonie n'a traité que la moitié de la télé transmission de la SS résultat des course ils m'ont remboursé moins que la SS soit 1000 euros au lieu d'environ 4000euros tout les documents on été envoyés mais ils demandent un délais de traitement supplémentaire de 20 a 30 jours.</t>
  </si>
  <si>
    <t>Harmonie Mutuelle</t>
  </si>
  <si>
    <t>03/08/2019</t>
  </si>
  <si>
    <t>01/08/2019</t>
  </si>
  <si>
    <t>mathieu-g-131907</t>
  </si>
  <si>
    <t>Simple, efficace, pas chère. 5/5 
Conseiller à l’écoute qui prend le temps avec les clients. Pas d’attente au téléphone, vraiment satisfait de début à la fin.</t>
  </si>
  <si>
    <t>castor-67547</t>
  </si>
  <si>
    <t xml:space="preserve">J ai été viré comme un chien  dela gmf chambery  apres 40 ANS d assurance auto suite accident responsable j' ai signé avec GAN CHAMBERY avec reprise de mon bonus de 50 / je pense qu ' il ne souhaite avoir que des clients qui placent de l' argent </t>
  </si>
  <si>
    <t>10/10/2018</t>
  </si>
  <si>
    <t>berthelier-t-122040</t>
  </si>
  <si>
    <t xml:space="preserve">Opérateurs sérieux, à l'écoute et bienveillants.
Prestations avec un très bon rapport qualité / prix en comparaison d'autres assurances.             
</t>
  </si>
  <si>
    <t>mjf-132260</t>
  </si>
  <si>
    <t>assurance habitation trop cher  j ai résiliés mon contrat mais axa nne veut pas remboursé le trop perçus.MA nouvelle assurance est en dessous de 100euro la date échéance ai le 01/12/2021 pour axa je ne conseille pas cette assurance</t>
  </si>
  <si>
    <t>AXA</t>
  </si>
  <si>
    <t>10/09/2021</t>
  </si>
  <si>
    <t>hoock-97669</t>
  </si>
  <si>
    <t>Je pense que la banque doit déjà faire son travail de banquier.
Pour l'assurance chien du grand n'importe quoi oui obligation d'historique du chien  après signature du contrat bien sûre en plus il ne rembourse pas grand chose , avant j'étais chez Santé Vét une vraie assurance des remboursements en 24 heures, avec une prise en charge à 100%.
Le credit mutuel beaucoup de courrier pour rien avoir moi je résilie mon contrat en fin d'année.</t>
  </si>
  <si>
    <t>Crédit Mutuel</t>
  </si>
  <si>
    <t>21/09/2020</t>
  </si>
  <si>
    <t>ornella-d-133505</t>
  </si>
  <si>
    <t xml:space="preserve">Je suis satisfait des services en ligne, rapide et simple à faire. Tarifs élevés pour jeunes chauffeurs. 
Les devis sont rapides à faire, tout est bien expliqué. </t>
  </si>
  <si>
    <t>19/09/2021</t>
  </si>
  <si>
    <t>valkyrjaa33-88226</t>
  </si>
  <si>
    <t>Bonjour j'ai un gros soucis j'ai fais plusieurs devis chez vous j'ai essayer de payer deux fois ce Week end suite aux devis mais votre site m'afficher que les paiements passer pas que je devais contacter ma banque et hors la surprise vous m'avez prélever deux fois 103 euros est ce possible d'annuler les prélèvements s'il vous plaît car cela me met dans des soucis financiers je compte toujours assurer ma voiture chez vous mais suite à un rebondissement mon assurance auto actuelle me doit 220 euros pouvez vous me rembourser ces 2 prélèvements qui du coup sont du à une erreur de votre site et que je bascule chez vous dans 2 mois et demi. Si aucun arrangement ce fais je serai forcer de me diriger vers une association de consommateur pour avoir gain de cause</t>
  </si>
  <si>
    <t>11/03/2020</t>
  </si>
  <si>
    <t>mohamed-z-135255</t>
  </si>
  <si>
    <t xml:space="preserve">Je suis satisfait de service et des prix et la garantie, je vous conseille de changer à le moins cher, et profitez vous les tarifs a votre choix, plus la facilité de trouver votre rêve de tranquillité. </t>
  </si>
  <si>
    <t>30/09/2021</t>
  </si>
  <si>
    <t>ghislaine-109596</t>
  </si>
  <si>
    <t xml:space="preserve">Au delà de ma difficulté à joindre les services avec des délais d'attente importants et de retours au delà des conseillers en ligne pas forcément explicite, je suis satisfaite des conseillers que j'ai eu en ligne ces derniers jours et notamment de LAMIA que j'ai eu sur le dernier appel. L'échange fut de bonne qualité et les réponses apportées complètes. 
La difficulté réside plutôt de ce qui se passe après avec les courriers des techniciens (peut être trop technique et pas adapté à une lecture d'une personne néophyte) </t>
  </si>
  <si>
    <t>08/04/2021</t>
  </si>
  <si>
    <t>damien-m-125999</t>
  </si>
  <si>
    <t xml:space="preserve">Je suis satisfait de la prestation .je trouve le site très facile a utiliser je vous recommanderai a mon entourage sans problème. les tarifs sont très compétitifs
Cordialement.
</t>
  </si>
  <si>
    <t>02/08/2021</t>
  </si>
  <si>
    <t>nicolas-c-130081</t>
  </si>
  <si>
    <t>Simple, pratique et financièrement très avantageux!
Très bon suivi du dossier, conseillers à l'écoute, efficaces.
Adhésion réalisée sans encombre.
Parfait!</t>
  </si>
  <si>
    <t>29/08/2021</t>
  </si>
  <si>
    <t>michel29140-64196</t>
  </si>
  <si>
    <t>Très très mécontent conseillé qui pour vous faire signé des contrat sont très réactif mais une fois que vous réclamé vos droit sont des menteurs et incompétent.</t>
  </si>
  <si>
    <t>25/05/2018</t>
  </si>
  <si>
    <t>pэнaн--100423</t>
  </si>
  <si>
    <t>Cela fait maintenant 3 semaines que cette "prévoyance" m'ignore, tout simplement car je remplis toutes les conditions pour bénéficier d'un complément d'indemnités journalières et d'invalidité.
C'est inhumain, ils savent que je suis dans le besoin mais ils ignorent tous les documents que je leur envoie ! 
Je pense les poursuivre en justice afin qu'ils fassent leur travail...</t>
  </si>
  <si>
    <t>Ag2r La Mondiale</t>
  </si>
  <si>
    <t>21/11/2020</t>
  </si>
  <si>
    <t>luc-g-126807</t>
  </si>
  <si>
    <t>Je suis très satisfait par la qualité de l'entretien, par les offres de services ainsi que par l'efficacité du conseiller qui m'a pris en charge au téléphone.</t>
  </si>
  <si>
    <t>06/08/2021</t>
  </si>
  <si>
    <t>pat01-104579</t>
  </si>
  <si>
    <t>Pour donner suite à mon commentaire laissé sur l'avis de Titou, je viens d'avoir une "lettre type" par mail, me disant qu'ils ont pris la peine de me contacter par téléphone pour échanger sur mon mécontentement (!!!). Ce qui est totalement faux et je n'ai pas peur de les traiter de "menteurs". Je n'approuve toujours pas les 15% d'augmentation de ma prime 2021, ayant très peu roulé en 2020 pour les causes que tout le monde connait, aucun sinistre depuis de nombreuses années et avec 50% de bonus, c'est plus que dur à avaler...
Je ne recommanderai pas cette "Mutuelle" qui se dit "motard" et je vais très vite me désengager, de chez eux.</t>
  </si>
  <si>
    <t>Mutuelle des Motards</t>
  </si>
  <si>
    <t>22/02/2021</t>
  </si>
  <si>
    <t>levivier-grujard-s-127868</t>
  </si>
  <si>
    <t>Super assurance, je recommande L'Olivier assurance pour leur prix compétitif. Offre très intéressante pour un jeune permis, service client agréable et à l'écoute.</t>
  </si>
  <si>
    <t>13/08/2021</t>
  </si>
  <si>
    <t>claude-b-134526</t>
  </si>
  <si>
    <t xml:space="preserve">Transaction et tarif compétitifs
J'attends de voir les garanties et je recommande aprilmoto
En attendant de recevoir ma carte verte pour la coller sur la moto
</t>
  </si>
  <si>
    <t>APRIL Moto</t>
  </si>
  <si>
    <t>olaf-68093</t>
  </si>
  <si>
    <t>Deux mois, 3 appel téléphoniques et 2déplacements en agence, j,ai ma carte mais pas mon épouse qui doit se faire opérer.</t>
  </si>
  <si>
    <t>26/10/2018</t>
  </si>
  <si>
    <t>jluc0411-66415</t>
  </si>
  <si>
    <t>Mon souci, c'est le prix !!! mon épouse elle aussi assurée chez Pacifica a été enjointe d'aller mettre son véhicule en expertise à 10km de la maison pour arranger ces gens de l'assurance ... et je ne vous dis pas l'augmentation de tarif qui a suivi !!! je pense changer nos deux assurances voiture d'assureur, (comme nos autres assurances d'ailleurs : trop cher !)</t>
  </si>
  <si>
    <t>26/08/2018</t>
  </si>
  <si>
    <t>01/08/2018</t>
  </si>
  <si>
    <t>patricerobert-76382</t>
  </si>
  <si>
    <t>assurance prise hier soir,impossible de se connecter afin de signer le contrat d'assurance (après paiement provisionnel de 79 euros )ni d'obtenir un accès pour ouverture dossier pour la création du mot de passe.Après divers coup de téléphone la deuxième standardiste m'a prié d'acheter un nouvel ordi car leurs clients n'avaient aucun soucis dans ce domaine.Annulation du contrat avec un chèque en remboursement...chez eux,ils ne font pas le retour de la somme sur carte...c'est comme çà et pas autrement...Bravo pour l'accueil...nous avions en projet 4 véhicules à assurer..heureusement que cela se produit au premier essai...</t>
  </si>
  <si>
    <t>Eurofil</t>
  </si>
  <si>
    <t>31/05/2019</t>
  </si>
  <si>
    <t>anthony-e-135559</t>
  </si>
  <si>
    <t xml:space="preserve">Simple et pratique et vu les tarifs j'ai pris toutes les options. On m'a bien conseiller au téléphone et très sympathique. Répondu à toute mes questions. </t>
  </si>
  <si>
    <t>02/10/2021</t>
  </si>
  <si>
    <t>bechi-b-138503</t>
  </si>
  <si>
    <t xml:space="preserve">Je suis satisfait du prix , un devis simple et rapide avec des détailles. J’ai était très bien très bien informer et le conseiller m’as rappelé. Je suis très content </t>
  </si>
  <si>
    <t>28/10/2021</t>
  </si>
  <si>
    <t>jerome-b-129762</t>
  </si>
  <si>
    <t xml:space="preserve">Je suis satisfait du service, de la simplicité d’y souscrire et du prix. J’espere Que le service sera aussi rapide et efficace quand j’en aurai besoin </t>
  </si>
  <si>
    <t>27/08/2021</t>
  </si>
  <si>
    <t>elgiginator49-78080</t>
  </si>
  <si>
    <t xml:space="preserve">Encore merci à Caroline pour son amabilité et ses conseils, une personne à l'écoute, professionnelle et rigolote, qui saura répondre à vos question avec une forte sympathie. </t>
  </si>
  <si>
    <t>31/07/2019</t>
  </si>
  <si>
    <t>01/07/2019</t>
  </si>
  <si>
    <t>isa-113848</t>
  </si>
  <si>
    <t xml:space="preserve">Le manque de conscience professionnelle de cette mutuelle me fait regretter amèrement??mon adesion, j'ai demandé le 26/03/21un changement de formule indice 45 à indice 90+le pack confort au téléphone on me dit que tout est fait, aujourd'hui on est le 16/05/21et j'ai toujours pas reçu les documents je suis en colère????   </t>
  </si>
  <si>
    <t>16/05/2021</t>
  </si>
  <si>
    <t>coulierg-109514</t>
  </si>
  <si>
    <t xml:space="preserve">Refus de neoliane de résilier notre contrat de mutuelle parce que la demande du 8 janvier lettre recommandée a été faite à mon nom et sur le contrat le nom de mon mari est en première ligne c’est le même contrat la même adresse c’est mon mail et mon téléphone qui sont dans le dossier .par contre toujours prélevés malgré la lettre recommandée . Aucun courrier reçu pour nous informer du refus de résiliation .A FUIR </t>
  </si>
  <si>
    <t>07/04/2021</t>
  </si>
  <si>
    <t>divad-127127</t>
  </si>
  <si>
    <t xml:space="preserve">A fuir en urgence, vraiment incompétent sur appel téléphonique. On doit tomber sur une plateforme en dehors de l'Europe et ne comprennent rien ce que nous souhaitons en terme d'assurance. Ce qu'ils comprennent bien c'est nos chiffres qui sont marquer sur la carte bleue.
Bref......Jamais plus. </t>
  </si>
  <si>
    <t>Active Assurances</t>
  </si>
  <si>
    <t>08/08/2021</t>
  </si>
  <si>
    <t>robert-59233</t>
  </si>
  <si>
    <t>je n'ai pas souvent recours à Pacifica. un léger accident m'y a fait recourir récemment. traitement rapide et pro. pas d'avance d'argent en allant chez un carrossier agréé</t>
  </si>
  <si>
    <t>29/11/2017</t>
  </si>
  <si>
    <t>01/11/2017</t>
  </si>
  <si>
    <t>arnold-49880</t>
  </si>
  <si>
    <t>Presque deux mois pour régler un sinistre dont je ne suis pas responsable avec un sociétaire de chez axa qui a embouti ma
voiture sur une place de stationnement. Aucune assistance. Aucun rappel malgré les promesses de solutionner le problème
dans les 48 heures. (4 appels et même promesse à chaque fois non tenu).</t>
  </si>
  <si>
    <t>04/12/2016</t>
  </si>
  <si>
    <t>01/12/2016</t>
  </si>
  <si>
    <t>lys-115564</t>
  </si>
  <si>
    <t xml:space="preserve">NE SOUSCRIVEZ JAMAIS UNE ASSURANCE VIE CHEZ GENERALI 
ILS SONT INCAPABLES A LA SORTIE DE VOUS CALCULER SE QUE VOUS DEVEZ DECLARER ET SE QUI EST DEFISCALISE
C'EST UNE VERITABLE HONTE DE VRAI INCAPABLES
CELA FAIT PLUS D'UN AN QUE LE CINEMA DUR ET QUE DE CE FAIT, JE NE PEUX PAS RETIRER MON ARGENT
L' ASSUREUR DE TERRAIN PREND L'ARGENT MAIS APRES, ILS NOUS DISENT QU'ILS N'ONT PAS LES OUTILS POUR CALCULER, ONT ME DONNE UN MAIL ET UN N° DE TEL ET AUCUNE REPONSE, LA MAISON MERE RENVOIE SUR L'AGENT
C'EST LIMITE DE L'ABUT DE POUVOIR
</t>
  </si>
  <si>
    <t>guy3347-81476</t>
  </si>
  <si>
    <t xml:space="preserve">Si j'avais pu mettre aucune étoile je l'aurais fait. Le service client n'a voulu trouver aucun arrangement suite aux divers courrier reçu pour régler ma facture alors que j'ai résilier depuis plus de 3 mois. Je suis passé par ma petite fille pour avoir de l'aide, elle est tombé sur le service plate-forme et devait être rappelé, elle attend encore depuis plus de 2 semaines. A ce jour je reçois AR avec menace de poursuite en justice. Je n'ai pas de carte bancaire, je suis handicapé et ne peux me déplacer. C'est une honte d'être traité ainsi sans avoir de l'aide ni réponse a mes questions. Pour souscrire ils ont été très réactifs maintenant pour les joindre pour comprendre c'est un enfer. Une des personnes a dit a ma petite fille :"je n'ai pas de solution pour vous" et elle a répondue:"mon grand père souhaite payer sa facture il veut juste comprendre ce qu'il doit payer car il a résilié en lois amon et vous me dites ne pas avoir de solution?" Il lui a répondu que oui ! Je suis outré. Je reste donc aujourd'hui avec un impayé alors que ma.nouvelle compagnie s'est chargée de la résiliation, preuve a l appuie, les conseillers sans réponse ni rappelle de leur part.
</t>
  </si>
  <si>
    <t>29/11/2019</t>
  </si>
  <si>
    <t>01/11/2019</t>
  </si>
  <si>
    <t>john-107174</t>
  </si>
  <si>
    <t>Quel que soit le problème, quel que soit la demande ou l'information que l'on désire, on a toujours un service de qualité rapide de la part du service client, et ce quelle que soit la personne qui réponds à nos questions !</t>
  </si>
  <si>
    <t>Génération</t>
  </si>
  <si>
    <t>19/03/2021</t>
  </si>
  <si>
    <t>ventim103-59378</t>
  </si>
  <si>
    <t xml:space="preserve">Suite a des dégradations sur mon mur , la Macif sert de boite aux lettres , ne s'implique pas du tout, vous laisse vous débrouiller, n'aide pas dans l'affaire , bien que la personne qui a dégradée a reconnu les faits </t>
  </si>
  <si>
    <t>04/12/2017</t>
  </si>
  <si>
    <t>01/12/2017</t>
  </si>
  <si>
    <t>dom-ix-78586</t>
  </si>
  <si>
    <t>J'assurais deux locaux sous un même contrat d'assurance un garage distant et mon logement, j'ai décider de résilier tout mes contrats à la GMF suite à leur comportement envers ma fille et mon gendre, et à deux contrats basculé chez eux, ils se sont occupé de la resiliation, si bien que j'ai du payer deux fois pour la même chose.
 j'ai donc profité de la loi Hamon pour basculer ce contrat habitation vers un autre assureur, donc à la date légal, il ont bien résilié l'assurance de mon appartement, mais pas celui de mon garage distant, pourtant sous le même contrat. J'avais 10 contrats chez eux, clients depuis 8 ans, ils n'aiment apparemment pas perdre des clients à l'agence Croix Rousse. Ferait ils tout pour m'ennuyer ? A suivre</t>
  </si>
  <si>
    <t>21/08/2019</t>
  </si>
  <si>
    <t>tom-97860</t>
  </si>
  <si>
    <t>Extrêmement déçu de cette mutuelle pour animaux. Ne mérite même pas une demi étoile. Je ne sais pas ce que 100% veux dire pour eux. Par contre quand il s’agit de prélever la cotisation mensuelle il n’y a aucun souci. J’espère que la mutuelle pour humain est meilleure sinon il ne mérite que de mettre la clé sous la porte. Je déconseille vivement de souscrire un contrat chez eux.</t>
  </si>
  <si>
    <t>25/09/2020</t>
  </si>
  <si>
    <t>keivane-f-114949</t>
  </si>
  <si>
    <t xml:space="preserve">Pratique à utiliser, ça aurait été mieux qu'un guide soit mis en place pour les nouveaux assurés afin qu'ils comprennent mieux le fonctionnement de l'assurance </t>
  </si>
  <si>
    <t>26/05/2021</t>
  </si>
  <si>
    <t>chaudhry-a-110178</t>
  </si>
  <si>
    <t>Je trouve le prix un peu élevé cependant le service de mise en service du contrat semble correct. J'espère avoir des propositions commerciales intéressantes à l'avenir</t>
  </si>
  <si>
    <t>13/04/2021</t>
  </si>
  <si>
    <t>arcencieux06-76943</t>
  </si>
  <si>
    <t xml:space="preserve">minable pour les successions des assurances vies - fait trainer les dossiers volontairement - ils vous disent avoir envoyé un courrier et ce courrier n'est jamais arrivé ! je ne recommande pas du tout CARDIF </t>
  </si>
  <si>
    <t>lana-74931</t>
  </si>
  <si>
    <t xml:space="preserve">Client MAAF depuis toujours, et très peu de sinistre, donc bon profil pour une assurance. 
J'ai souscrit un contrat habitation intégrale afin de couvrir de manière optimale l'ensemble de mon habitation.
Aujourd'hui je sollicite la MAAF pour un vol avec effraction dans ma cave, le retour de la MAAF est très décevant car pour eux l'intégrale ne couvre pas, il fallait prendre d'autres options, chose qui ne pas été proposée auparavant lors de la souscription. 
Sincèrement qualité de service qui s'est dégradée, j'irai jusqu'au bout de cette histoire et je m'en irai définitivement de cette assurance ainsi que mes proches. </t>
  </si>
  <si>
    <t>10/04/2019</t>
  </si>
  <si>
    <t>01/04/2019</t>
  </si>
  <si>
    <t>mickael-m-134094</t>
  </si>
  <si>
    <t>Je suis très satisfait du service client par message et de tous les services que vous proposez. Les tarifs sont plutôt bien surtout pour le tous risques</t>
  </si>
  <si>
    <t>23/09/2021</t>
  </si>
  <si>
    <t>jean-bernard-p-112953</t>
  </si>
  <si>
    <t>l'attente un peut long  par téléphone 
si non 10/10 ,très satisfait très accueillant au téléphone
l'équipe est très sympas, Jai découvert  GMF a Palaiseau même
et j'habitais a Epinay-sur-Orge ;merci a vous ; 
    très Cordialement.</t>
  </si>
  <si>
    <t>07/05/2021</t>
  </si>
  <si>
    <t>amekaty-89487</t>
  </si>
  <si>
    <t>Un service pas cher mais déplorable. Euro-assurance vous appelle à de nombreuses reprises, aucun échange écrit, donc aucune preuve des échanges.
Cela fait 1 an que j'essaie de résilier sans succès. Il ont aussi augmenté mon tarif de 5€ par mois sans raison et sans me prévenir...</t>
  </si>
  <si>
    <t>Euro-Assurance</t>
  </si>
  <si>
    <t>08/05/2020</t>
  </si>
  <si>
    <t>01/05/2020</t>
  </si>
  <si>
    <t>soso18-54723</t>
  </si>
  <si>
    <t>J'ai mon assurance scoot chez Peyrac depuis longtemps, je n'ai aucun soucis, même après avoir eu un accident. tout s'est réglé rapidement. 
Mon copain avait sa moto a assurer, alors je les ai rappelé, et ils sont toujours au top, au niveau prix, accueil et sympathie.</t>
  </si>
  <si>
    <t>Peyrac Assurances</t>
  </si>
  <si>
    <t>16/05/2017</t>
  </si>
  <si>
    <t>01/05/2017</t>
  </si>
  <si>
    <t>baudouin--m-129491</t>
  </si>
  <si>
    <t xml:space="preserve">Satisfait du moment qu'on ne change pas chaque année le montant.
Interface assez ergonomique rien à dire. 
En attente des documents.
Restant à votre disposition </t>
  </si>
  <si>
    <t>25/08/2021</t>
  </si>
  <si>
    <t>yoyo--100152</t>
  </si>
  <si>
    <t>Adhérent MGP pendant de longues années, j ai constaté qu elle était trop chère en rapport des remboursements comparés aux autres mutuelles. Maintenant j ai des soucis pour me faire rembourser des feuilles de soin qui ne sont jamais traitées..</t>
  </si>
  <si>
    <t>16/11/2020</t>
  </si>
  <si>
    <t>ocean-56305</t>
  </si>
  <si>
    <t>Déplorable 
Mes parents ont eu un accident de la route 
Quelqu un leur rentre en plein de dedans, ils ont un grave accident et 18 mois après ils sont toujours en attente des remboursements et doivent avancer tous leurs frais de santé pour se soigner. C est scandaleux, ca ne s appelle pas une assurance ! A fuir</t>
  </si>
  <si>
    <t>04/09/2021</t>
  </si>
  <si>
    <t>mathieu-p-133668</t>
  </si>
  <si>
    <t xml:space="preserve">Je suis satisfait des prix et des prestations de direct assurance. Si j'ai d'autres assurances à contracter je le ferai chez vous sans hésiter 
Ma maison et ma voiture sont assurées ici </t>
  </si>
  <si>
    <t>20/09/2021</t>
  </si>
  <si>
    <t>kaja-99414</t>
  </si>
  <si>
    <t>Après 40 ans d'assurance à la Matmut, nous venons de recevoir un courrier recommandé. Ils nous virent car il semble que nous ayons eu trop de sinistres depuis 5 ans. 4 sinistres en 5 an et peut-être au maximum 6 sur la totalité des 40 ans et ils nous virent.
C'est bizarre, je pensais que leur métier était d'assurer !!</t>
  </si>
  <si>
    <t>Matmut</t>
  </si>
  <si>
    <t>30/10/2020</t>
  </si>
  <si>
    <t>mohamed-j-128736</t>
  </si>
  <si>
    <t xml:space="preserve">Je suis satisfait de mon contrat chez vous es je vous en remercie pour m'avoir facilité en mes dans pour tout es je voulais savoir comment se passera le prochain paiement </t>
  </si>
  <si>
    <t>19/08/2021</t>
  </si>
  <si>
    <t>eric-e-127949</t>
  </si>
  <si>
    <t>très satisfait
J'ai testé le service en cas de panne et j'ai été tres bien pris en charge
accueil et service toujours présent et très aimable.
Je conseillerai direct assurance a toute personne qui chercherai une assurance</t>
  </si>
  <si>
    <t>14/08/2021</t>
  </si>
  <si>
    <t>md73-55636</t>
  </si>
  <si>
    <t>Je suis assurée chez MAAF depuis 40 ans au moins et actuellement j'ai un contrat habitation, un contrat navigation plaisance et 2 contrats autos avec bonus à vie . En 2015 j'ai eu un accrochage responsable puis en 2016, 2 sinistres non responsables.
Je reçois en cours d'année une modification du montant de ma franchise qui passe de 400 à 700 euros et, en cas de non acceptation de ma part, résiliation du contrat.</t>
  </si>
  <si>
    <t>26/06/2017</t>
  </si>
  <si>
    <t>guillaume-l-107518</t>
  </si>
  <si>
    <t xml:space="preserve">Je suis très satisfait du service. Réactivité, adaptabilité, conseil, prix concurrentiel, les services de Direct Assurance sont à la hauteur de mes attentes.  </t>
  </si>
  <si>
    <t>22/03/2021</t>
  </si>
  <si>
    <t>imade-o-127375</t>
  </si>
  <si>
    <t>Je suis cool et gentil J'aime les compagnies d'assurance parce qu'elles sont les meilleures J'espère que vous me donnez le meilleur aussi c'est agréable de faire affaire avec vous monsieur et madame</t>
  </si>
  <si>
    <t>10/08/2021</t>
  </si>
  <si>
    <t>fabien-b-105496</t>
  </si>
  <si>
    <t>satisfait des services dépannage et clientèle mais mécontent qu'il n'y  ait pas d'option moins de 8000kms pour bénéficier d'une réduction.les confinements le télétravail et mon chômage provoquent peu d'utilisation de mon véhicule,je ne roule plus beaucoup</t>
  </si>
  <si>
    <t>04/03/2021</t>
  </si>
  <si>
    <t>len30-67765</t>
  </si>
  <si>
    <t xml:space="preserve">Très déçu, après expertise la garantie vol n'est pas acquise pourtant dans la déclaration et enquête de gendarmerie l'infraction à bien était faite par la porte d'entrée barillet cassé serrure 3 points, l'assurance n'a pris en compte la porte métallique blindée inviolable de l'extérieur de la buanderie et garage fermeture serrure barillet     </t>
  </si>
  <si>
    <t>16/10/2018</t>
  </si>
  <si>
    <t>isabelle-m-105749</t>
  </si>
  <si>
    <t>les prix me conviennes , regrette que vous assurer pas les camping cars cela éviterais d'avoir plusieurs assurance !!! le site est assez bien  satisfaite pour l'instant</t>
  </si>
  <si>
    <t>07/03/2021</t>
  </si>
  <si>
    <t>stella-132815</t>
  </si>
  <si>
    <t xml:space="preserve">Parfait en termes de services et accueil :) remboursements faits en temps et en heure …le service au tél est très clair et bienveillant .. très bien … à date je suis très satisfaite </t>
  </si>
  <si>
    <t>14/09/2021</t>
  </si>
  <si>
    <t>doudoulo-69609</t>
  </si>
  <si>
    <t>Simple et rapide. Réponse téléphonique au top. Mes questions ont été traitées rapidement et la carte verte est arrivée dans les 4 jours après avoir fourni toutes les pièces demandées. Les personnes que j'ai eues au téléphone connaissaient parfaitement leur travail et ont réglé mes questions et problème aussitôt avec moi au bout du fil</t>
  </si>
  <si>
    <t>21/12/2018</t>
  </si>
  <si>
    <t>01/12/2018</t>
  </si>
  <si>
    <t>pallier-s-107378</t>
  </si>
  <si>
    <t>Je sui satisfait de mon contrat, 
Le prix correct, 
Les conseillers son sympa. 
A voir la suite si tout se passe bien.
Deuxième voiture assurée chez heux</t>
  </si>
  <si>
    <t>14/10/2021</t>
  </si>
  <si>
    <t>slimus-76723</t>
  </si>
  <si>
    <t xml:space="preserve">
Une gestion nulle une réactivité excécrable bref un service client formaté avec des réponses toutes faites Des franchises partout.. Un prix attractif  à l'adhésion mais bonjour  les hausses annuelle!!!! Bref à fuir... direct assurance fait de la publicité mensongère </t>
  </si>
  <si>
    <t>12/06/2019</t>
  </si>
  <si>
    <t>auto3008-94660</t>
  </si>
  <si>
    <t>En passant par un comparateur, j'ai fait une erreur de saisie lors de la souscription dans les formulaires sur la nature d'un sinistre. 
Recevant mon véhicule avant les vacances et voulant être assuré pour partir, j'ai fait trop rapidement la souscription.
Mais j'ai envoyé le relevé d'assurance en tout bonne foi le jour de la souscription.
Au lieu de me prévenir de l'erreur et  d'adapter le tarif, j'ai été résilié automatiquement par email.
C'est une situation légalement possible mais commercialement très mal gérée et pas en accord l'image de bienveillance qui m'a poussé à souscrire . Aucun traitement à l'amiable (annulation de ma part durant le délai légal) ne m'a été proposé par le service client.
Si mon cas n'est pas un incident isolé, je ne recommande pas du tout cet assureur.
Ps : J'ai 50% de Bonus depuis des années et depuis plus de 15 ans j'ai eu des contrats avec d'autres assureurs  en ligne (Direct Assurance, Carrefour, ID Macif,...)  sans ce type de problème.</t>
  </si>
  <si>
    <t>20/07/2020</t>
  </si>
  <si>
    <t>01/07/2020</t>
  </si>
  <si>
    <t>mode-prune2017-67274</t>
  </si>
  <si>
    <t>La personne qui m'a conseillé a été très efficace au téléphone.</t>
  </si>
  <si>
    <t>02/10/2018</t>
  </si>
  <si>
    <t>charlie-101122</t>
  </si>
  <si>
    <t xml:space="preserve">Très bon assureur, ils sont réactifs, facilement joignables par mail et par téléphone.
Ils rappellent aussi si besoin.
Leur pris sont largement abordable surtout lorsqu'on a un petit budget. Mais ils proposent un large service permettant de couvrir bon nombre de sinistre.
si jamais j'ai un sinistre, j'espère qu'ils seront tout autant à la hauteur de leurs engagements </t>
  </si>
  <si>
    <t>08/12/2020</t>
  </si>
  <si>
    <t>domo78-57445</t>
  </si>
  <si>
    <t xml:space="preserve">Je viens de me faire résilier mon contrat auto pour cause de fréquence de sinistre. 
Mais attention, lorsuq'ils parlent de sinistre, cela inclu tout ! Je n'ai eu qu'un bris de glace chez eux depuis mon arrivée, et j'ai eu des pannes moteurs que le garage a mis du temps à trouver (donc besoin d'appeler la dépanneuse 2-3 fois), cela a suffit à me faire résilier. Assureur à éviter. </t>
  </si>
  <si>
    <t>19/09/2017</t>
  </si>
  <si>
    <t>alva-96067</t>
  </si>
  <si>
    <t>Très déçue avec cette mutuelle!, que des problèmes avec eux, c'est une mutuelle lowcost. Mes garçons sont étudiants ils ont pas compter dans la mutuelle
J'envoie l'attestation  de la Sécu des mes garcons et rien 
Pas de remboursement. 
Ils sont pas tenu compte de la résiliation non plus</t>
  </si>
  <si>
    <t>07/08/2020</t>
  </si>
  <si>
    <t>definel-a-109814</t>
  </si>
  <si>
    <t>Très simple au niveau de l'adhésion.
Conseiller trés agréable et disponible par téléphone.
Seul petit bémol : le retard de réception des devis et du contrat par mail.</t>
  </si>
  <si>
    <t>christian-c-110734</t>
  </si>
  <si>
    <t>bonjour a vous
au départ on souscrit une assurance attractive et l'année suivante vous nous rajouter des frais de dossier sur chaque contrat .
donc au final aucun intérêt moi j'ai une hausse de 20€ sur chaque contrat
l'an prochain vous allez être aussi chère que les autres compagnie.j'ai assuré un nouveau véhicule je ne l'ai pas fait cher vous ???</t>
  </si>
  <si>
    <t>17/04/2021</t>
  </si>
  <si>
    <t>kamuran-97260</t>
  </si>
  <si>
    <t>Je dois écrire ce commentaire.
Tout d'abord, je ne parle pas très bien le français, même si j'écris ce commentaire avec l'aide de Google Translate.
J'ai déjà 3 voitures et toutes sont assurées par Direct Assurance depuis 2017. Jusqu'à présent, j'ai parlé au service client à plusieurs reprises. Et je pense qu'ils veulent servir uniquement pour les Français. Ils refusent de parler anglais.
N'est-ce pas une sorte de discrimination? N'est-ce pas une sorte de manque de respect?
Aujourd'hui, j'étais très bouleversé. J'avais l'impression d'être exposée au racisme aujourd'hui.</t>
  </si>
  <si>
    <t>10/09/2020</t>
  </si>
  <si>
    <t>stephanie--b-134656</t>
  </si>
  <si>
    <t xml:space="preserve">Devis effectué rapidement et simplement ! 
Dommage qu'il n'y ait pas possibilité de mensualiser ou alors je n'ai pas trouvé ! 
Tarif correct.
À voir pour la suite ! </t>
  </si>
  <si>
    <t>27/09/2021</t>
  </si>
  <si>
    <t>vero-96421</t>
  </si>
  <si>
    <t>Suite à un dégât des eaux causée par ma voisine je n'ai obtenu aucun remboursement malgré un constat et un devis prouvant que c'est une infiltration liée à la porte d'entrée de ma voisine 
Appel téléphonique très compliqué fastidieu et pas très compétent 
La banque m'a de plus obligé à prendre cette assurance à la suite de mon prêt négocié avec eux
Je suis très insatisfaite et ne recommande absolument pas cette assura.ce</t>
  </si>
  <si>
    <t>18/08/2020</t>
  </si>
  <si>
    <t>marie-79588</t>
  </si>
  <si>
    <t>Dossier ouvert depuis bientôt 2 ans, et toujours pas de remboursement complet !!! La GMF a perdu des documents médicaux que je leur ai envoyé (J'ai bien les accusés de réception, ainsi qu'une lettre de leur part me disant qu'ils ont bien reçu mon courrier, résultat, 1 ans plus tard : papiers perdus) . De plus ils ont envoyé un dossier incomplet à l'assurance adverse ce qui fait trainer le traitement. J'ai été patiente jusque là, mais là c'est trop. Je ne recommande pas cette assurance à mes proches : fuyez! A moins que mon dossier soit enfin correctement traité, je ne me ferais plus assurer par la gmf.</t>
  </si>
  <si>
    <t>30/09/2019</t>
  </si>
  <si>
    <t>01/09/2019</t>
  </si>
  <si>
    <t>farot-o-111189</t>
  </si>
  <si>
    <t xml:space="preserve">je suis satisfaite du service simple et efficace .....le service me convient parfaitement ...heureuse en espérant que tout ce passe bien ...à bientot </t>
  </si>
  <si>
    <t>21/04/2021</t>
  </si>
  <si>
    <t>maag-112842</t>
  </si>
  <si>
    <t>Mutuelle entreprise donc impossible de changer. Mutuelle qui met plus de 2 mois à rembourser les avances faites malgré des relances régulières. Se trompent régulièrement dans les montants des remboursements (il faut constamment vérifier leurs calculs). Ne répondent jamais aux mails. Quand on a une personne au téléphone, elle ne peut que faire remonter les informations mais ne peut pas nous passer de responsable ou faire avance les demandes. Bref mutuelle qui ne sait pas gérer.
Mutuelle à fuir si vous la prenez en perso. Et courage à ceux qui sont comme moi obligés de subit leur incompétence !</t>
  </si>
  <si>
    <t>06/05/2021</t>
  </si>
  <si>
    <t>lenik-l-109124</t>
  </si>
  <si>
    <t>Rapide, simple.
Je vais faire des économies de 700 euros par rapport à mon ancien contrat assurance.
J'espère ne pas être déçue, avis écris juste après avoir souscris.</t>
  </si>
  <si>
    <t>04/04/2021</t>
  </si>
  <si>
    <t>nico201184-50688</t>
  </si>
  <si>
    <t>nul il demandent un tas de justificatifs impossible a transmettre! un tas de photos demander service client desagreable !!!!!!!!!!!!!!!!!!!!!!!!!!!!!!!!!!!!!!!!!!!!!!!!!!!!!!!!!!!!</t>
  </si>
  <si>
    <t>27/12/2016</t>
  </si>
  <si>
    <t>elgato62--112907</t>
  </si>
  <si>
    <t>Attention, assurance en ligne... grosses difficultés pour obtenir un interlocuteur impliqué qui ait envie et qui soit en capacité de traiter ma demande. 10 appels sur numéro surtaxé pour enfin obtenir une réponse : on s'est trompé ds le calcul de votre prime mais on vous enverra la carte verte quand vous aurez réglé le différentiel... 
Je n'ose imaginer ce qui se passerait si je déclarais un sinistre. Dés que j'ai du temps à y consacrer  je change !</t>
  </si>
  <si>
    <t>toonbi-71011</t>
  </si>
  <si>
    <t xml:space="preserve">Depuis accident non responsable de 2/2018, soit plus d'un an 1,5, nous attendons l'indemnisation conventionnelles convenue en Mars 2019 après moult discussion ! </t>
  </si>
  <si>
    <t>05/08/2019</t>
  </si>
  <si>
    <t>prussel-c-110660</t>
  </si>
  <si>
    <t>Je suis satisfaite du contact que j'ai eu avec votre Service Commercial en particulier avec Mesdames Caroline et Aurélie.
Bien que légèrement supérieur à certains de vos conccurents directs, votre tarif,  proportionnel à vos garanties en cas de sinistre, me convient tout à fait.</t>
  </si>
  <si>
    <t>16/04/2021</t>
  </si>
  <si>
    <t>mrbrunet69100-54738</t>
  </si>
  <si>
    <t xml:space="preserve">J'ai été victime d'un accident avec une personne en tort sur tout les points malheureusement il etait en défaut de permis du coup il a nié les faits sur le constat. Quand je déclare les faits à mon assureur m'explique que le procès verbale rédiger par la police sera nécessaire et justement ce procès joue en ma faveur totalement. 
Aujourdhui je me retrouve avec un assureur qui veut m'indemniser à 50% prétextant que je suis responsable à moitié quand il se réfère au constant alors que je stipule bien dans le constat qu'il nie les faits et que le PV le prouvera. De surcroît une conseillère au téléphone audieuse manque de professionnalisme qui me dis à ma première phrase ne vous énerver pas!!!! 
Je vais pas en rester La!! </t>
  </si>
  <si>
    <t>17/05/2017</t>
  </si>
  <si>
    <t>brigitte-137769</t>
  </si>
  <si>
    <t>Merci à Ichraq qui a répondu rapidement à mes questions. J ai reçu un très bon acceuil de sa part. Patiente, gentille, à l écoute j ai vraiment été enchanté de  notre conversation téléphonique. Mervi</t>
  </si>
  <si>
    <t>19/10/2021</t>
  </si>
  <si>
    <t>rene-88222</t>
  </si>
  <si>
    <t>toujours en attente des reponses aux mails envoyer sur espace client depuis fevrier neoliane  a fuir mutuelle pas serieuse je voudrai resilier mon contrat mais pas possible avant decembre appel tel.injoigniable</t>
  </si>
  <si>
    <t>13/03/2020</t>
  </si>
  <si>
    <t>dragan-t-139118</t>
  </si>
  <si>
    <t>Je suis déjà assuré avec mon bateau et le service est super. J'espère que ça sera le même pour mon scooter. Toujours à l'écoute et les conseillers bien informés. Je conseille April assurance à tous.</t>
  </si>
  <si>
    <t>06/11/2021</t>
  </si>
  <si>
    <t>01/11/2021</t>
  </si>
  <si>
    <t>ouria-l-107180</t>
  </si>
  <si>
    <t>je ne plus satisfaite de vos services  .
accueil téléphonique peu agréable, d'une personne à une autre ce sont jamais les mêmes discours.
je pense  avoir tout dis.</t>
  </si>
  <si>
    <t>titi-57984</t>
  </si>
  <si>
    <t>n'ayant pas eu besoin de leur service a ce jour je ne peu donner d'avis</t>
  </si>
  <si>
    <t>15/10/2017</t>
  </si>
  <si>
    <t>albert-58228</t>
  </si>
  <si>
    <t>très déçu de leur réponse augmentation de 25% sur mon contrat habitation , je n'ai déclaré aucun sinistre depuis mon adhésion , je pense à une erreur , non , c'est normal , ce n'est pas nous qui fixons les barèmes ?
je veux bien accepter une augmentation de 2 ou 3 % 
mais pas 25 %   explication : nous avons eu beaucoup de sinistres déclarés cette année , ce n'est pas nous qui fixons les barèmes ?   heu ...........  j'attends toujours .........</t>
  </si>
  <si>
    <t>20/10/2017</t>
  </si>
  <si>
    <t>helene-c-130242</t>
  </si>
  <si>
    <t>bien prix service internet ont verra si il sinistre y à lieu, domage quon ne puisse pas contacter une personne au telephone, pour nous aiguiller sur le devis.</t>
  </si>
  <si>
    <t>30/08/2021</t>
  </si>
  <si>
    <t>daniele-99679</t>
  </si>
  <si>
    <t xml:space="preserve">Attention ! à fuir immédiatement =&gt; pas d'interlocuteur joignable =&gt; pas de TIERS PAYANT ???? on marche sur la Lune !
A FUIR ! 
Voilà une semaine que j'essaie de joindre une personne sans succès !
Pas de Tiers Payant pour cette mutuelle ...fuyez ....loin très loin ... </t>
  </si>
  <si>
    <t>05/11/2020</t>
  </si>
  <si>
    <t>harper-s-134111</t>
  </si>
  <si>
    <t>Commercial à l'écoute de mes demandes et proactif pour conseiller sur les caractéristiques du véhicule, tarif attractif pour des garanties convenables, souscription simple et rapide!</t>
  </si>
  <si>
    <t>batista938-109836</t>
  </si>
  <si>
    <t xml:space="preserve">franchement c'est pas sérieux j'ai perdu mon pere 
en 2019 aucun respect de leur part il me réclame des pièces limite impossible à avoir 
et à chaque envoi il me réclame une autre pièce a ce jour ce n'est pas  régler 
ya n vrais harcèlement moral mais aucune solution pour moi je sais plus quoi faire  
 </t>
  </si>
  <si>
    <t>Sogecap</t>
  </si>
  <si>
    <t>hoop-54171</t>
  </si>
  <si>
    <t xml:space="preserve">Bonjour,
J'ai subi un dégât des eaux fin septembre. l'expert de chez texa me demandait un complément d'information et justificatifs concernant mes électroménagers touchés. J'ai été indemnisée d'une première partie et envoyé les justificatifs manquants le 22/10 à TEXA après le passage du réparateur. Le cabinet texa fait silence radio malgré mes multiples relances depuis la transmission des justificatifs. Quant à SOGESSUR complétement impossible de les avoir au téléphone. J'ai appelé des dizaines de fois , au bout un serveur vocal qui me dit que tous les conseillers sont en ligne et de renouveler mon appel. C'est inadmissible, cela fai 3 semaines que je tourne en rond  </t>
  </si>
  <si>
    <t>Sogessur</t>
  </si>
  <si>
    <t>13/11/2018</t>
  </si>
  <si>
    <t>cedric-133244</t>
  </si>
  <si>
    <t xml:space="preserve">Bonjour à Tous
Un résumé de 19 mois de problèmes avec la MAIF.
Cela faisait 30 ans que j'étais chez eux.
** Décembre 2019 / sinistre /CLIO 2. (petite tempête qui inonde ma CLIO)
** Expertise en février 2020 (2 mois pour expertiser)
** Devis réparation expert : 335€. (février 2020)
** J'alerte la MAIF sur le fait que RENAULT (par connaissance) voit plus de 1200€ de réparations
** Facture finale payée par la MAIF : 1088€. (réparation FIN JUILLET 2020, 8 mois après le sinistre)
** Pourquoi MAIF accepte le passage de 335€ à 1088€ : l'Expert à modifié les dates car CLIO épave à 800€ / réparation finale 1088€ 
** Hors véhicule épave à 800€ mais la MAIF n'en a pas tenue compte. (préférant me proposer au départ 90€ pour ma CLIO).
** Modifications des dates expertises : reconnu par Médiateur des assurances, 7 mois de médiation au lieu de 3 mois, la MAIF n'a pas fourni toutes pièces du dossier, dont la valeur épave de 800€
** La MAIF a réglé la facture plus de 3 fois le devis sans même voir que le réparateur avait fait une fausse facture
** J'ai du récupérer ma CLIO non réparée et épave ! 
** Récupéré avec nouveau sinistre : les phares avant, durant les 8 mois de stockage au soleil ont brulés / reconnu par un nouvel expert / mais la MAIF n'a pas voulu indemniser
** Sept. 2020 J'ai demandé à la MAIF d'arrêter mon assurance car CLIO épave / sur cales / sans roues / sans batterie / sans carburant / sur terrain clos et privé / REFUS DE LA MAIF alors que obligatoire de stopper (code des assurances)
** J'ai donc payé mon assurance de sept.2020 à avril 2021
** Lorsque la MAIF a reconnu son erreur (assurance sur épave) en AVRIL 2021 / elle a stoppé l'assurance et demandée le remboursement / j'ai touché 4.67€ pour 8 mois d'assurance demandé à tors
** Malgré mes relances, la MAIF ne me rembourse pas les 8 mois de leur erreur
** Un dame de MAIF responsable du dossier s'oppose à toute réouverture du dossier, pour en comprendre les problèmes
** Un responsable de délégation MAIF qui me dit être juste commercial, ne pas vouloir m'aider et  critique les concurrents en multipliant la discrimination agressive
** Il faut se rendre à l'évidence, pour moi la MAIF est certainement devenue la PIRE DES ASSURANCES
** Départ pour la concurrence, beaucoup mieux assuré et 20% moins cher
</t>
  </si>
  <si>
    <t>05/10/2021</t>
  </si>
  <si>
    <t>jacquement-m-112181</t>
  </si>
  <si>
    <t>Je suis très satisfaite des services de votre organisme. Mon interlocuteur premier a été très pro. Ayant pris ma décision le lendemain mon autre interlocutrice fut aussi très pro et rapide. Merci à toute l'équipe.</t>
  </si>
  <si>
    <t>dj-60495</t>
  </si>
  <si>
    <t xml:space="preserve">Je viens à peine de souscrire à une assurance auto et premier problème.  En effet, j'ai fait un devis en ligne et trouvé que le montant de la cotisation était attractif, tout en sachant que celui-ci allait certainement changé au moment de la souscription (à la hausse). Lors de l'acquisition du véhicule, j'appelle direct assurance et la conseillère me pose toutes les questions dont elle a besoin, je lui répond clairement et me confirme mes dires comme une pro,  à savoir si elle a bien entendu.
Je souscris, reçois l'échéancier, satisfaite de celui-ci,  je signe le contrat électronique.
1 semaine plus tard je reçois un nouvel échéancier avec une différence de 500e,  à la hausse bien sûr. Surprise, j'appelle direct assurance et le conseiller m'annonce que "c'est normal" parce la conseillère aurait mis que j'ai obtenu mon permis en 2003 alors que celui-ci a été obtenu en 2016 donc jeune conducteur et essaye de me faire un reproche en disant que j'aurais dû mettre sur le devis qu'ils ont reçu la bonne date d'obtention du permis. Entre 2003 et 2016 il y a de la marge et en aucun cas je n'aurais mis cette date, pour quelle raison.. Sérieux ?
Du coup, pour une première relation sa démarre mal hein, je ne pense pas recommander cette assurance à mes amis au pire je leur expliquerai d'abord mon entrée en relation avec eux !! </t>
  </si>
  <si>
    <t>15/01/2018</t>
  </si>
  <si>
    <t>01/01/2018</t>
  </si>
  <si>
    <t>chichine-79310</t>
  </si>
  <si>
    <t>Locataires on a subi un dégât des eaux à cause d'une fuite sur canalisations encastrées. Suite à recherche de fuite, c'était au propriétaire de faire les réparations (nouvelle convention de 2018 pour les DDE en maison individuelle). Le propriétaire menaçait de faire une retenue pour remise en état lors de notre départ. J'en ai informé la gestionnaire qui a contacté directement le propriétaire. Résultat: problème résolu ! Merci groupama</t>
  </si>
  <si>
    <t>Groupama</t>
  </si>
  <si>
    <t>18/09/2019</t>
  </si>
  <si>
    <t>med-130141</t>
  </si>
  <si>
    <t xml:space="preserve">Ayant eu besoin de leurs services suite à un accident la vie, j'ai été très content de trouver oreille attentive et compréhensive.
Du coup, le dossier a bien été traité et j'ai pu soufflé.
Merci encore </t>
  </si>
  <si>
    <t>elisabeth-r-112491</t>
  </si>
  <si>
    <t>nous sommes entièrement satisfait de vos services.
les tarifs nous conviennent.
correspondance par mail au top
Rien de plus à formuler.
bonne journée.</t>
  </si>
  <si>
    <t>03/05/2021</t>
  </si>
  <si>
    <t>martin-borret-f-122295</t>
  </si>
  <si>
    <t>très bien pour le moment et je suis satisfait et dans ce cas certainement un autre véhicule à assurer chez vous.
bien cordialement en vous souhaitant une bonne journée</t>
  </si>
  <si>
    <t>04/07/2021</t>
  </si>
  <si>
    <t>cisco-76948</t>
  </si>
  <si>
    <t>En cas de divorce c'est la cata!!!
Les contrats sont créés aux noms d'une seule personne (le fonctionnaire) et le conjoint est juste un "sous-client". 
Apres une procédure de divorce houleuse, mon ex m'a simplement effacé des contrats et la GMF me refuse la délivrance d'un relevé d'information sans son autorisation (ce qu'elle refuse évidemment)... un vrai cauchemar! 
Et pourtant j'étais désigné comme conducteur principal du véhicule.</t>
  </si>
  <si>
    <t>20/06/2019</t>
  </si>
  <si>
    <t>lzr-yoyo-86944</t>
  </si>
  <si>
    <t xml:space="preserve">Voilà plusieurs moi que je suis assuré chez eux . Je viens de changer de véhicule alors je demande un transfert d'assurance et on me répond que c'est impossible etc... Alors qu'il est bien indiqué sur le site qu'ils font des avenants . En plus de ça je n'ai jamais reçu la carte verte et cela fait plusieurs mois que je suis chez eux . Un client de perdu et direction tribunal. </t>
  </si>
  <si>
    <t>10/02/2020</t>
  </si>
  <si>
    <t>01/02/2020</t>
  </si>
  <si>
    <t>lea-z-129382</t>
  </si>
  <si>
    <t>Je suis satisfaite des prix, c'est assez simple a comprendre et a remplir. Rapide et efficace, bonne compréhension des directives à suivre, je recommande</t>
  </si>
  <si>
    <t>morgui03*-102766</t>
  </si>
  <si>
    <t>Je n'avais pas eu de soucis les années passées pour la sur surcomplémentaire. Là, impossible de les joindre depuis 1 semaine.  Pas de réponses au  téléphone, on a beau sélectionner l'option qu'ils nous rappellent, que dalle. Pas de réponse mail pour savoir si ils ont bien reçu ma demande de remboursement. Vu les commentaires j'ai peur.</t>
  </si>
  <si>
    <t>Cegema Assurances</t>
  </si>
  <si>
    <t>17/01/2021</t>
  </si>
  <si>
    <t>stephane-p-132148</t>
  </si>
  <si>
    <t xml:space="preserve">Les différentes formules et les prix sont intéressants.
La possibilité de souscrire pour un véhicule de collection.
La simplicité de souscrire à distance.
</t>
  </si>
  <si>
    <t>egloff-o-110673</t>
  </si>
  <si>
    <t>Imposer la signature d'un mandat de prélèvement alors qu'on paye par CB est un abus, cela relève d'une collecte d'information dont vous n'avez pas à avoir connaissance. Le mandat sera révoqué dès son enregistrement par la banque.</t>
  </si>
  <si>
    <t>josiane-blanquier-102699</t>
  </si>
  <si>
    <t xml:space="preserve">En cas de sinistre. Pas de suivi
Plusieurs interlocuteurs. Ne rappellent pas. Cela fait 3 semaines que l'on attend une validation pour le remplacement d'une glace toit ouvrant.  
Malheureusement ce n'est pas un cas unique puisque cela a mis 7 mois pour être remboursé pour le remplacement d'un rétroviseur.  Je précise que je suis assuré tous risques. </t>
  </si>
  <si>
    <t>15/01/2021</t>
  </si>
  <si>
    <t>pirlote-71448</t>
  </si>
  <si>
    <t>Service client réclamations incompétent soit ils ne savent pas lire soit il font exprès de ne pas comprendre, si vous posez la question "votre intervention est-elle légale" il est impossible de recevoir une réponse après 2 demandes, que cache cette non réponse????</t>
  </si>
  <si>
    <t>19/02/2019</t>
  </si>
  <si>
    <t>01/02/2019</t>
  </si>
  <si>
    <t>raillard-l-116908</t>
  </si>
  <si>
    <t xml:space="preserve">Je suis satisfaite de ce service efficace. 
Signature rapide et facile, après avoir parcouru les documents à signer. La réception du mot de passe a été efficace </t>
  </si>
  <si>
    <t>13/06/2021</t>
  </si>
  <si>
    <t>g-94315</t>
  </si>
  <si>
    <t>Ok a voirnpar là suite .... je sais rien on verra bien. C est les moins cher et avec une option en plus sont chères. 10€ par mois pour un véhicule de prêt, et une assurance 0km</t>
  </si>
  <si>
    <t>16/07/2020</t>
  </si>
  <si>
    <t>kamoulini-71991</t>
  </si>
  <si>
    <t>J'ai souscrit à un contrat le 12 décembre, à ce jour je n'ai toujours pas de carte mutuelle et la mutuelle ne s'est pas encore connecté à mon compte améli,je suis obligé d'avancer l'argent à chaque fois je suis fatigué de relancer à chaque fois sans jamais de réponse ni par mail ni par téléphone, la meilleur c'est que la conseillère me dit que j'allais payé 17,53 euros et à ma surprise c'est 22,25 euros qui sont prélevé je regrette d'avoir pris harmonie,  réfléchissez  avant de s'engager .</t>
  </si>
  <si>
    <t>08/03/2019</t>
  </si>
  <si>
    <t>01/03/2019</t>
  </si>
  <si>
    <t>cassou-67699</t>
  </si>
  <si>
    <t>ils ont  refusé de payer mes dommages suite a accident grave, alors que j'avais souscrit la corporel conducteur. soit disant parce que c'était en trajet travail, mais j'étais assuré trajet travail/loisir</t>
  </si>
  <si>
    <t>15/10/2018</t>
  </si>
  <si>
    <t>camara-a-133238</t>
  </si>
  <si>
    <t>je suis satisfait pour la rapidité d'exécution de ma demande. Le tarif me semble un peu chère, mais pour le besoin ça reste acceptable. J'attends la suite...</t>
  </si>
  <si>
    <t>julie-w-130692</t>
  </si>
  <si>
    <t>J'ai adoré payer mon assurance Auto mobile grâce à direct assurance. Le site est simple d'utilisation, les prix sont standards, bref c'est vachement bien.</t>
  </si>
  <si>
    <t>philippe-s-105847</t>
  </si>
  <si>
    <t>Très satisfait pour la rapidité.
Je suis très surpris d'avoir pu souscrire ce contrat en ligne en quelques minutes.
J'espère que Direct Assurances respectera tout ce qui est écrit dans le contrat.</t>
  </si>
  <si>
    <t>kawha-79497</t>
  </si>
  <si>
    <t>Abominable.  Ne lisez pas les messages positifs ci-dessous, c'est Santiane qui les écrit. Suivi client nul, remboursement bancal. A FUIR !!!!</t>
  </si>
  <si>
    <t>26/09/2019</t>
  </si>
  <si>
    <t>jeromel-62665</t>
  </si>
  <si>
    <t>Bonjour. Après quelques mois paisibles, Direct Assurance m'a prélevé un montant énorme sans aucune explication. Après bon nombre de discussions téléphoniques infructueuses, voire inutiles, j'ai finalement du opposer leurs prélèvements. 
Cela n'a rien changé. Nous avons donc du écrire un recommandé pour essayer de discuter avec le siège. Le monsieur en charge de notre dossier a répondu favorablement, cependant les actions ensuite menées étaient loin de ce qui avait été promis par téléphone. Après de nombreux mois de bataille, j'ai finalement payer pour voir mes contrats résiliés. Impossible de joindre le siège autre que par courrier. Très déçu, cela m'a coûté très cher, et aujourd'hui je peine même à récupérer mon relevé d'information.</t>
  </si>
  <si>
    <t>26/03/2018</t>
  </si>
  <si>
    <t>raf69-88415</t>
  </si>
  <si>
    <t xml:space="preserve">bonjour en accident depuis le 29-08-2019 le calvaire continue malgré ma persévérance et ma bonne fois  entre les délais administratif ,l attente au telephone le balotage entre les services....
début fevrier je reçois un paiement de 2 mensualité je me suis dit enfin le bout du tunnel...début mars n ayant rien reçue je les appel et la on me dit que les paiment sont bloqué depuis le 30 janvier.. et que je vais recevoir un courrier dans 3,4 jours pour rencontré un expert ? de bonne fois je me dit ok je recois le courrier et la je vois la date du 3 mai.. pour un rdv.... j appel april et la demande un responsable qu on ne me passe pas et me dit qu il va me rappeler rapidement ....  j attend toujours :p
comment donné un avis sur un traumatisme 3 mois apres...? je vais du kiné 3 fois par semaine  (opération de la main droite réduction de la 1ere rangé de carpe et scaphoïde opération assez lourde  je suis droitier )
 j espere que ma situation vs éclairera sur cette assurance </t>
  </si>
  <si>
    <t>19/03/2020</t>
  </si>
  <si>
    <t>jean-pierre--p-116310</t>
  </si>
  <si>
    <t>tres satisfait de vos tarifs et votre amabilite que se soit tel ou par message bien cordialement mr mme pouchet jean pierre 
 le mas blanc 15 rue de la valmanya  le boulou 66160</t>
  </si>
  <si>
    <t>08/06/2021</t>
  </si>
  <si>
    <t>sirib-76786</t>
  </si>
  <si>
    <t>Dommage que je ne puisse noter 0</t>
  </si>
  <si>
    <t>14/06/2019</t>
  </si>
  <si>
    <t>franck-l-105511</t>
  </si>
  <si>
    <t xml:space="preserve">Meilleure proposition d'assurance rapport options /prix pour une auto haut de gamme. 
Je suis en bonus 50%, pas de sinistre depuis 5 ans au moins.
Reste à voir la qualité de service en cas de sinistre !
</t>
  </si>
  <si>
    <t>ludo22350-95665</t>
  </si>
  <si>
    <t>Si je pouvais mettre 0, je mettrais 0, augmentation de ma cotisation alors que j'ai eu aucun sinistres !!! Et pour la résiliation... ils récupèrent tout ce qu'ils ont à récupérer !!! Entre la souscription et la résiliation, 3 versions différentes. Merci pour votre incompétence !!!</t>
  </si>
  <si>
    <t>30/07/2020</t>
  </si>
  <si>
    <t>ll-93787</t>
  </si>
  <si>
    <t xml:space="preserve">Le prix annuel est plus cher en passant pas mon espace client avec l'offre multidays qu'en passant par le site les furets.com avec les mêmes garanties. </t>
  </si>
  <si>
    <t>11/07/2020</t>
  </si>
  <si>
    <t>amal-104511</t>
  </si>
  <si>
    <t>Tu es assuré chez la banque populaire rive de Paris. Suite à de sinistre dans mon commerce toujours pas indemnisés depuis plusieurs mois et surtout il cherche des prétextes pour ne pas payer malgré que je fournis toutes les garanties attention et ne sont pas du tout fiable</t>
  </si>
  <si>
    <t>multirisque-professionnelle</t>
  </si>
  <si>
    <t>19/02/2021</t>
  </si>
  <si>
    <t>ns-122350</t>
  </si>
  <si>
    <t>L'assurance Auto Allianz est à éviter. Personnel incompétent, désagréable, ne voulant pas examiner mes preuves de non responsabilité à 100% suite à un accident avec ma voiture malgré une vidéo et des arrêts sur images extraits de ma dashcam, lesquels sont irréfutables. Aussi j'ai mentionné un article du code de la route dont ils ne veulent absolument pas entendre parler (l'article R415-1) qui aurait permis une non responsabilité à 100% mais 1 responsabilité à 50% au minimum si ils avaient pris la peine de le lire. J'ai formulé ma demande au service réclamation qui me balade. J'ai le numéro 978023 qui s'est transformé en 20215001726. Je met 0 sur 20 à cette assurance qui a préféré payer 6000 euros pour réparer ma voiture et celle de mon adversaire plutôt que de payer 3000 Euros en nous déclarant moi et mon fameux adversaire responsables à 50%.  Je leur ai apporté les preuves sur un plateau d'argent mais ils ne veulent rien entendre. Entêtement ou incompétence ou les 2 à la fois ?
En plus pour couronner le tout, un des membres du personnel m'a conseillé de retourner à l'école et à demander ma résiliation parce que j'ai osé les contredire sur ma mise en cause de ma responsabilité. Est-ce une façon de traiter les clients? Cette assurance est à fuir. Il vaut mieux payer plus cher et aller assurer son auto ailleurs.</t>
  </si>
  <si>
    <t>05/07/2021</t>
  </si>
  <si>
    <t>caro-138661</t>
  </si>
  <si>
    <t>Une accroché par le prix a la souscription et doucement, a coup de 5 a 10,% d augmentation par an les prix sont au double de ceux du marché....elle est belle la fidélité..bien récompensée au bout de 12 ans on se sent un peu abusé</t>
  </si>
  <si>
    <t>31/10/2021</t>
  </si>
  <si>
    <t>nr-96801</t>
  </si>
  <si>
    <t xml:space="preserve">Responsabilité civile 
Mon fils porte des prothèses amovibles en orthodontie. Il peut les enlever, quand il veut.
Nous avons reçu un couple d’amis, avec leur chiot.
Cette petite bête est entré dans la chambre de mon fils est à mâchouillé les prothèses. Elles sont bien sûr mortes !!!
Cela fait 20 mois, que je suis sur le dossier avec échanges de documents et mails, d’appels téléphoniques ect ect ...
Pour que la Macif qui est mon assureur me dit  que il n’y aura pas de recours possible étant donné que la CPAM et MA mutuelle ont remboursé une première fois les prothèses, c’est normale puisque ce sont des soins d’orthodontie. Ils sont là pour alléger les frais et là encore c’est moi qui paye.
Du coup, On refait faire les prothèses et je perds presque 500euros, puisque c’est au nombre de trimestre 
C’est une compagnie d’assurance que je ne recommande absolument pas 
Même quand on est pas fautif, il ne font pas le nécessaire pour constituer des dossiers 
</t>
  </si>
  <si>
    <t>29/08/2020</t>
  </si>
  <si>
    <t>kenza-d-137572</t>
  </si>
  <si>
    <t>Je suis satisfaite du suivie du dossier pour la souscription et du tarif qui est raisonnable pour assurer la moto. La souscription en ligne est rapide</t>
  </si>
  <si>
    <t>16/10/2021</t>
  </si>
  <si>
    <t>mimi40-91809</t>
  </si>
  <si>
    <t xml:space="preserve">J'ai voulu changer de voiture donc modifier mon contrat en cours à la GMF dont je suis sociétaire depuis 40 ans au moins.Il faut préciser qu'il s'agit d'un véhicule de même catégorie. Proposition de plus de 50% de ma cotisation actuelle. C'est alors que je m'aperçois que l'on me force la main en ajoutant 2 contrats :un  juridique et un accidents de la vie privée en avançant des arguments d'extrême nécessité sinon d'obligation....vente forcée quoi !!!!! </t>
  </si>
  <si>
    <t>22/06/2020</t>
  </si>
  <si>
    <t>bidule-129390</t>
  </si>
  <si>
    <t>Emeline:aimable compétente et très efficace rien à redire.pour le moment je n'ai aucune critique à formuler espérons que cela dure le plus longtemps possible</t>
  </si>
  <si>
    <t>romain--b-124653</t>
  </si>
  <si>
    <t xml:space="preserve">Je suis satisfait, car le site est fluide et intituif. J'ai pu m'assurer rapidement. Le seul problème notable c'est que l'on ne m'a pas proposé un paiement mensuel </t>
  </si>
  <si>
    <t>25/07/2021</t>
  </si>
  <si>
    <t>melanie83210-75197</t>
  </si>
  <si>
    <t xml:space="preserve">Il y a 10 mois, accident de voiture  avec délit de fuite de la personne ( qui a fait un contre sens) .  Nous avons retrouvé  la personne.  Ma voiture est économiquement  non réparable, carte grise  bloquée.   La macif  ne s'occupe pas de notre dossier, aucune  indemnisation. 
  </t>
  </si>
  <si>
    <t>18/04/2019</t>
  </si>
  <si>
    <t>nittis-l-114226</t>
  </si>
  <si>
    <t>Dans l'attente de voir le service apporté lors d'un sinistre. Après tout c'est pour cela qu'on paye. Un peu de texte pour mettre des caractères c'est important.</t>
  </si>
  <si>
    <t>19/05/2021</t>
  </si>
  <si>
    <t>33didinedu33750-75401</t>
  </si>
  <si>
    <t xml:space="preserve">Je tiens à remercier particulièrement Erika de m'avoir aidée à résoudre mon problème, je revient vers vous l'année prochaine à ma résiliation de mon contrat assurance mutuel actuel. </t>
  </si>
  <si>
    <t>26/04/2019</t>
  </si>
  <si>
    <t>rouveloup-117449</t>
  </si>
  <si>
    <t>Je n'ai eu aucun problème avec cette assurance au cours des 10 dernières années.
J'ai seulement déploré récemment qu'elle cède la gestion à Europe Assistance</t>
  </si>
  <si>
    <t>18/06/2021</t>
  </si>
  <si>
    <t>fred-faucheux-99272</t>
  </si>
  <si>
    <t>Tout se passait très bien après 1 an d'assurance chez L'Olivier. Je payais 464€/an en formule tout risque
J'ai eu un sinistre non responsable. Choc par l'arrière donc reconnu comme tel par l'assurance. A la date anniversaire du contrat j'ai eu la désagréable surprise de voir le montant de mon assurance doubler soit 901€/an.
Je contacte l'assurance qui me dit que c'est comme ça chez l'Olivier : tout sinistre responsable ou non responsable impacte le tarif annuel. C'est à dire que l'Olivier ne paye rien par rapport au sinistre puisque non responsable mais en plus récupère plus d'argent sur le dos de son client "non responsable". En fait chez L'Olivier, vous payez une assurance qui vous donne juste le droit de conduire mais surtout il ne faut pas l'utiliser.
Vous vous ferez votre propre analyse de mon expérience. J'ai eu mon permis en 87, et jamais d'accident responsable.</t>
  </si>
  <si>
    <t>27/10/2020</t>
  </si>
  <si>
    <t>alexvast35-65798</t>
  </si>
  <si>
    <t xml:space="preserve">Voilà je suis content du service client, mais je trouve payer un peu chère  j’ai appeler pour prévenir que j’avais trouvé moin chère ailleurs mais vous n’avez pas pu vous aligner, c’est Dommage j’hesite Donc à partir vers un autre assureur c’est quand même dommage sachant que j’ai payé 125 euros mon assurance chez vous tout les mois </t>
  </si>
  <si>
    <t>26/07/2018</t>
  </si>
  <si>
    <t>sylvain-h-126956</t>
  </si>
  <si>
    <t>Je suis satisfait, j'espère ne pas être déçu des garanties en cas de sinistre.
La saisie du dossier est simple et pratique
Je recommanderais probablement Directassurance en cas de besoin</t>
  </si>
  <si>
    <t>07/08/2021</t>
  </si>
  <si>
    <t>suziev-98268</t>
  </si>
  <si>
    <t xml:space="preserve">Catastrophique. Un soucis avec la mutuelle et personne pour répondre au téléphone. Impossible non plus de les contacter par mail. C'est inadmissible. Comment fait on quand on en a besoin ??? </t>
  </si>
  <si>
    <t>02/10/2020</t>
  </si>
  <si>
    <t>assur1-138551</t>
  </si>
  <si>
    <t>Contrat habitation résilié par la MATMUT suite à un épisode de grêle qui a endommagé notre habitation et malheureusement, une tempête 1 mois plus tard qui a également causé des dégâts! Deux sinistres dont nous ne sommes PAS responsables!
Les valeurs et engagements de la MATMUT (visibles sur leur site web) = "LA MATMUT, UNE ENTREPRISE PAS COMME LES AUTRES... SOLIDARITÉ, Parce que la Matmut porte dans ses gènes la solidarité". 
Donc effectivement suite à une situation climatique difficile sur notre région cette année, la MATMUT est "solidaire" et résilie notre contrat. 
Entreprise citoyenne? 
Je vous laisse en juger et faire votre choix pour votre prochaine assurance</t>
  </si>
  <si>
    <t>29/10/2021</t>
  </si>
  <si>
    <t>louise-66162</t>
  </si>
  <si>
    <t>La maaf à résilié mon contrat car 2 petits sinistres et une panne en un an et demi alors que je suis chez eux depuis 4 ans et je n'ai jamais eu de problème . A se demander pourquoi on est assurés.Le conseiller a sousentendu que le fait de ne pas avoir d'autres produits chez eux a été un argument supplémentaire. C'est assez intéressant... quelle bande d'incompétents.
Je ferai en sorte de vous faire la pub que vous méritez. Et d'inciter ma famille a résilier tout contrat de toute sorte détenu à la maaf.
Bien cordialement.</t>
  </si>
  <si>
    <t>13/08/2018</t>
  </si>
  <si>
    <t>titoanne-58607</t>
  </si>
  <si>
    <t>bonjour, j'ai eu un mélanome stade 4 qui m'a laissé de lourdes séquelles sur mes bras.Au bout de 3 ans on m'a mis en invalidité à 100 pour cent dans ma catégorie socio professionnelle.Sauf cardif qui m'a mis à -33 pour cent aprés passage chez un expert qui m'a dit que l'assurance voulez savoir : est elle capable de gagner encore des sous J'ai été complètement culpabilisé ce qui m'a fait pleurer et j'ai vécu cette expertise difficilement car j'ai senti de suite que j'avais perdu.J'attend mon rapport d'expertise mais malheureusement la catégorie invalidité 2 et remboursement de pret ne font pas bon ménage puisque vous avez perdu d'avance c'est le médecin de l'assurance qui met le taux qu'il veut. Alors messieurs les assureurs stipuler dans vos contrats que vous ne payerez pas les invalidités 2 au lieu de nous faire passer devant des experts car quand on a eu un cancer comme moi on vient de passer 3 ans à se battre dans des hopitaux et vous nous faites miroiter quelque chose qui est perdu d'avance.Vous devriez avoir honte!!!</t>
  </si>
  <si>
    <t>06/11/2017</t>
  </si>
  <si>
    <t>gmffy-71892</t>
  </si>
  <si>
    <t xml:space="preserve">nul de chez nul  ils ont une tresorie a gérer moins ils t en rendent plus ils sont contents ils ont toutes les techniques meme leur propre association qui se dit de ton coté et qui est juste la pour vous faire attendre un peu plus tranquillement plus d'an de 2 ans d'attente attention il faut les relancer autrement vous avez tout perdu avec lettre ar on peut meme se demander ci c est vraiement une assurance </t>
  </si>
  <si>
    <t>05/03/2019</t>
  </si>
  <si>
    <t>laurent-k-109567</t>
  </si>
  <si>
    <t xml:space="preserve">les prix ne font que grimper , ce qui m'insiste a vous quitter.
le service clientèle ne répond pas a mes questions et les personnes au téléphone ne sont , apriori , pas la pour nous aider </t>
  </si>
  <si>
    <t>arsene87-89226</t>
  </si>
  <si>
    <t xml:space="preserve">Voilà une mutuelle qui arrive à allier garanties médiocre et tarif élevée. Je ne pensais pas sans l'avoir vécu qu'on pouvait cumuler autant de lenteur administrative, de perte de document, d'erreur de remboursement , dans une seule entreprise .  </t>
  </si>
  <si>
    <t>28/04/2020</t>
  </si>
  <si>
    <t>01/04/2020</t>
  </si>
  <si>
    <t>sphinx94-76406</t>
  </si>
  <si>
    <t>Adhérent depuis 01/01/2020,pour l'instant je peux pas juger,mais j'ai un problème je n'arrive pas à ouvrir l'application April sur mon mobile et tous les service appeler ne peux pas m'aider,et je commence par être déçu et je n'ai jamais reçu de code QR pour m'identifier.</t>
  </si>
  <si>
    <t>16/01/2020</t>
  </si>
  <si>
    <t>anass-e-134961</t>
  </si>
  <si>
    <t xml:space="preserve"> Très content de l'aimabilité du conseiller DirectAssurance par téléphone. 
Je vais recommander 'DirectAssurance à tous mes proches.
Etant un jeune conducteur je peux profiter de l'assurance connectée.
Merci</t>
  </si>
  <si>
    <t>28/09/2021</t>
  </si>
  <si>
    <t>ana-d-106253</t>
  </si>
  <si>
    <t>Je suis satisfaite des prix car pour le moment, direct assurance est l'assurance la plus raisonnable pour mon véhicule.  J'ai eu de la chance de pouvoir souscrire au contrat avec Mariam qui a été très professionnelle et patiente (je lis chaque phrase et pose beaucoup de question).  Je ne suis pas sentie oppressée vis à vis des offres, nous pouvons prendre notre temps pour réfléchir.</t>
  </si>
  <si>
    <t>11/03/2021</t>
  </si>
  <si>
    <t>shania-132032</t>
  </si>
  <si>
    <t>Je me suis connectée pour la 1 ère fois aujourd'hui, je suis chez cet assureur depuis cette année. 
J'ai eu un Monsieur très professionnel, patient et très aimable. 
Comme il s'agit de ma 1 ère demande je verrai par la suite. 
Mais très bon accueil j'apprécie</t>
  </si>
  <si>
    <t>09/09/2021</t>
  </si>
  <si>
    <t>ambs-d-114138</t>
  </si>
  <si>
    <t xml:space="preserve">Je suis satisfait des renseignements téléphoniques. Conseillère très aimable et patiente.  Démarches faciles et rapides à réaliser. Tarifs corrects.   </t>
  </si>
  <si>
    <t>18/05/2021</t>
  </si>
  <si>
    <t>gami-61526</t>
  </si>
  <si>
    <t>Bonjour moi aussi je suis assuré chez MAAF  de puis 2016 j'ai 2 voiture chez eux plus assurance scolaire 
J'ai  des copain il sont assurée chez MAAF grâce à moi
La ça fait 15 jour  m'arrive un accident non responsable  tout l'avant + côté droite complet mon assurance m'envoyer un Expert qui travaille auto expertise Cholet
J'ai ramène mon vehicule au garage l'expert passé après j'ai contacté le Mr expert pour voir mon dossier lui il m'a répondu votre voiture vous avez touché avec un poutou et des coup des pied en plus de ça en vien de faire la peinture complet plus en à changé le pare choc avant neuf
Le Grand Expert il voulait pas prendre tout en charge ilbma dit que je vais réparé le pare choc arrière et rétroviseurs + la jante mes ma voiture tout l'avant et côté droit 
J'ai même le constat
La je vais faire contre expertise je vais payé 600€ de ma poche et en plus ma voiture assuré tout risque 
J'ai contacté mon assurance MAAF  il m'a dit nous en repare ce qui écrire sur le rapport de l'expert 
Prochainement je Vais faire un vidéo de ma voiture complet et je vais le transmettre sur FACEBOOK  ET SUR  AUTRE SITE 
QUE MAAF ASSURANCES AVEC LEUR PUBLICITÉ QUE DES MONSAGE POUR RETIRÉ LES CLIENT
MAAF C'EST NUL 
Avant j'étais chez Axa assurance et chez AGF c'est les meilleurs</t>
  </si>
  <si>
    <t>17/02/2018</t>
  </si>
  <si>
    <t>pepette59-56445</t>
  </si>
  <si>
    <t>Comment se fait il que vous ayez en votre possession les numéros de compte de vos potentiels clients avant même de les avoir appeler afin de les embobiner pour adhérer à votre assurance santé? 
Je compte bien porter plainte!</t>
  </si>
  <si>
    <t>02/08/2017</t>
  </si>
  <si>
    <t>01/08/2017</t>
  </si>
  <si>
    <t>fremont-n-133164</t>
  </si>
  <si>
    <t>-Très bonne réactivité. 
- Clarté dans les explications.
- Simplicité pour finaliser le contrat.
- Prix du contrat 
très attractif. 
- Facilité pour finaliser le contrat.</t>
  </si>
  <si>
    <t>poublan-r-127505</t>
  </si>
  <si>
    <t>Pour un service en ligne, je m'attendais à recevoir plus rapidement les emails de confirmation de création de compte, documents temporaires (carte grise etc)... surtout quand on voit que la confirmation quant à elle, est passée rapidement.
Le site présente quelques dysfonctionnements au niveau de l'authentification, la session est créée, mais on se retrouve à s'identifier à multiple reprise...
A mon humble avis, le standard ouvre à 9h, je regrette un service avec une fourchette plus large.</t>
  </si>
  <si>
    <t>11/08/2021</t>
  </si>
  <si>
    <t>piroulet-79142</t>
  </si>
  <si>
    <t xml:space="preserve">Beaucoup trop d'inertie.
Contrat effectif  depuis fin juillet et toujours pas de code d'accès malgré les réclamations .
Le contrat est revenu par courrier au bout d'un mois.
</t>
  </si>
  <si>
    <t>12/09/2019</t>
  </si>
  <si>
    <t>manfran-61375</t>
  </si>
  <si>
    <t xml:space="preserve">Je suis indirectement chez eux par le biais de ma banque pour une assurance vie et je constat cette semaine une perte de 2000 € la cause des marche sont pas au beau fixe, mais lorsque les marchés vont bien c'est par dizaine ou éventuellement des centaines de temps a autres que mon compte remonte donc de faux espoirs sur le long terme. C'est pas la première fois. a vous de voir mais je pense que le petit paye pour les gros.
Pour les services client et qualité des garanties j'ai mis 2 étoiles mais je ne traite pas avec eux directement. 
 </t>
  </si>
  <si>
    <t>12/02/2018</t>
  </si>
  <si>
    <t>metm-65503</t>
  </si>
  <si>
    <t>Mutuelle d'Assurance Chère Injoignable F (si vous trouvez un mot commençant par F synonyme de  désagréable, je prends !! )</t>
  </si>
  <si>
    <t>15/07/2018</t>
  </si>
  <si>
    <t>lotfi-d-109938</t>
  </si>
  <si>
    <t xml:space="preserve">Je suis satisfais des prix et services d’april moto et je recommande cette assurance pour tout conducteur de deux roues
Bon pour accord acquis de droit lu et approuvé nul si découvert </t>
  </si>
  <si>
    <t>ki021876-87046</t>
  </si>
  <si>
    <t xml:space="preserve">A FUIR ABSOLUMENT !!!!
J'ai eu un affaissement de terrain suite à l'épisode de sécheresse de 2018. Plusieurs personnes de la villes ont eu ce phénomène qui a été reconnu en catastrophe naturelle par l'état. J'ai des fissures latérales au niveau de la jonction du terrain avec les murs de ma maison. Après un long moment pour me réppondre et demander un expert, l 'Expertise a été réalisée en 10mn montre en mains par l'expert de la MATMUT concluant, sans faire d'analyse de sol, à un défaut de fabrication de la maison (problème de remblais) alors que la maison a plus de 30 ans et que jusqu'ici il n'y a jamais eu de problèmes. 
Refus d'indemnisation de la part de la MATMUT. 
Contre expertise de ma part, qui conclu au fait que la cause probable est la sécheresse car un problème de remblais se manifeste rapidement après la construction dans les 6 mois à 1 an et pas 30 ans après!
Je cherche à collecter des témoignages de personnes ayant la même expérience avec la MATMUT car il semblerait que cette compagnie fasse la sourde oreille face aux demandes légitimes de ses clients . 
Le processus semble bien organisé pour ne pas indemniser les clients . Nous sommes déjà plusieurs et voulons médiatiser cette affaire . </t>
  </si>
  <si>
    <t>24/02/2020</t>
  </si>
  <si>
    <t>inkbal-dine-n-125964</t>
  </si>
  <si>
    <t>Je suis très satisfait du service 
je recommande fortement leur service, rapide et efficace 
le prix est abordable par rapport à la plus part des assurance à Mayotte</t>
  </si>
  <si>
    <t>yazanouu-60125</t>
  </si>
  <si>
    <t xml:space="preserve">je suis tres satisfaite du service ... conseillère tres sympa qui prends son temps a m'expliquer les pourcentage et a comparer d'une manière concrète et réels </t>
  </si>
  <si>
    <t>03/01/2018</t>
  </si>
  <si>
    <t>tls-80168</t>
  </si>
  <si>
    <t>interlocutrices incompétentes au 1er problème on découvre qu'ils ne servent à rien tout doit être fait par le client</t>
  </si>
  <si>
    <t>17/10/2019</t>
  </si>
  <si>
    <t>01/10/2019</t>
  </si>
  <si>
    <t>genevieve-92569</t>
  </si>
  <si>
    <t xml:space="preserve">Je suis bénéficiaire avec mes frères d'une assurance-vie Cardif souscrite par ma mère, décédé en 2017.
au mois de janvier 2020 le dossier était complet et l'entrée aurait dû être quasi immédiate
Après 6 mois, j'attends toujours «Délai de traitement », «problèmes internes », «règlements de nouveau initiés », «problèmes de transfert» . . . 
J'ai perdu la patience!
Faudra t'il que je passe par la justice pour que Cardif fasse son travail?
C'est toujours la même technique « gagner du temp » et garder l’argent le plus longtemps possible.
IL FAUT EVITER DE SOUSCRIRE UNE ASSURANCE-VIE AVEC CARDIF !
LAMENTABLE ! A FUIR !  
</t>
  </si>
  <si>
    <t>28/06/2020</t>
  </si>
  <si>
    <t>jean-marc-l-117995</t>
  </si>
  <si>
    <t>simple et pratique, prix corrects. Mon agence à Carcassonne a toujours répondu à mes questions, toutefois les temps d'attente sont parfois trop longs .</t>
  </si>
  <si>
    <t>23/06/2021</t>
  </si>
  <si>
    <t>obigwen-105154</t>
  </si>
  <si>
    <t xml:space="preserve">Assuré depuis 2010 et sans abusé de leurs "services" chaque année, je me suis vu gentillement dégagé suite à 1 accrochage(en 3 ans).
Respect a tous les conseillers qui doivent subir l'agacement des particuliers suite au fonctionnement irréel de cette société, et régit par des lâches qui se cachent, et surtout en cette période, mais bon cela ne doivent pas porter de masques... 
</t>
  </si>
  <si>
    <t>02/03/2021</t>
  </si>
  <si>
    <t>perelman-e-138189</t>
  </si>
  <si>
    <t xml:space="preserve">Je suis satisfait du service avec une facilité hors norme, tout est intuitif et didactic. Je recommande vivement ce type d'assurance. En espérant n'en avoir jamais besoin. Au cas ou, car la dernière assurance s'est défilé lorsque j'ai eu besoin d'eux alors que ça faisait déjà 4 années que je cotisais fidèlement. L'avenir nous le dira ! </t>
  </si>
  <si>
    <t>25/10/2021</t>
  </si>
  <si>
    <t>marais-a-131042</t>
  </si>
  <si>
    <t>Je suis satisfait des services, des prix et des renseignements fournis pour la souscription du contrat d'assurance pour le première voiture de ma fille.</t>
  </si>
  <si>
    <t>03/09/2021</t>
  </si>
  <si>
    <t>orphee--96711</t>
  </si>
  <si>
    <t xml:space="preserve">J’ai fait des recherches sur les mutuelles sur un comparateur. A partir de ce jour une commerciale n’a pas cessé de me harceler. Elle était obséquieuse et sarcastique : Insupportable  et quand j’ai demandé des justificatifs sur les exclusions par mail elle n’a jamais répondu. Bref l’on m’a donné un nouveau contact lorsque j’ai envoyé un mail pour demander des explications sur des termes techniques aucune réponse. Bref j’ai encore reçu un appel de la commerciale qui a été détestable quand j’ai demandé des explications et de nouveau sarcastique. Et en me donnant des leçons. Bref quand je lui ai demandé de répondre à mon mail quand à la traduction des pathologies non prises en compte traduites en terme techniques sur le contrat elle m’a répondu « vous me faites chier » et m’a raccroché au nez. Morale : après le harcèlement l’indécence des commerciaux hors du commun que je remercie aujourd’hui car ils m’ont évité d’avoir souscrit à une assurance qui ne promet rien de bien </t>
  </si>
  <si>
    <t>26/08/2020</t>
  </si>
  <si>
    <t>lallou-59605</t>
  </si>
  <si>
    <t xml:space="preserve">Ne jamais rien prendre sur santiane
cliente très déçue! 
Ne répondent pas à leur obligation ( je n'ai eu ma carte tiers payant qu'aprés 1 an et aprés plsuieurs réclamation) 
et quand j'ai eu besoin de résilier ils n'acceptent pas !! 
</t>
  </si>
  <si>
    <t>12/12/2017</t>
  </si>
  <si>
    <t>dge-53463</t>
  </si>
  <si>
    <t>Ils sont très dangereux. Cela fait la troisième fois sur trois contrat différents qu'ils font des erreurs et que je me retrouve sans protection alors que je paye. Surtout n'y allez pas</t>
  </si>
  <si>
    <t>22/03/2017</t>
  </si>
  <si>
    <t>peter58-113745</t>
  </si>
  <si>
    <t>Je viens de prendre connaissance de votre commentaire et je regrette vivement votre insatisfaction. Si vous le souhaitez, je vous invite a nous contacter via la messagerie privée suivante [ https://m.me/maafassurances ] en indiquant vos coordonnées (nom, prénom, code postal et votre pseudo opinion assurances). Nous pourrons alors échanger à propos de votre situation. L'équipe réseaux sociaux MAAF reste à votre écoute.</t>
  </si>
  <si>
    <t>piano-122784</t>
  </si>
  <si>
    <t>Bonjour
alors la c'est bien la première fois que cela m'arrive.
j'ai déclaré un sinistre en ligne.
j'ai appelé un numéro pour savoir ou en était mon dossier.
la personne me dit ce  n'est pas le bon service, je  lui répond quand j'ai appelé on m'a donné ce numéro. Alors la je ne sais pas pourquoi la personne s'énerve et me raccroche carrément au nez.
super c'est ma mère qui est assurée et je faisais les démarches pour elle. j'ai hésité a moi aussi changer d'assureur mais la non merci je garde le mien. 
Gmf pas facile d'avoir quelqu'un de local au tél toujours ces plateformes sans jamais avoir un interlocuteur régulier!</t>
  </si>
  <si>
    <t>08/07/2021</t>
  </si>
  <si>
    <t>sissiane-131920</t>
  </si>
  <si>
    <t>Hé bien, effectivement, on juge une assurance en cas de sinistre....Sûr que pour faire le devis, il y a quelqu'un pour aider, pas de souci........mais, en cas de sinistre, déception et colère!!!!....Inimaginable!!!!.."votre sinistre sera traité dans les 48h....???????!!!!!!!"......
Sinistre déclaré depuis plusieurs jours, avec quand même mail de confirmation de réception......mais, ensuite c'est la mega galère..!!
Pas de nouvelles, pas de contact d'un conseiller comme promis, et le top, c'est que, quand on veut joindre un conseiller sinistre, un serveur vocal demande le numéro de sinistre....Ouf! enfin!!!.....mais NON!!!!!....à peine donné le numéro de sinistre, le serveur vous invite à envoyer un mail à "votre" conseiller"....ET RACCROCHE!!!! ET CECI? X FOIS!!!!! On envoie un mail, deux mails, sans réponse!!! On essaie d'appeler un autre numéro, mais le conseiller au bout du fil ne peut vous passer le service concerné!!!!
Il s'agit du véhicule de ma petite-fille dont elle a besoin pour aller en fac à 40 kms de chez elle....La voiture est en attente au garage sans avoir aucune notion de ce qui nous attend....et quand nous allons la récupérer..!!!!
Je regrette amèrement avoir souscrit là....des promesses, rien que des promesses!!!!!!!!!!!</t>
  </si>
  <si>
    <t>jm-58425</t>
  </si>
  <si>
    <t>Tout simplement trop chère le double du prix proposé par direct assurance</t>
  </si>
  <si>
    <t>27/10/2017</t>
  </si>
  <si>
    <t>serre-a-117182</t>
  </si>
  <si>
    <t>Le site de L'olivier est moderne et rend la souscription à un contrat d'assurance rapide et efficace. Les prix sont attractifs pour une assurance auto au tiers.</t>
  </si>
  <si>
    <t>16/06/2021</t>
  </si>
  <si>
    <t>y-133576</t>
  </si>
  <si>
    <t>Traitement des dossiers affreusement looong.....
A chaque appel des dates différentes comme si le dossier n'était pas le meme a chaque fois.
Propos des interlocuteurs destabilisants du genre je cite "moi j'ai pas la chance d'etre propriètaire comme vous et pourtant je suis malade et pas prise en charge".... charmant, ca vaut le coup de payer des assurances!!!!!!!
Moi je conseille aux assurés en difficulté de faire intervenir leurs assurances juridiques contre ce type d'individus, en tout cas moi c'est parti.</t>
  </si>
  <si>
    <t>catherine-a-110824</t>
  </si>
  <si>
    <t>pour le moment il est difficile de se faire une opinion sur la qualité des prestations et de l'efficacité. Je verrai à l'usage mais je remercie pour la rapidité de mise en place du contrat.</t>
  </si>
  <si>
    <t>18/04/2021</t>
  </si>
  <si>
    <t>abby060-58661</t>
  </si>
  <si>
    <t>Je déconseille fortement cette assurance . Je n ai jamais vu ça . Ils nous prennent pour des pions . Très chère  , aucune communication, zéro sérieux .le site est mal fait aussi , par ex les factures n apparaissent pas .</t>
  </si>
  <si>
    <t>07/11/2017</t>
  </si>
  <si>
    <t>coqueliquot-124194</t>
  </si>
  <si>
    <t>Adhérente depuis de nombreuses années, je demande une réévaluation de mes garanties à la hausse sans avoir en prévision hospitalisation ou autre, je m'entends répondre que c'est possible MAIS avec une attente de 6 mois...INADMISSIBLE, j'ai résilié et signé avec April GENERALI</t>
  </si>
  <si>
    <t>22/07/2021</t>
  </si>
  <si>
    <t>porret-e-116670</t>
  </si>
  <si>
    <t xml:space="preserve">Je suis très satisfaite du service en ligne qui reste à des prix très très abordables 
Le service, demande de devis, et compte perso est très simple en moyen d’accessibilité 
Je recommande </t>
  </si>
  <si>
    <t>10/06/2021</t>
  </si>
  <si>
    <t>vincent-e-115275</t>
  </si>
  <si>
    <t>Benjamin est de très bon conseil. Patient, à l'écoute, disponible un samedi matin, ce qui n'est pas le cas de notre agent Generali. À recommander chaleureusement.</t>
  </si>
  <si>
    <t>29/05/2021</t>
  </si>
  <si>
    <t>m-sandra83-53489</t>
  </si>
  <si>
    <t>ils sont de mauvaises fois je suis en accident de travail est pour eux ce n est pas un accident lo je paie le double et suis couverte pour aucunes maladies</t>
  </si>
  <si>
    <t>rolbart974-99693</t>
  </si>
  <si>
    <t xml:space="preserve">Il est inutile de chercher ailleurs, au niveau prix direct assurance  est très bien placé, sinon le meilleur. 
Vous trouverez rien de mieux avec ce niveau de services.
</t>
  </si>
  <si>
    <t>fabrice--m-106958</t>
  </si>
  <si>
    <t xml:space="preserve">c'est n' importe quoi un sinitre pris en charge par vos soins le 6 février n'est tjrs pas acté au contrat on me demande ce soir de déclarer a nouveau le sinistre, et le service client a distance nous prends, par leur process téléphonique, et par le peu de moyen mis a leur disposition en terme de gestion, pour des enfants de 4 ans, qui aurai fait une bétise, </t>
  </si>
  <si>
    <t>17/03/2021</t>
  </si>
  <si>
    <t>georges-b-131557</t>
  </si>
  <si>
    <t>JE SUIS SATISFAIT DU SERVICE COMMERCIAL ET DE LA RAPIDITE DE REPONSE LORS DE LA DEMANDE DE DEVIS AU TELEPHONE. ET DE LENVOI DU CONTRAT TRANSMIS PAR MAIL</t>
  </si>
  <si>
    <t>06/09/2021</t>
  </si>
  <si>
    <t>didier-a-107759</t>
  </si>
  <si>
    <t xml:space="preserve">Je viens de changer de véhicule, et les modifications sont rapides et simples à effectuer ! pas grand chose à redire , même sur les tarifs . L'aide du conseiller (courtois et compétent, ce n'est pas si souvent..)m'a été néanmoins nécessaire. </t>
  </si>
  <si>
    <t>24/03/2021</t>
  </si>
  <si>
    <t>michel-b-112602</t>
  </si>
  <si>
    <t>je suis satisfait des prix et des prestations les reponses au téléphone sont rapides et les interlocuteurs efficaces. je vais rester chez direct assurances</t>
  </si>
  <si>
    <t>04/05/2021</t>
  </si>
  <si>
    <t>germain-g-103146</t>
  </si>
  <si>
    <t>insupportable de devoir remplir de multiples formulaires de traçage pour obtenir un devis. je comprends la volonté de vendre des fichiers mais je ne suis pas ok avec cette prtatique</t>
  </si>
  <si>
    <t>23/01/2021</t>
  </si>
  <si>
    <t>stella-51299</t>
  </si>
  <si>
    <t>Mutuelle obligatoire en entreprise. Bons remboursements mais trop chère en tant que particulier (près de 200 euros par mois!)</t>
  </si>
  <si>
    <t>14/01/2017</t>
  </si>
  <si>
    <t>01/01/2017</t>
  </si>
  <si>
    <t>michaelsky-52992</t>
  </si>
  <si>
    <t>Scandale dans le traitement d'une liquidation de PERP. Depuis fin Août 2016,  ça fait donc 6 mois que nous nous battons pour récupérer les sommes dues. ( courriers , nombreux appels téléphoniques , échange demails, lettre recommandées...Pour commencer ils perdent les courriers et demandent de les renvoyer (chose faites par courrier mais ils les perdent de nouveau), Depuis décembre on nous assure de récuperer les sommes dues, mais j'attends toujours.Il y'a deux semaines j'ai envoyé une réclamation via le lien http://bit.ly/1RIRW3Y à cette date toujours pas de réponse,quoi de plus surprenant!! Une abberation totale pour le respect des défunts et des bénéficiaires. Je viens d'envoyer un courrier a  l' ACPR pour les alerter de leurs pratiques scandaleuses.</t>
  </si>
  <si>
    <t>08/03/2017</t>
  </si>
  <si>
    <t>alain-m-130524</t>
  </si>
  <si>
    <t>Les prix sont dans la moyenne.
Pas de bilan proposé à l'initiative de la GMF, c'est vraiment un manque!
Dans l'ensemble la GMF reste une bonne assurance.</t>
  </si>
  <si>
    <t>clem698-96357</t>
  </si>
  <si>
    <t xml:space="preserve">Catastrophique !!!!
j ai eu un accident en 2015, je n'ai jamais eu de nouvelle d'eux une fois que la moto a été classé epave.
5 ans apres j ai un taux d'invalidité de 14% et rien de l'assurance moto... on me dit que le dossier est fermé depuis 5ans....
obligé de prendre un avocat.
Impossible de les joindres, numero unique et constamment occupé...
une honte !!! un numero de dossier et rien de plus voila ce qu"on est pour eux.
A FUIR ABSOLUMENT
</t>
  </si>
  <si>
    <t>17/08/2020</t>
  </si>
  <si>
    <t>lucas-h-134575</t>
  </si>
  <si>
    <t>satisfait rapide et efficace tout s'est passé comme prévu pas de difficulté particuliere mes demandes ont été prises en compte aide telephonique bienvenue</t>
  </si>
  <si>
    <t>26/09/2021</t>
  </si>
  <si>
    <t>claudia-b-130582</t>
  </si>
  <si>
    <t xml:space="preserve">ok
c'est décent, pas beaucoup plus a ajouter. 
Merci
c'est mon avis à présent, je ne connais pas votre service, donc pas beaucoup à ajouter. Dans un an on pourra faire le bilan. Merci
</t>
  </si>
  <si>
    <t>fila-b-108505</t>
  </si>
  <si>
    <t xml:space="preserve">Rapide et efficace, j’espère pouvoir être assuré au plus vite pour pouvoir faire la carte grise aussi au plus vite on comprend bien les choses sur votre site </t>
  </si>
  <si>
    <t>stephanie-l-122071</t>
  </si>
  <si>
    <t>pour un service en ligne, il semble aberrant d'avoir à re remplir des formulaires et à envoyer des documents alors que nous ne sommes assurés que chez Direct Assurance</t>
  </si>
  <si>
    <t>mazu-65211</t>
  </si>
  <si>
    <t>Mauvaise prise en compte de l intérêt de l assuré après sinistre. Pas de réponses aux questions posées</t>
  </si>
  <si>
    <t>03/07/2018</t>
  </si>
  <si>
    <t>jamie-o-102130</t>
  </si>
  <si>
    <t>Suite à un sinistre il y a 6 mois, mon véhicule a été cédé à votre assurance depuis le 14/10/2020 pour la somme de 31500€. Aujourd'hui j'apprends que mon véhicule a été revendu à CARECO depuis le 14/10/2020 et de mon côté je n'ai toujours pas été indemnisé. Vous avez 1 mois de retard sur le délai légal d’indemnisation du code des assurances. Tous les documents demandés par l'Olivier ont été envoyés et reçus. Je ne comprends pas ce délai sachant que la partie adverse accepte totalement les responsabilités de son assurée. Vous avez cédé mon véhicule et cette session a été faite de ma part à la seule et unique condition d'une indemnisation à hauteur de 31500€ ! Vous êtes donc dans l'obligation de m’indemniser et vos services ne font que nous mener en bateau et ne nous rappelle jamais ! J'ai saisi votre direction qualité, je vous envoie rapidement un courrier de mise en demeure également suite à la concertation avec mon avocat. Vous dîtes attendre un PV de police dont je n'étais même pas au courant. Vous nous avez fait signer un attestation de non alcoolémie pour vous protéger. Qu'attendez-vous de plus ! Assurance à fuir dès que vous avez un sinistre, qui plus est, non responsable !
Sinistre : 2020712399</t>
  </si>
  <si>
    <t>04/01/2021</t>
  </si>
  <si>
    <t>carlos-97483</t>
  </si>
  <si>
    <t xml:space="preserve">J'ai appelé le 6 aout 2020 cet assureur afin d'assurer une bmw 1600 gt et la personne au téléphone me répond que la demande va prendre plus de 3 jours alors que j'avais demandé une assurance pour le lendemain.
J'avais au préalable suivi le protocole sur internet et souscrit à travers le web.
Je lui demande donc d'annuler mon contrat immédiatement et elle me répond qu'il n'y a pas de problème et que cela sera fait.
Quelle ne fut ma surprise en revenant de vacances de voir une carte verte d'assurance à mon domicile et bien entendu le prélèvement effectué.
Rien n'a été fait.
J'essaie désespérément de les joindre mais on me balade de service en services sans compter le nombre de coupures téléphonique.
Aujourd'hui 16 septembre je viens d'avoir une personne en espérant que ce problème soit résolu.
</t>
  </si>
  <si>
    <t>16/09/2020</t>
  </si>
  <si>
    <t>aigle14-80760</t>
  </si>
  <si>
    <t>Bonjour
j ai eu votre collaboratrice Lamia au téléphone et j en suis totalement satisfait</t>
  </si>
  <si>
    <t>06/11/2019</t>
  </si>
  <si>
    <t>ahmed-b-129198</t>
  </si>
  <si>
    <t>Devis très pratique à faire et offres assez flexibles et cohérentes, ainsi que des prix attractifs. Reste à voir l'effet et l'efficacité de l'assurance durant le contrat.</t>
  </si>
  <si>
    <t>rien-130306</t>
  </si>
  <si>
    <t>J  ai eu en renseignement  mariama satisfait de son aide j usqua  aujourd'hui  pas de problème  mutuelle pour moi excellente la télé  transmission  est à ce jour au point continuer dans ce sens</t>
  </si>
  <si>
    <t>mesannonces-69010</t>
  </si>
  <si>
    <t>A FUIR EN URGENCE ! Ne sont PAS DES ASSUREURS mais de vulgaires VENDEURS DE CONTRATS où le client n'est qu'un GOGO juste bon à payer pour ne JAMAIS ETRE REMBOURSE !</t>
  </si>
  <si>
    <t>29/11/2018</t>
  </si>
  <si>
    <t>geraldo-66853</t>
  </si>
  <si>
    <t xml:space="preserve">Trois ans après un accident non responsable (voiture à l'arrêt percutée par un très gros camion), les seules indemnisations reçues à ce jour, ont été un chèque d'un montant représentant la valeur vénale de mon  véhicule et une petite avance sur mon préjudice corporel.
Pour le reste (indemnisation du préjudice corporel, remboursement des frais engagés, indemnisation du préjudice matériel), telle soeur Anne et malgré plusieurs lettres avec A.R, je ne vois rien venir ... Je ne dirais pas que la GMF est assurément humain. Je dirais plutôt que la GMF est assurément à éviter.
</t>
  </si>
  <si>
    <t>14/09/2018</t>
  </si>
  <si>
    <t>sandrine-l-111879</t>
  </si>
  <si>
    <t>de plus en plus chers et de moins en moins avantageux, personnes au téléphone incompétentes, ne comprennent pas nos demandes. Pas de sinistre et assurance qui augmente de 100 euros !!!!!</t>
  </si>
  <si>
    <t>27/04/2021</t>
  </si>
  <si>
    <t>krisz-59070</t>
  </si>
  <si>
    <t>Presque devenu client mais comme ils avait l’amabilité de trouver mon dossier toujours incomplet et pas précis (souvent la questionnaire était pas complet donc suite à ça facile à trouver des imprécisions) j'ai déduit que dans mon cas leurs but était plus d'empocher les 3 mois d'assurance déjà réglé et de me faire fuir. C'était le cas; en tant qu'ancien employé du bureau j'ai décidé de vite "quitter le bateau" car si dès le début on se comprend pas comment sera si un accident survient ou ma caisse tombe en panne ou je ne sais quoi.
cerise sur le gâteau sans avoir signé le vrai contrat ils m'ont fais déduire de frais de résiliation donc sur 110 € ils ont remboursés 2 € et un miette..... tout ça pour avoir était un presque assuré.</t>
  </si>
  <si>
    <t>23/11/2017</t>
  </si>
  <si>
    <t>anne-marie-86914</t>
  </si>
  <si>
    <t>Cliente depuis toujours à la Maif c'est à dire depuis plus de 20 ans, j'ai toujours été satisfaite de leur service, jusqu'à aujourd'hui. Ma maison a subi des dégâts suite à la tempête Amélie et là je tombe de très haut : des interventions d'urgence inadaptées, un service d'assistance dont les interlocuteurs changent sans cesse ce qui ne fait pas avancer le dossier. Tous les lundis j'étais obligée de rappeler les faits...ce qui a fortement affecté mon moral. Ce n'est pas tout, l'expert mandaté pour constater les dégâts sur la maison que je donne en location, ne connaissait pas le dossier. Il pensait qu'il représentait ma locataire. Il a été incorrect avec nous en mettant sans arrêt en doute notre bonne fois, ne s'est même pas donné la peine de regarder le toit et l'extérieur de la maison endommagé. Sur ces conseils j'ai fait venir une entreprise spécialisée qui a fait le travail de l'expert et a passé 2 heures à mesurer, explorer la charpente. L'entreprise a bien constaté le lien avec la tempête en produisant des photos à l'appui. L'expert qui n'a rien vu...considère que le vent n'est pas la cause des dégâts ou si peu 5% alors qu'il n'y avait aucun dommage avant la tempête ! Comme j'avais toute confiance dans mon assureur, j'ai été naïve ! j'aurais dû me faire représenter par un expert indépendant. C'est ce que je vais être obligée de faire. Qu'est devenue mon assurance dont je vantais le service, l'écoute, et le fait que nous étions traités avec humanité ? Qui sont ces experts qui nous maltraitent et pour qui nous semblons à priori des tricheurs ? J'ai l'impression d'être chez n'importe quel assureur lambda et plus à la Maif ! Je rappelle l'engagement de mon assureur : Elle exerce son activité au seul bénéfice de ses sociétaires, auxquels elle garantit la qualité et la pérennité de sa protection et de ses services. À la fois assureur et assuré, chaque sociétaire est membre à part entière d'une communauté dont il partage les valeurs et les règles.</t>
  </si>
  <si>
    <t>09/02/2020</t>
  </si>
  <si>
    <t>monvoisin-r-107501</t>
  </si>
  <si>
    <t>Je suis satisfait du service et du prix de mon assurance.
Le service par Internet est aisé et mon interlocutrice était disponible, claire et concise.
Je recommanderai cette assurance.</t>
  </si>
  <si>
    <t>denis-b-129677</t>
  </si>
  <si>
    <t xml:space="preserve">Je suis plus ou moins satisfait mais je trouve que le prix reste plus moins chère pour car après plus de 10 ans de cotisation , pas de baisse significatif pour nous contribuables sachant quand cette période difficile de tel augmentation et pourtant le court de la vie augmente .
A revoir les prix pour l'année à venir . </t>
  </si>
  <si>
    <t>26/08/2021</t>
  </si>
  <si>
    <t>fabienne-t-128369</t>
  </si>
  <si>
    <t xml:space="preserve">Le tarif me convient parfaitement, j'attends de savoir si l'adhésion de mon mari va me convenir. Merci. Dans l'attente de votre réponse qui j'espère nous seras favorable. </t>
  </si>
  <si>
    <t>17/08/2021</t>
  </si>
  <si>
    <t>alain-v-135101</t>
  </si>
  <si>
    <t xml:space="preserve">je suis satisfait du service et des prix ainsi que de la rapidité de l'opération.
Je recommande fortement April moto à tout mon entourage. J'espère qu'en cas de besoin vous serez également réactif. </t>
  </si>
  <si>
    <t>29/09/2021</t>
  </si>
  <si>
    <t>titi-59659</t>
  </si>
  <si>
    <t>C'est une mutuelle qui grandit chaque année, les référencements gagnés récemment sont une image positive de notre mutuelle qui est choisie parmi d'autres par différents ministeres : bravo</t>
  </si>
  <si>
    <t>Intériale</t>
  </si>
  <si>
    <t>13/12/2017</t>
  </si>
  <si>
    <t>bb-96522</t>
  </si>
  <si>
    <t>actuellement sociétaire a la GMF depuis plusieurs 10 aines d'années de mère (fontionnaire) en fils  , et assuré pour l'auto, la maison , la moto (actuellement).
Maintenant je suis réellement déçu par la façon que cet assureur soit devenu une société  de guerre qui ne respecte plus ses anciens clients ,que je suis.
Dommage!.
B.Baert</t>
  </si>
  <si>
    <t>20/08/2020</t>
  </si>
  <si>
    <t>tamarina-65777</t>
  </si>
  <si>
    <t>Après avoir déclaré un sinistre habitation sur le site directement, aucune réponse au bout de 2 mois. un mail envoyé... rien... appel: injoignable!!
sur le suivi du sinistre sur Internet toujours en statut "prise en charge" avec en plus un numéro de tel "conseiller" qui me renvoie sur un autre société! GENIAL  je me plaignais de mon ancienne assurance mais eux au moins avait réglé un sinitre en 3 jours. INADMISSIBLE pour une société que je pensais sérieuse. Dès mon sinistre réglé (si un jour réglé), je pars de chez eux.</t>
  </si>
  <si>
    <t>pi-59893</t>
  </si>
  <si>
    <t>Service loin d'être à la hauteur.
Pas de communication. Pas de réponse à mes questions. Pas de suivi.
Et bien entendu, aucun remboursement en cas de problème. L'assureur n'honore pas la partie de son contrat.
En bref, à fuire !</t>
  </si>
  <si>
    <t>22/12/2017</t>
  </si>
  <si>
    <t>ohanes-l-139736</t>
  </si>
  <si>
    <t>C’est la moins chère que j’ai trouvé donc je suis satisfait de cette transaction , j’espère ne pas avoir d’accident désormais mais sinon je recommande</t>
  </si>
  <si>
    <t>16/11/2021</t>
  </si>
  <si>
    <t>banzai-110497</t>
  </si>
  <si>
    <t xml:space="preserve">Suite à un accident, AMV laisse traîner la procédure et me reproche de ne pas m'en occuper ... 
Avoir une assurance tous risques et se retrouver avec tout à charge, c'est juste lunaire.
Champion du monde de la mauvaise foi !
</t>
  </si>
  <si>
    <t>15/04/2021</t>
  </si>
  <si>
    <t>christian-d-113659</t>
  </si>
  <si>
    <t>super offres et qualité des opérateurs.n'ayant pas eu de sinistres et j'espère de ne pas en avoir, je ne donne pas d'avis sur la réactivité des services sur ce sujet.continuez!</t>
  </si>
  <si>
    <t>14/05/2021</t>
  </si>
  <si>
    <t>ilssontou-92123</t>
  </si>
  <si>
    <t>Bonjour,
je cherche à vous contacter depuis le 23.04.20 suite à votre mise en demeure alors que mon chèque a été envoyé...mais jamais reçu dans ce contexte particulier.
Suite à mes 5 derniers mail (dip@metlife.fr) sans aucune réponse de votre part, je vous rappelle avoir fait opposition à mon chèque puisque vous ne l'avez jamais reçu en vos locaux.
J'ai également envoyé un courrier de réclamation avec AR à Courbevois et après 10 jours toujours pas de reçu !!
Que se passe t'il ?! Société Fantôme!!? Personne au téléphone et personne derrière son écran!???
Je n'ai pas facebook alors ne pourrai pas répondre à votre demande de communication par FB.
Merci pour votre réponse, et de me contacter rapidement.
C'est inadmissible cette situation !
Aurélie Chabrier</t>
  </si>
  <si>
    <t>MetLife</t>
  </si>
  <si>
    <t>25/06/2020</t>
  </si>
  <si>
    <t>speedy4055--103703</t>
  </si>
  <si>
    <t xml:space="preserve"> j'ai résilié mon contrat au mois de juillet 2020 et ils ont continué les prélèvements jusqu'au mois de novembre en prétextant ne pas avoir reçu les documents demandés alors que je les ai envoyé par mail et par courrier. À ce jour j'attend toujours une régularisation. </t>
  </si>
  <si>
    <t>04/02/2021</t>
  </si>
  <si>
    <t>phil92210-115003</t>
  </si>
  <si>
    <t>Mon chat est assuré depuis 1 an. Formule intégrale PLUS (haut de gamme) à 36€ par mois.
remboursements dans les temps pour les deux interventions qu'il a du subir + hospitalisation.
sur 1480 € de frais, je n'ai déboursé réellement que 75€ (franchise)
je recommande. Leur application "mon compagnon" top!!</t>
  </si>
  <si>
    <t>Solly Azar</t>
  </si>
  <si>
    <t>27/05/2021</t>
  </si>
  <si>
    <t>robocop22-74936</t>
  </si>
  <si>
    <t xml:space="preserve">je tenais a remercier Erika pour ce contact de ce jour,tres bonne conseillere ,elle a bien repondu a mes questions et surtout bien conseillé pour que mon dossier avance plus vite </t>
  </si>
  <si>
    <t>onspec-86160</t>
  </si>
  <si>
    <t xml:space="preserve">Très insatisfait du service appel NEOLIANE au 01 40 89 15 85 ! J'ai appelé le service client SANTIANE au 04 93 81 88 10 où mon interlocuteur Gwendal a été à l'écoute, aimable, très réactif et très professionnel ! Vraiment bravo car ce n'est pas toujours le cas avec les services "appel en ligne" </t>
  </si>
  <si>
    <t>21/01/2020</t>
  </si>
  <si>
    <t>annick-53394</t>
  </si>
  <si>
    <t>Assez bonnes garanties, Remboursements corrects, mais trop d'augmentations chaque année, 10% minimum, ça devient vite très cher</t>
  </si>
  <si>
    <t>19/03/2017</t>
  </si>
  <si>
    <t>razn034-79870</t>
  </si>
  <si>
    <t>Très content des possibilité qu'offre cette mutuelle, service d'échange téléphonique très agréable avec des questions pertinente sur ma situation et mes besoins, mon conseiller téléphonique Youness est à souligner.</t>
  </si>
  <si>
    <t>09/10/2019</t>
  </si>
  <si>
    <t>mediada-66840</t>
  </si>
  <si>
    <t>Suite à la mise en place de l'option Epargne Handicap le 02/08/218, j'ai demandé une attestation pour cette option. je n'ai rien reçu à ce jour malgré de nombreusese releances</t>
  </si>
  <si>
    <t>eusebiu-81957</t>
  </si>
  <si>
    <t>Je souhaitais changer d'assureur suite aux augmentations successives sans sinistre mon choix s'est porté sur L'OLIVIER .
le service client s'est avéré une catastrophe il n'y a guère que le prix qui est attractif, les rapports entre le service commercial et le client sont désastreux, j 'ai fait un an chez eux pour mes 3 véhicules et je suis repartis</t>
  </si>
  <si>
    <t>16/12/2019</t>
  </si>
  <si>
    <t>01/12/2019</t>
  </si>
  <si>
    <t>benjamin-a-113047</t>
  </si>
  <si>
    <t>je suis emballer par le service les prix sont compétitif !
les commerciaux répondent de suite on es dirigé vers le service souhaité 
les délais d 'attente son réduit tout va très vite ; et les prix son intéressant même pour un jeune conducteur !</t>
  </si>
  <si>
    <t>popo-70024</t>
  </si>
  <si>
    <t>Déçu par l assurance, nous avons eu au téléphone ce mardi 8janvier à 18h55, très mal aimable, coupait la parole. N à pas voulu nous transmettre un relevé d information par e-mail alors Qu un conseiller nous a dit qu il pouvait le faire. Appel enregistré, madame devait être pressée de partir ou son comportement habituel. Vous allez perdre une cliente... Bref très déçue, agressive, pressée, mal aimable... Et pas le temp</t>
  </si>
  <si>
    <t>08/01/2019</t>
  </si>
  <si>
    <t>mp56-88789</t>
  </si>
  <si>
    <t>Malgré une rétractation fait dans les délais(14 jours)par courrier avec accusé de reception à l'agence de Lorient qui n'a pas été chercher ce recommandé à la poste.. Je reçois des relances de payement.De même malgré un courrier au centre de TOURS et de nombreux appels téléphoniques maintenant une mise en demeure...L'agence est injoignable et la Hotline n'est pas en liaison avec le centre de gestion??Impossible d'avoir un interlocuteur responsable.Il m'a fallu faire opposition à la banque pour qu'ils cessent de prélever.Je suis sidéré de l'absence de réactivité de cette mutuelle (55 jours d'après la hotline ) .J'ai toute les preuves de ma bonne foi envoyés à TOURS mais il font la sourde oreille! Il est plus facile d'adhérer que de quitter cette mutuelle...
Je ne manquerai pas de faire mauvaise pub si une solution rapide n'est pas trouvé !!</t>
  </si>
  <si>
    <t>09/04/2020</t>
  </si>
  <si>
    <t>nono-61990</t>
  </si>
  <si>
    <t>Je déconseille cette mutuelle pour ceux bénéficiaires de l'acs vous font payer avant même l'enregistrement du contrat de ce fait peut pas résilier l'ancienne entre temps car pas d'attestation du coup vous vous retrouvez avec deux mutuelles à payer alors que vous êtes censés avoir une aide et pour couronner le tout je dois avancer les frais car ne m'envoie pas de carte car ancienne mutuelle sur la sécurité sociale vous êtes censés avoir une aide car peu de revenus au final vous retrouvez avec le double de mutuelle abérant et en plus devez avancer les frais et envoyez les factures puisque pas de carte mutuelle c'est juste ironique je déconseille cette mutuelle pour ceux avec les chèques acs honteux ! Et je viens juste d'ouvrir le contrat ça commence bien</t>
  </si>
  <si>
    <t>04/03/2018</t>
  </si>
  <si>
    <t>fifan-107145</t>
  </si>
  <si>
    <t xml:space="preserve">Manal est très professionnel et patiente
Elle m a expliqué les différents mode de transmission de documents 
Elle m a créer mes codes d accès sans aucun soucis 
Cdlt
</t>
  </si>
  <si>
    <t>corinne-f-107873</t>
  </si>
  <si>
    <t>Merci de nous faciliter la vie !!! C'est tellement pratique d'obtenir un contrat d'assurance sans papier en rentrant du travail sans avoir besoin de s'absenter pour le faire.</t>
  </si>
  <si>
    <t>chris--139467</t>
  </si>
  <si>
    <t>Une prise en charge irréprochable suite à un accident survenu sur l autoroute A1 que ce soit de la part de l assistance et de la prise en charge par pacifica . Un grand bravo pour votre accueil et l écoute … je recommande cet assureur ??</t>
  </si>
  <si>
    <t>12/11/2021</t>
  </si>
  <si>
    <t>lisette34-43985</t>
  </si>
  <si>
    <t>Je suis plus que déçu par l'Assurance Allianz, car ayant eu besoin de m'en servir, Je me suis vraiment fait plumer. Assuré tout risque et elle a refusé de prendre en charge les réparations. A lire les commentaires je vois que je ne suis pas la seule dans ce cas. Bienvenue au club des pigeons !!!</t>
  </si>
  <si>
    <t>21/05/2019</t>
  </si>
  <si>
    <t>jajali-109282</t>
  </si>
  <si>
    <t xml:space="preserve">Très professionnel. Très satisfait. Je suis content du service et le prix est raisonnable. Dommage que c'est pas labellise..j'aurai pu être remboursé par mon employeur mairie </t>
  </si>
  <si>
    <t>06/04/2021</t>
  </si>
  <si>
    <t>younes-b-111897</t>
  </si>
  <si>
    <t xml:space="preserve">JE SUIS SATISFAIT LE PRIX ME CONVIENT 
MERCI POUR VOTRE SERVICE RAPIDE .
JE VAIS RCOMMANDER VOTRE ASSURANCE A MON ENTOURAGE ? ET J'AIMERAI BIEN VOUS DEVLOPER LE SYSTEME DE PARINAGE </t>
  </si>
  <si>
    <t>28/04/2021</t>
  </si>
  <si>
    <t>tartine-58467</t>
  </si>
  <si>
    <t xml:space="preserve">Le 26/10/2017, démarchage téléphonique par une personne se faisant passer pour la sécurité sociale, et me précisant qu'il y avait un problème avec mon dossier. Cette personne m'indique qu'avec la loi Macron, les frais d'hospitalisation ne seraient plus pris en compte par la sécurité sociale et la mutuelle, et qu'alors les frais pourraient être exorbitants. Après m'avoir demandé confirmation de ma date de naissance et de mon adresse, cette personne arrive à me proposer la souscription d'une assurance complémentaire  prenant en charge les indemnités journalières d'hospitalisation pour mon épouse et moi-même. Très convaincant, cette personne arrive à me faire communiquer mes coordonnées bancaires et mon numéro de portable pour finaliser le dossier. Sur mon portable, je reçois alors le message suivant: "Bonjour, le code XXXXX vous permet la signature de votre contrat d'assurance Néoliane qui débutera le 01/12/2017 pour un prélèvement de 22.79€/mois". 
A réception de ce SMS, la personne me fait lire le message et me dit que je recevrai le contrat écrit sous 15 jours environ et il me laisse alors un numéro de téléphone que je pourrai appeler si je ne recevais pas le dossier.
Après en avoir parlé avec mon épouse, elle tente de les contacter à plusieurs reprises, mais bien sûr aucune réponse. On se tourne donc vers le service clients de Néoliane qui nous confirme alors qu'il y a un contrat de validé, chose qui nous parait alors impossible puisque nous n'avons pas communiqué le code envoyé par SMS, permettant la signature de celui-ci.
Le service client nous propose alors de recontacter le courtier qui nous a proposé ce contrat, chose impossible puisqu’ils ne répondent pas au téléphone.
Comment se rétracter d’un contrat dans les délais prévus, si nous n’avons ni le contrat, ni le numéro d’adhérent, ni les conditions particulières et ni les coordonnées de ce soi-disant courtier travaillant pour le compte de Néoliane. </t>
  </si>
  <si>
    <t>29/10/2017</t>
  </si>
  <si>
    <t>izquierdo-m-127892</t>
  </si>
  <si>
    <t>Je suis satisfait des services et du prix. Bon rapport qualité prix. Je recommande vivement cette assurance à mes proches et aux amis qui ne sont pas satisfait de leur assurance.</t>
  </si>
  <si>
    <t>pseudo-97509</t>
  </si>
  <si>
    <t>Mutuelle sans problème pour les remboursements, rapide et clair.
 Facilement joignable par téléphone, avec des interlocuteurs patients et disponibles.</t>
  </si>
  <si>
    <t>17/09/2020</t>
  </si>
  <si>
    <t>dave006-60656</t>
  </si>
  <si>
    <t>La médiocrité à un nom : MGEN !</t>
  </si>
  <si>
    <t>19/01/2018</t>
  </si>
  <si>
    <t>hc-86100</t>
  </si>
  <si>
    <t xml:space="preserve">un conseil, à fuir ! les conseillers ont aucune compétence, personne ne dit jamais la même chose (ayant essayé plusieurs agences Maaf). Etant cliente depuis de longues années et aucune indemnisation de faite lors d'un sinistre et en plus aucune amabilité quand vous avez un soucis. 
</t>
  </si>
  <si>
    <t>20/01/2020</t>
  </si>
  <si>
    <t>helene-64265</t>
  </si>
  <si>
    <t>Extrêmement déçus par Eurofil. Nous sommes assurés chez Eurofil et ils font tout pour raccrocher à la moindre question pour en savoir plus et avoir des informations sur leur refus à prendre en charge notre sinistre alors que nous sommes assurés tous risques. A la souscription mon compagnon n'a pas pensé aux derniers minuscules accidents responsables que nous avons eus et selon Eurofil, cela leur donne la possibilité de ne pas nous assurer, ok, mais nous avons payé et notre sinistre doit être pris en charge, paiement = assurance, le traitement des dossiers est déplorable</t>
  </si>
  <si>
    <t>29/05/2018</t>
  </si>
  <si>
    <t>willy-86071</t>
  </si>
  <si>
    <t>Mi-2019, une voiture me rentre dedans. Je contacte mon assurance Direct Assurance qui me demande de faire des choses : déclaration déli de fuite, etc. En fin d'année je reçois un avis d'échéance avec 26% de malus.  Du vrai n'importe quoi</t>
  </si>
  <si>
    <t>19/01/2020</t>
  </si>
  <si>
    <t>franco2007-113466</t>
  </si>
  <si>
    <t xml:space="preserve">Il s'avère qu'au fil du temps (tous les 6 mois environ)les cotisations mensuelles quelle que soit les contrats augmentent même quand on ne déclare pas de sinistres et bien qu' une négociation des tarifs en présentiel sur RDV soit faite nous n'obtenons pas de reductions significatives  </t>
  </si>
  <si>
    <t>12/05/2021</t>
  </si>
  <si>
    <t>taglioisolaccio-52200</t>
  </si>
  <si>
    <t>Ma mère est adhérente depuis plus de 40 ans, on lui prélève 86 € par mois, elle vient de se faire faire un appareil dentaire, alors tenez vous bien, pour une facture de 870 €, le sécu rembourse 158,03 € et la MGP 67,72 € c'est scandaleux. J'ai qu'un seul regret c'est de ne pas l'avoir arrêté plus tôt car nous sommes tenus d'attendre le 31 décembre 2017, mais croyez moi dès le mois de septembre on va annuler le contrat avec soulagement. A éviter....</t>
  </si>
  <si>
    <t>08/02/2017</t>
  </si>
  <si>
    <t>01/02/2017</t>
  </si>
  <si>
    <t>maxime-l-125302</t>
  </si>
  <si>
    <t>Satisfaction client 
Prix intéressant 
Compétitif  je vous 
Recommande vivement cette assurance large choix d'assurance rien a redire tres reactif</t>
  </si>
  <si>
    <t>28/07/2021</t>
  </si>
  <si>
    <t>lolo-102640</t>
  </si>
  <si>
    <t>Extrêmement déçue de cette assurance que ce soit habitation ou assurance civile.
Nous avons eu un dégât des eaux payé à nos frais car 4 mois d'attente aucune indemnisation aucun professionnalisme. Expert incompétent !!
Pareil pour un accident de voiture aucune aide!! Je retire tous mes contrats de chez vous !!! Fuyez tout simplement</t>
  </si>
  <si>
    <t>14/01/2021</t>
  </si>
  <si>
    <t>touilloux-e-107057</t>
  </si>
  <si>
    <t>Satisfait du service, souscription aisée et agréable, bonnes relations aux téléphones. Avoir sur la durée ! L'Olivier semble vouloir entretenir des relations agréables avec ses clients.</t>
  </si>
  <si>
    <t>lolokawa-saki-122521</t>
  </si>
  <si>
    <t xml:space="preserve">Ils sont au top. Niveau tarifs, niveau communication/ relationnel excellent. 
Aucun souci avec AMV. 
Changement de contrat en ligne rapide.
Conseillère au tel très agréable et très pro. </t>
  </si>
  <si>
    <t>06/07/2021</t>
  </si>
  <si>
    <t>bilois-h-124679</t>
  </si>
  <si>
    <t xml:space="preserve">Je suis Entièrement satisfait de mon contrat d'assurance automobile. J'espère rester longtemps dans cette compagnie d'assurance et peut-être y assurerai je ma moto.
</t>
  </si>
  <si>
    <t>marie-82178</t>
  </si>
  <si>
    <t>Je n'arrive plus à accéder à mon compte depuis deux mois. Impossible d'avoir un contact utile avec un agent de l'AFER. Mon conseiller ne sait que vendre des produits mais se montre totalement inefficace par ailleurs. A l'AFER personne ne répond ni au téléphone, ni aux courriels. Je suis très inquiète sur la situation de mes comptes d'autant que le site de l'AFER ne mentionne pas l'existence d'un médiateur en son sein.</t>
  </si>
  <si>
    <t>Afer</t>
  </si>
  <si>
    <t>21/12/2019</t>
  </si>
  <si>
    <t>yass-78538</t>
  </si>
  <si>
    <t>Par quoi commencer? leur temps de traitement interminables? leur impolitesse? le façon de donner leur travail à leur client.
Cela fait presque un mois et demis que j'ai déclaré un sinistre ,j'ai du prendre le rendez vous avec l'expert et le garage moi même, chose que je n'ai jamais du faire a avec aucune de  mes 3 précédents assureurs , l'expert est passé depuis maintenant plus d'un mois et toujours rien. Je ne suis pas responsable donc a priori rien a payer pour amv . Difficile de comprendre ce qui se passe. D'autant plus qu'on fait leur travail et en plus de ça on nous parle mal.
Juste incroyable!!!</t>
  </si>
  <si>
    <t>19/08/2019</t>
  </si>
  <si>
    <t>mama-77722</t>
  </si>
  <si>
    <t>A fuir!!!!En attente d un réglement depuis Mai..Utilise le RIB prévu pour me faire un remboursement pour mettre en place des prélevements qui n ont pas lieu d'ètre..et un remboursemnt toujours pas fait...Prétexte de retard du au divers pont du moi de mai puis de sous éffectif pour les congés d'été...A FUIR.</t>
  </si>
  <si>
    <t>18/07/2019</t>
  </si>
  <si>
    <t>citoyen74-79571</t>
  </si>
  <si>
    <t xml:space="preserve">Étant client depuis nombreuses années pour habitation et voiture, ayant entraîné plusieurs personnes de mon entourage à rejoindre Direct assurance, du fait des tarifs attractifs il faut le reconnaître. J'ai du quitté direct assurance pour le véhicule car il n'assure pas les véhicules de société. Ayant des difficultés passagères de trésorerie, direct assurance m'a résilié malgré que j'ai réglé avec quelques jours de retard ma cotisation. 
Aucun geste commercial des abrutis, sans aune possibilité de discuter. 
Aucune écoute aucun sens du commerce, une machine ferait pas mieux sur le plan relationnel. 
</t>
  </si>
  <si>
    <t>29/09/2019</t>
  </si>
  <si>
    <t>christophe-g-116804</t>
  </si>
  <si>
    <t xml:space="preserve">
TRES SATISFAIT DES PRESTATIONS DE VOTRE SITE POUR ASSURER RAPIDEMENT MON VEHICULE.LES PRIX SONT TRES ATTRACTIFS A MES ATTENTES ? JE VOUS EN REMERCIE?</t>
  </si>
  <si>
    <t>11/06/2021</t>
  </si>
  <si>
    <t>hinh-thai-a-134654</t>
  </si>
  <si>
    <t xml:space="preserve">Le conseiller du service clientèle a été très clair dans ses explications. Les tarifs sont très compétitifs. A voir dans le temps et en cas de sinistre. </t>
  </si>
  <si>
    <t>sala-90501</t>
  </si>
  <si>
    <t>C’est vraiment simple et pratique et facile à réaliser Par plus de personnes Et les prix sont abordables bien évident C’est tout ce que je peux dire..</t>
  </si>
  <si>
    <t>sabou-n-110553</t>
  </si>
  <si>
    <t xml:space="preserve">Je suis satisfaite de prix  des offres, simple et rapide à travailler sur le internet. Je veux recommander la assurance pour des autres personnes qui je connais. </t>
  </si>
  <si>
    <t>ventures-francis-97840</t>
  </si>
  <si>
    <t>Client depuis septembre 2005, ma prime est passée de 23,30 € en 2013, à 29,97 en 2018 (28 % en 5 ans), puis 33,66 en 2019 et maintenant 39,35 en 2020, soit 69 % d'augmentation depuis l'origine du contrat !!!!!! Quand je demande pourquoi ma cotisation Assurance habitation a-t-elle augmenté de 17% en 2020, et aussi de 12% en 2019, alors que les médias annoncent des augmentations de l'ordre de 1,5 à 2,2 %, éventuellement jusqu'à 5% dans des cas exceptionnels, personne ne me répond? J'attends toujours de recevoir des justificatifs plausibles.
J'ai compris : les sommes récupérées sur nos cotisations vont à la publicité et aux organisations sportives, ALLIANZ devrait faire son métier d'assureur, en devenant plus compétitif et en respectant ses clients, au lieu de "les envoyer promener", pour rester poli. J'en ai marre de me faire balader depuis 3 ans avec leurs réponses évasives, et encore, quand ils daignent répondre. 
Cet avis concerne l'assurance habitation, alors que les dégâts que j'ai subi ont été provoqués par les voisins du dessus. Pour la voiture, n'ayant pas eu de sinistre, je n'ai rien à dire, mais je suppose que cela aurait été pareil.
NOTA : Je me suis déjà exprimé sur les publicités Allianz sur Facebook, mais vous pouvez diffuser.</t>
  </si>
  <si>
    <t>09/07/2021</t>
  </si>
  <si>
    <t>eric--f-130390</t>
  </si>
  <si>
    <t xml:space="preserve">Je suis satisfait merci à vous 
Contrat très vite je vous en remercie pour votre efficacité 
J espère à très vite et que nous allons rester chez vous très longtemps </t>
  </si>
  <si>
    <t>cooky69-40150</t>
  </si>
  <si>
    <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</si>
  <si>
    <t>27/12/2017</t>
  </si>
  <si>
    <t>boubou76-51914</t>
  </si>
  <si>
    <t xml:space="preserve">Je suis très déçue par la maif chez qui je suis assurée depuis toujours. Tout allait bien tant que je n'avais pas de sinistre. J'ai plusieurs contrats, mais toutes les excuses sont bonnes pour ne pas rembourser. Pas étonnant que nous nous sentions volé, on est juste bons à  payer mais en cas de besoin, personne pour nous aider. Je pense comparer les avis des clients sur les autres assurances  et quitter la maif. </t>
  </si>
  <si>
    <t>31/01/2017</t>
  </si>
  <si>
    <t>cyccil-51700</t>
  </si>
  <si>
    <t>leur conseiller a extorqué une signature à ma mère agée en se faisant passer pour sa vraie mutuelle, honteux !!</t>
  </si>
  <si>
    <t>26/01/2017</t>
  </si>
  <si>
    <t>pigeon-74625</t>
  </si>
  <si>
    <t>1568,84 euros placés sur une assurance vie Cortal en janvier 2000, contrat qui à été modifié en 2006 pour devenir "Majeur plus" de Cardif en unités de compte CORTAL CONSORT OPEN PATRIMOINE PC. Aujourd'hui il reste 1099,26 euros, soit -29,9% en 18 ans.
Société à EVITER COMME LA PESTE</t>
  </si>
  <si>
    <t>31/03/2019</t>
  </si>
  <si>
    <t>terry-o-110840</t>
  </si>
  <si>
    <t>Je suis sattfee avec direct assurance ces't ne pas tros chere, mai le kilomite ces't ne pas bon, 50 km ces't pas bon a aperte demicile, ces't bon avec 25 km merci</t>
  </si>
  <si>
    <t>zad-57580</t>
  </si>
  <si>
    <t>Jusqu'à présent pas de soucis mais par soucis d'économie ne suppose on retire l'accueil de l'agence résultat 1h d'attente pour donner un papier et poser une question. Ça devient vraiment rédhibitoire. Les savons c'est bien mais à un moment il y a aussi des clients.</t>
  </si>
  <si>
    <t>25/09/2017</t>
  </si>
  <si>
    <t>shamir-a-129904</t>
  </si>
  <si>
    <t xml:space="preserve">Ok mais pourrait etre moins cher. Contrat d’assurance habitation et voiture depuis 7 ans. Pas d’offre pour l’ancienneté. 
Service client au top et rapide. </t>
  </si>
  <si>
    <t>28/08/2021</t>
  </si>
  <si>
    <t>val01-135172</t>
  </si>
  <si>
    <t>Un télévendeur très professionnel, très aimable, très efficace et très gentil. Un délai d'attente très court ce que j'apprécie beaucoup. Je recommande vivement.</t>
  </si>
  <si>
    <t>julie-c-111907</t>
  </si>
  <si>
    <t>je suis vraiment satisfaite de votre service , service client top, tarifs avantageux , je recommande 10000 fois , meilleure assurance , meilleur relation client</t>
  </si>
  <si>
    <t>vorimore-b-123360</t>
  </si>
  <si>
    <t>Les prix proposés par L'OLIVIER pour ce contrat me conviennent par rapport au contrat précédent. Je ne peux encore juger de l'efficacité du service proposé</t>
  </si>
  <si>
    <t>13/07/2021</t>
  </si>
  <si>
    <t>damien-c-114824</t>
  </si>
  <si>
    <t>Le service se dégrade d'année en année et les prix augmentent. Certaines modifications de contrats ne peuvent pas être faites en ligne, il faut donc joindre le service client ce qui est une perte de temps regrettable. De plus, il y a très peu de clarté sur les conditions du contrat ou de résiliation, tout pourrait être affiché plus clairement sur la page du profil utilisateur.</t>
  </si>
  <si>
    <t>25/05/2021</t>
  </si>
  <si>
    <t>youcef-o-123443</t>
  </si>
  <si>
    <t>Je suis satisfait et convaincu du service.
Les prix me conviennent.
Très utile de s'assurer par téléphone ou sur ordinateur. 
Très bon service d'assurance</t>
  </si>
  <si>
    <t>15/07/2021</t>
  </si>
  <si>
    <t>patrick-m-110911</t>
  </si>
  <si>
    <t>Je suis insatisfait du service sinistre.
J'ai déclaré un sinistre le 14/04 en demandant la marche à suivre. Bris de glace avec tiers identifié.
A ce jour le 19/04 aucun retour...je ne sais pas comment agir ?</t>
  </si>
  <si>
    <t>19/04/2021</t>
  </si>
  <si>
    <t>bperrin-59249</t>
  </si>
  <si>
    <t xml:space="preserve">Soit disant un service client au top... Oui si vous souhaitez perdre une journée tous les 15 jours pour prendre rdv et aller en agence...
Pas de service en ligne... </t>
  </si>
  <si>
    <t>30/11/2017</t>
  </si>
  <si>
    <t>lvlarjo-87655</t>
  </si>
  <si>
    <t>Jusqu'a ce jour aucun sinistre habitation, il a suffit que le mistral décroche et casse mes gouttières pour que j'envisage de changer d'assurance. Expertise limite limite: chiffrage a environ 1000euros dont 250 (franchise + vétusté) de ma poche, mais ça on ne le sait pas tant que l'artisan affilié n'est pas passé... comment dire: ça va rester comme ça !!!!!!! impossible de joindre le numéro de l'inter assurance, 3 appels de 10 minutes sur un 0800: on nous demande de patienter pendant 10 minutes et "en raison d'un trop grand nombre d'appels nous vous remercions de renouveler votre demande"
Cliente Matmut depuis maintenant 12 ans j'envisage sérieusement de rapatrié tout mes contrats ailleurs
rien a dire niveau assurance moto car aucun sinistre a ce jour
quant a ma voiture "pro" elle est parti à la banque</t>
  </si>
  <si>
    <t>26/02/2020</t>
  </si>
  <si>
    <t>severine27--91237</t>
  </si>
  <si>
    <t xml:space="preserve">les prix sont avantageux et devis rapide, tout est simple. mais le prux est correct sur une année ensuite la prime d’assurance augmente. Donc il faut reevaluer. hasue annee son contrat </t>
  </si>
  <si>
    <t>17/06/2020</t>
  </si>
  <si>
    <t>nadia-111388</t>
  </si>
  <si>
    <t xml:space="preserve">Rendez vous hier en agence Bourges après plusieurs devis en ligne. La personne a été des plus incorrecte et incompétente  par son manque d'écoute malgré nos tentative de lui expliquer nos besoins. Après 35 ans de multiples contrats a la GMF, le constat est des plus simple il ne sont plus à la hauteur de ce qu'ils prétendent.
</t>
  </si>
  <si>
    <t>23/04/2021</t>
  </si>
  <si>
    <t>jerome-c-134356</t>
  </si>
  <si>
    <t>La démarche est facile, c'est clair et rapide.
J'aurais aimé définir un montant supérieur des biens garantis dans le véhicule mais ça n'a pas été possible.</t>
  </si>
  <si>
    <t>24/09/2021</t>
  </si>
  <si>
    <t>biskai-105330</t>
  </si>
  <si>
    <t>Service client toujours aimable et réactif.
Il faudrait simplement que le lien pour les remboursements se fasse automatiquement avec la CPAM.
********</t>
  </si>
  <si>
    <t>jeff-99899</t>
  </si>
  <si>
    <t>Suite à une demande de modification de contrat automobile validée et confirmée par notre intermédiaire le LCL j'apprends avec stupeur 2 mois après que l'assurance de mon véhicule a été résiliée !!! Explication plus que confuse de la plate forme LCL ( puisque je dispose de leurs différents courriers modificatifs, validant ma demande !!! ) et surtout impossible je dis bien impossible de joindre la compagnie Pacifica, je me déplace même sur place en province et la porte me restera fermée !! du jamais vu dans l'irrespect, la mauvaise foi pour ne pas dire plus. Le seul moyen de contacter le service client se fait par courrier et suivant les retours des consommateurs sur le web aucune réponse formulée en retour, quelle belle compagnie .....</t>
  </si>
  <si>
    <t>09/11/2020</t>
  </si>
  <si>
    <t>toune-87682</t>
  </si>
  <si>
    <t xml:space="preserve">Je suis client chez swiss life depuis 28 ans. J ai eu besoin de faire un rachat partiel de mon contrat. Ça  fait des mois que je me bat . Des dizaines de coups de téléphone ou on vous dit que quelqu'un vous rappellera,  ce qui est jamais arrivé.  Des mails à  n en plus finir ou on vous répond de temps à  autre pour vous dire que tout est bon mais toujours aucun versement . Ils vous annonce une date de versement et l argent n arrive jamais.  Et encore des papiers à  remplir car une autre personne a pris le dossier. Tous  des incapables. Si je travaillais comme ça  dans mon métiers je n aurais pas beaucoup de clients. </t>
  </si>
  <si>
    <t>27/02/2020</t>
  </si>
  <si>
    <t>lucas-63595</t>
  </si>
  <si>
    <t xml:space="preserve">Je suis chez l'olivier depuis plusieurs mois et tout se passe pour le mieux. Je recommande cet assureur sans problème. </t>
  </si>
  <si>
    <t>26/04/2018</t>
  </si>
  <si>
    <t>01/04/2018</t>
  </si>
  <si>
    <t>nicolas-a-129186</t>
  </si>
  <si>
    <t>Excellente compagnie. Je suis entièrement satisfait. Bon rapport qualité-prix. Après une expérience négative auprès de mon ancien assureur, je suis ravi d’avoir choisi Direct Assurance pour assurer ma voiture.</t>
  </si>
  <si>
    <t>23/08/2021</t>
  </si>
  <si>
    <t>patrice-m-116427</t>
  </si>
  <si>
    <t>je suis satisfait de la prise en charge .
le suivi est bien fait et est régulier .
les renseignements demandés sont clairs et fondés .
le niveau des prestations sont bonnes .</t>
  </si>
  <si>
    <t>09/06/2021</t>
  </si>
  <si>
    <t>nina-110786</t>
  </si>
  <si>
    <t xml:space="preserve">je suis assurée chez cegema depuis janvier 2021 j ai expédier des remboursements dentaire depuis début février et depuis rien ,j ai appeler plusieurs fois , enfin une personne  me réponds que le remboursement part dans la semaine, depuis ca fait deux mois !! ,par contre les cotisations sont prélevées a date fixe !! je ne pense pas renouveler mon contrat </t>
  </si>
  <si>
    <t>gordon302-60828</t>
  </si>
  <si>
    <t>À fuire,j ai eu un sinistre en juin nous sommes en janvier ,un sinistre non responsable.une voiture est venu percuté la moto de mon frère et la mienne (tous les 2 chez AMV).l assurance adverse celle de la voiture accepté de prendre en charge la voiture puis la moto de mon frère mais refuse la mienne car pour eux la voiture a percuté la première moto et c la moto qui a percuté la deuxième (la mienne ).mon frère n a eu aucun dégâts quand a moi il y en a eu pour 1700 e de réparation.amv refuse de prendre en charge ,l autre assurance aussi ,je me retrouve avec la facture chez mon concessionnaire qui ne est tjrs pas réglée,6 mois que cela dure ,je me retrouve à faire le boulot des assureurs à contacter les 2 assurances qui se relance la balle,seul solution que AMV me propose c de payer moi mm la franchise en attendant que l assurance adverse paie (450 e de franchise),et le concessionnaire me menace de huissier si tjrs pas réglé rapidement (normale ils ont fait les travaux).je refuse de payer pour un sinistre que j' ai subit,c une honte . bien-sûr que pour les assurances c à l assurance de mon frère de prendre en charge la mienne et c AMV,la mm assurance.je vais devoir engager une procédure</t>
  </si>
  <si>
    <t>25/01/2018</t>
  </si>
  <si>
    <t>elo5165-96559</t>
  </si>
  <si>
    <t>Notre compte en ligne est jamais mis à jour malgré plusieurs relances. Ils ne prennent pas en compte les changements d'adresse ou font plein d'erreurs.
J'ai également demandé la résiliation sous couvert de la loi Hamon et ils font la sourde oreille et font croire qu'ils n'ont pas reçu le courrier de ma nouvelle assurance malgré preuves. Ils ne prennent pas en compte les mails non plus avec copie de ce dit courrier.
Procédure en justice qui va être lancée afin de pouvoir obtenir gain de cause !!</t>
  </si>
  <si>
    <t>22/08/2020</t>
  </si>
  <si>
    <t>couet-t-122169</t>
  </si>
  <si>
    <t>Devis simple à remplir, lorsque j'ai eu besoin d'informations le conseiller que j'ai eu au téléphone à su répondre à mes demandes. Les prix me semble attractif compte tenu des garanties proposées.</t>
  </si>
  <si>
    <t>02/07/2021</t>
  </si>
  <si>
    <t>arlette-67964</t>
  </si>
  <si>
    <t>C'est la première fois que j'ai besoin d'eux depuis 20 minimum pour un accrochage ou je suis 100/100 dans mes droits et j'attends depuis 15 jours le remboursement de la facture car il faut le temps de réfléchir avant de faire le chèque qui correspond pourtant au devis accepté par l'assurance SCANDALEUX</t>
  </si>
  <si>
    <t>22/10/2018</t>
  </si>
  <si>
    <t>emy-123895</t>
  </si>
  <si>
    <t>On a été victime des forts orages au mois de juin donc inondations de la maison. C'est le 1er sinistre dont on est victime. L'état a reconnu catastrophe naturelle. AXA propose une société de nettoyage avec franchise de 380€. Rien de plus.... 2 jours après je reçois un recommandé car il résilie mon contrat suite à ce sinistre.... on cotise pour rien
Comme de par hasard, personne ne vous rappelle car ils savent qu'ils sont en tort</t>
  </si>
  <si>
    <t>fifi13-137451</t>
  </si>
  <si>
    <t xml:space="preserve">Bonjour j ai contacté le service suite à une probleme d accès à mon espace adhérent et j ai été renseignée par Georges qui a été très professionnel et rapide ….
Je le remercie pour sa réactivité et pour la prise en charge de ma demande </t>
  </si>
  <si>
    <t>maria-f-126636</t>
  </si>
  <si>
    <t>je suis satisfait des prix et des garanties par rapport à d'autres compagnie. et aussi  la facilité pour souscrire sur le site . je recommande direct assurance sans problème</t>
  </si>
  <si>
    <t>mohamed-e-132498</t>
  </si>
  <si>
    <t>DOMMAGE QU'IL Y A UNE AUGMENTATION DU TARIF PAR MOIS MÊME POUR QUELQUE EUROS
ET LES FRANCHISE SONT TRES EXCESSIF
SINON SIMPLE ET RAPIDE DUTILISATION
JE NHSITERAI PAS A DIRE A MES AMIS DASSURRER CHEZ VOUS</t>
  </si>
  <si>
    <t>lembirik-130164</t>
  </si>
  <si>
    <t>conseillère très compétente et bienveillante
Elle sue répondre à toutes mes demandes.
Elle a trouver rapidement mes dossiers, c'est beaucoup mieux que mon dernier appel ou je n'ai pas eu de réponse.</t>
  </si>
  <si>
    <t>motard33-50808</t>
  </si>
  <si>
    <t>Tant que vous avez pas de souci tout va bien,amis motard apres avoir changé de moto et donc pas lié à la meme assurance,en assurant chez un concess vous finissez chez AMV à part honda la plus part sont de leur filiale. un accident et vous etes obligés de les flattés pour un remboursement quand biensur vous arrivez à avoir une des conseilleres formatées au bout du fil</t>
  </si>
  <si>
    <t>31/12/2016</t>
  </si>
  <si>
    <t>zen-88501</t>
  </si>
  <si>
    <t>produits a la marge elevée pour l'assureur, sav problématique</t>
  </si>
  <si>
    <t>Gan</t>
  </si>
  <si>
    <t>23/03/2020</t>
  </si>
  <si>
    <t>delph-1205-78810</t>
  </si>
  <si>
    <t>Tres decue par cet assureur. Mon vehicule a ete vendu il y a deux ans et ils continuent a de debiter de l argent (350euros) tous les ans alors que je leur ai fourni tous les documents attestant la revente du vehicule (declaration cession). Leur communication est egalement lamentable, toutes mes demandes de resiliation et de remboursement de l argent injustement percus restent lettre morte...bref assureurr que je ne recommande pas du tout</t>
  </si>
  <si>
    <t>30/08/2019</t>
  </si>
  <si>
    <t>regine-j-107477</t>
  </si>
  <si>
    <t>Je suis satisfaite du service, et du rapport qualité prix, et de la force de proposition selon mes attentes.
par contre faire une offre de rabais pour les bons conducteurs et client</t>
  </si>
  <si>
    <t>juutots-97196</t>
  </si>
  <si>
    <t>Horrible cette assurance !! Je déconseille sauf si vous voulez des problemes dans ce cas c’est le top ! Tu vends ta voiture et ils t’obliges à enregistrer ta vente sur ANTS sinon ils refusent la fin de ton contrat. Ils doivent avoir des accords entre les deux car l’enregistrement sur ANTS n’est pas obligatoire car les autres assurances ne le demandent jamais deja et le vendeur comme l’acheteur peuvent faire leur carte grise partout ailleurs si ils le veulent !</t>
  </si>
  <si>
    <t>09/09/2020</t>
  </si>
  <si>
    <t>courbe-k-109178</t>
  </si>
  <si>
    <t>satisfaite - facilité de souscription et  relation clientèle : personne correcte au téléphone.
prix attractif et offre correcte par rapport aux prixs du marché</t>
  </si>
  <si>
    <t>05/04/2021</t>
  </si>
  <si>
    <t>eloci-54871</t>
  </si>
  <si>
    <t>Après un dégât des eaux (DDE) concernant la copropriété (fuite d'un tuyau de chauffage intégré au plafond), l'expert envoyé par la MACIF a tout fait pour diminuer la facture présentée pour la réfection des peintures, en particulier  mise en avant d'un coefficient  de vétusté, ce qui est notoirement illégal dans le cas d'un DDE mettant en cause la copropriété comme je l'ai appris depuis. Au total j'ai reçu en dédommagement le tiers du montant des frais de restauration. Quand on est client à la Macif il ne faut pas hésiter à consulter (et rémunérer) un expert indépendant.</t>
  </si>
  <si>
    <t>23/05/2017</t>
  </si>
  <si>
    <t>zara-53814</t>
  </si>
  <si>
    <t xml:space="preserve">La plus mauvaise mutuelle que je n'ai jamais connue les fiches qui disparaissent les explications inédit.. tout mes proche sont chez eux et on va tous quitter cette mutuelle pitoyable fin 2017 </t>
  </si>
  <si>
    <t>04/04/2017</t>
  </si>
  <si>
    <t>pm-113473</t>
  </si>
  <si>
    <t>Merci Emeline, c'était très clair ! Je trouve l'accueil très agréable chez SANTIANE.
En attendant le début de mon contrat !!!!
Belle journée, bien cordialement,</t>
  </si>
  <si>
    <t>tristan-b-134078</t>
  </si>
  <si>
    <t xml:space="preserve">Je suis satisfait du service
Prix correct et proposition claire et détaillé
Je recommande cette assurance à mon entourage
Site internet bien construit
</t>
  </si>
  <si>
    <t>fanoug38-72461</t>
  </si>
  <si>
    <t xml:space="preserve">ATTENTION lorsque vous souscrivez par téléphone une assurance Auto à l’olivier Assurance.
Ne faite surtout aucune erreur dans les questions posées très rapidement, car cela vous en coûtera 15 € pour modifier le contrat et surtout si vous avez négligé de ne pas déclarer un accident non responsable ou un bris de glace alors là cerise sur le gâteau pour ma part une surprime de 100 et quelques euros.
Résultat des courses je paie plus cher que mon ancienne assurance.
Je viens de passer 3 contrats automobiles à l’olivier, dès mon année passée, je repars chez mon ancien assureur.
Là au moins on peut discuter et on connait le prix définitif de son assurance
Cordialement
</t>
  </si>
  <si>
    <t>26/03/2019</t>
  </si>
  <si>
    <t>jm-94788</t>
  </si>
  <si>
    <t>Un manque de respect et de considération total pour ses épargnants. Service client inexistant, irrespectueux
Impossible de faire modifier son RIB, un comble. Je  n'ose imaginer un rachat. Faut il prendre un avocat?</t>
  </si>
  <si>
    <t>21/07/2020</t>
  </si>
  <si>
    <t>murielle-d-125508</t>
  </si>
  <si>
    <t>Inscription rapide,  les options proposées  son réfléchies 
La réponse est direct  pas d attente ou rendez à prendre. 
très bien j ai assurance maison ras</t>
  </si>
  <si>
    <t>29/07/2021</t>
  </si>
  <si>
    <t>rib95-96961</t>
  </si>
  <si>
    <t xml:space="preserve">Simple, rapide, efficace, à l’écoute. Pas encore eu de problème niveau conduite etc donc a voir pour ça. Mais sinon entièrement satisfait de la rapidité de gestion de mon dossier. A voir niveau garantie au besoin. </t>
  </si>
  <si>
    <t>02/09/2020</t>
  </si>
  <si>
    <t>anthony-s-106671</t>
  </si>
  <si>
    <t>simple et pratique,bon rapport qualite prix.je conseille vivement cette assurance. dommage qu il ne se sont pas alignè a mon assurance actuelle pour mon contrat automobile , sinon je serais restè chez eux.</t>
  </si>
  <si>
    <t>15/03/2021</t>
  </si>
  <si>
    <t>imane-a-134590</t>
  </si>
  <si>
    <t>Bon rapport quailité/prix. Contact par téléphone très compliqué pour souscrire et poser les questions. Le rembourssement des 20 euros pour le parrainage n'est pas clair</t>
  </si>
  <si>
    <t>melaniem-62617</t>
  </si>
  <si>
    <t xml:space="preserve">Une conseillère m'a recontactée pour modifier mon contrat mutuelle santé qui datait de 2013. </t>
  </si>
  <si>
    <t>23/03/2018</t>
  </si>
  <si>
    <t>max67-67288</t>
  </si>
  <si>
    <t>Je suis assuré chez eurofil depuis 2 ans avec une assurance tous risques. Il y a six mois, ma voiture a été endommagée alors qu'elle était garée sur la route. Leur technicien a déclaré que la voiture ne pouvait pas être endommagée et a donc indiqué que les réparations ne seraient pas effectuées. En gros, j'ai un dommage de 4000 euros et aucune réparation. Restez à l'écart d'Eurofil</t>
  </si>
  <si>
    <t>05/10/2018</t>
  </si>
  <si>
    <t>prescilia-c-133340</t>
  </si>
  <si>
    <t xml:space="preserve">Je suis satisfaite……les prix sont abordables….. la mise en place est simple efficace et rapide….plusieurs tarif sont proposés afin de répondre à nos attentes </t>
  </si>
  <si>
    <t>18/09/2021</t>
  </si>
  <si>
    <t>grisou-55883</t>
  </si>
  <si>
    <t xml:space="preserve">bonjours,,alors qu'ils annoncent des remboursements à hauteur de 85/100 voilà mes remboursements:06/07/2017 Prévention Traité par nos services  75,00 € payé25,00 € remboursé› Voir le détail 
08/03/2017Chirurgie suite à maladie Traité par nos services  170,90 € payé 102,77 € remboursé › Voir le détail 
02/07/2016 Maladie Traité par nos services  55,00 € payés  4,25 € remboursés › Voir le détail 
je suis le contraire de quelqu'un de satisfait 
j'oubliais , trois semaines pour ètre très mal remboursé </t>
  </si>
  <si>
    <t>SantéVet</t>
  </si>
  <si>
    <t>08/07/2017</t>
  </si>
  <si>
    <t>01/07/2017</t>
  </si>
  <si>
    <t>philm64-65988</t>
  </si>
  <si>
    <t>Suite à un problème de santé majeur, j'ai perdu mon emploi, la CPAM reconnait ma maladie à 100%, la MDPH entre 80 et 100, idem au niveau des impôts, SURAVENIR 30% !!! cherchez l'erreur, une multitude de bourdes, mais à qui profite les erreurs pas à moi en tout cas, je viens de faire appel à un avocat pour qu'il m'aide à entrevoir le bout du tunnel, suravenir ne remplit  pas sa mission, il faut bien évidemment les fuir...</t>
  </si>
  <si>
    <t>Suravenir</t>
  </si>
  <si>
    <t>04/08/2018</t>
  </si>
  <si>
    <t>kiara-59226</t>
  </si>
  <si>
    <t>J'ai eu un accident avec la voiture et j'ai eu du mal à les contacter, une fois que j'ai réussi, la personne qui m'a répondu avait une très mauvaise attitude et m'a donné des mauvaises informations.</t>
  </si>
  <si>
    <t>sandy2831-68328</t>
  </si>
  <si>
    <t xml:space="preserve">Après 2 ans et demi de maladie, un passage en invalidité 2, un licenciement, des dizaines d appels au service assuré, des courriers en pagaille pour que l on me dise que je n'ai aucune prise en charge. Cela va faire 1 mois que mon dossier est censé être réétudié mais plus de nouvelles. Je suis choquée et au final je regrette d avoir souscrit car cela ne sert à rien. Mais je veux que l on m explique pourquoi après m avoir dit que je serais prise en charge rien n a été fait ! </t>
  </si>
  <si>
    <t>04/11/2018</t>
  </si>
  <si>
    <t>loraine-c-129312</t>
  </si>
  <si>
    <t>Je suis satisfaite du service et des tarifs. Site complet et très intuitif et personnel de l'accueil téléphonique à l'écoute et compréhensif de nos besoins.</t>
  </si>
  <si>
    <t>awa-85824</t>
  </si>
  <si>
    <t>Ils jouent la montre pour le remboursement des assurances vies et ils sont impossibles à contacter au téléphone !!!!
Si par bonheur vous arrivez à avoir le standard, ce n'est pas le bon interlocuteur et lorsque ils vous basculent sur le poste destinataire, comme par hasard la communication est interrompue et vous ne parvenez pas à les recontacter !!!
Pour ce qui est des mails, ils restent sans réponse !!!
A la limite de l'escroquerie !!!</t>
  </si>
  <si>
    <t>13/01/2020</t>
  </si>
  <si>
    <t>carta-62996</t>
  </si>
  <si>
    <t>suite à une résiliation et un retard des courriers (ar obbligatoire) j'ai cotisé 3 mois de plus (destruction véhicule janvier 2018; résiliation avril 2018) aucun remboursement ....pas de médiateur Reponse de l'operatrice MMe S...j'ai peut pas vous donner les coordonnées du médiateur.... c'est la politique de l'assurance...192,00 non remboursée pour une voiture détruite depuis quatre mois....</t>
  </si>
  <si>
    <t>05/04/2018</t>
  </si>
  <si>
    <t>philippe-o-104151</t>
  </si>
  <si>
    <t>Très satisfaite, devis adapté proposé très rapidement, informations complètes, très bon suivi. Toutes validations en ligne, dossier sécurisé et accompagnement pour la résiliation de l’assurance en cours.</t>
  </si>
  <si>
    <t>14/02/2021</t>
  </si>
  <si>
    <t>glaizaud-t-117868</t>
  </si>
  <si>
    <t>JE SUIS SATISFAIT DU SERVICE ET DES RENSEIGNEMENT PAR CONTRE JE NE COMPREND PAS PENDANT DES ANNEE VOUS M AVEZ ASSURER N° CONTRAT 1638132467 ET AUJOURD HUIT VOUS ME DITE QUE VOUS NE POUVEZ PAS CAR SE VEHICULE ET PROFFESSIONNELLE COMMENT AVEZ FAIT POUR ASSURER A L EPOQUE ?????????????</t>
  </si>
  <si>
    <t>22/06/2021</t>
  </si>
  <si>
    <t>thibault-77341</t>
  </si>
  <si>
    <t xml:space="preserve">J'ai une épargne assurance vie chez Generali depuis plus de 10ans. Mon conseiller est venue a domicile dernièrement pour faire un point et j'ai eu la bonne surprise que mon capital avait fait beaucoup d'intérêts! </t>
  </si>
  <si>
    <t>04/07/2019</t>
  </si>
  <si>
    <t>parizot-j-111295</t>
  </si>
  <si>
    <t xml:space="preserve">Je suis satisfait de cette assurance rapide et effectivement   et voir parrainer un de chez moi  bonne journée  et bientôt sur la toile je préfère être couvert </t>
  </si>
  <si>
    <t>22/04/2021</t>
  </si>
  <si>
    <t>annick-l-106011</t>
  </si>
  <si>
    <t xml:space="preserve"> pour l'instant je suis satisfaite de mon assurance rien a redire le soucis est peut etre le site qui n'est pas terrible pour visualiser ses contrat et le détail </t>
  </si>
  <si>
    <t>09/03/2021</t>
  </si>
  <si>
    <t>jami17-85462</t>
  </si>
  <si>
    <t>Excellente assurance automobile, avec un très bon rapport entre la qualité des prestations fournies et le montant de la cotisation.</t>
  </si>
  <si>
    <t>03/01/2020</t>
  </si>
  <si>
    <t>adjaoud-s-117275</t>
  </si>
  <si>
    <t xml:space="preserve">Satisfait conseillère au top très clair dans les explications et très sympathique très professionnelle je recommande l Olivier autour de moi conseillère à l écoute </t>
  </si>
  <si>
    <t>vie-59813</t>
  </si>
  <si>
    <t>Toujours disponible rapide à joindre. Toujours à mon écoute.</t>
  </si>
  <si>
    <t>19/12/2017</t>
  </si>
  <si>
    <t>emmanuel-l-123542</t>
  </si>
  <si>
    <t xml:space="preserve">satisfait du service très rapide ;c'est très clair et compréhensible ; bien détaillé ;la présentation à l'écran est simple ,on s'y retrouve facilement </t>
  </si>
  <si>
    <t>soso58-110779</t>
  </si>
  <si>
    <t xml:space="preserve">Dommage que je sois obligé de mettre au minimum 1etoile! Pour moi ça mérite -10 etoiles. Ma nouvelle assurance à envoyée une demande de résiliation en février 2020 chez euro-assurance. A ce jour le contrat cours toujours et quand j'appelle pour savoir pourquoi le conseiller me répond que la date n'est pas bonne car il n'ont réceptionné le courrier au mois de mars 2021..... nan mais ils marchent sur la tête. Fuyez cette société de courtage. </t>
  </si>
  <si>
    <t>tine-61709</t>
  </si>
  <si>
    <t>Bonjour,
J ai realisé un devis pour assurer mon nouveau vehicule via lesfurets.com et l’olivier proposait la meilleure offre. Je n’ai pas pu valider l’offre sur le site car je n’avais que l’immatriculation belge du vehicule. J’ai donc appelé le service client qui m’a confirmé que l’olivier n’assurait pas les plaques etrangeres mais dès que j’aurai les plaques françaises, je pouvais appeler pour recevoir la carte verte en 5 minutes par mail. Le jour de l’acquisition de mon vehicule, j’appelle donc le service client et là je reçois un refus categorique car mes plaques sont provisoires!!!! Je me suis donc retrouvée bloquée au garage sans pouvoir circuler avec mon vehicule que je venais d’acheter!!! L’olivier ne m’a proposé aucune solution malgré mon insistance et ma deconcertation face à la situation: les plaques ne sont elles pas des plaques françaises? Je suis deçue et tenais à partager mon experience pour que d’autres clients potentiels ne rencontre pas la meme douloureuse experience...</t>
  </si>
  <si>
    <t>24/02/2018</t>
  </si>
  <si>
    <t>moutti-t-124348</t>
  </si>
  <si>
    <t>C'était parfait. Merci
Très pro, accueil téléphonique au top
tarif intéressant
Je recommande 
J'espère en cas de sinistre que cela sera identique car c'est à ce moment là que l'on reconnait une bonne assurance</t>
  </si>
  <si>
    <t>23/07/2021</t>
  </si>
  <si>
    <t>doukoki-d-129683</t>
  </si>
  <si>
    <t xml:space="preserve">J’ai. Eu. Une réponse à mon devis rapidement ! Et je suis satisfait de se que l’ont m’a proposé! J’ai. Ou faire une Devis en ligne rapide sans trop de difficultés </t>
  </si>
  <si>
    <t>motard83-79715</t>
  </si>
  <si>
    <t>Ecarts importants entre devis et contrat.</t>
  </si>
  <si>
    <t>03/10/2019</t>
  </si>
  <si>
    <t>bakleyna38-104723</t>
  </si>
  <si>
    <t>Ils vous appâtent avec un tarif intéressant au début, mais les prix augmentent fortement chaque année, les franchises sont exorbitantes et lorsque je veux assurer un autre véhicule chez eux, l'interlocuteur est très désagréable et refuse de me valider un tarif négocié avec un comparateur. Pire, je ne peux plus avoir accès au -10% proposé au 2ème contrat car j'ai osé faire un devis avec un comparateur!
Bref, c'en est trop, je pars!!! A fuir!!!</t>
  </si>
  <si>
    <t>24/02/2021</t>
  </si>
  <si>
    <t>camilo-g-108049</t>
  </si>
  <si>
    <t xml:space="preserve">Excellente , pour l'instant je ne rien a dire . C est une entreprise très sérieux , le service marche tres bien. Mes felicitation.
Je ne regrette pas d'avoir souscrit une assurance tour risque </t>
  </si>
  <si>
    <t>25/03/2021</t>
  </si>
  <si>
    <t>siham-b-124370</t>
  </si>
  <si>
    <t>satisfait du service rendu, le prix me convient et très pratique et simple dans les modalités pratiques d'utilisation de l'espace client. dans l'ensemble, ce me convient à moi et à toute ma famille</t>
  </si>
  <si>
    <t>angel53-51750</t>
  </si>
  <si>
    <t xml:space="preserve">Bonjour, cela fait maintenant un an que j'envoie courriers, emails et appels téléphonique sans jamais avoir de réponse de leur part, ou on vous rappelera cet après midi ou demain, à on peut dire qu'à l'accueil téléphonique elles sont gentilles et elles sont les premières à se prendre les foudres, par contre ceux qui sont au dessus eux ne vous rappelle jamais. Je vis avec moins de 400 euros par mois, ou plutôt survie, tout ça à cause d'un soit disant trop perçu de ma rente invalidité, avec des décomptes incompréhensibles (on arrive à diviser par 12 une rente mensuelle, quel sérieux), je suis outrée et vraiment déçue de cette assurance qui a été prise par mon ancien employeur. Depuis novembre mes revenus on changés mais non on ne recalcule pas ma rente invalidité, on ne me prend pas au téléphone, on ne répond pas à mes emails ni courriers recommandés. Mais survivre alors qu'on est handicapée et un parcours du combattant et eux ils s'en foutent </t>
  </si>
  <si>
    <t>27/01/2017</t>
  </si>
  <si>
    <t>nico-125428</t>
  </si>
  <si>
    <t>Chez la Macif.
 tout va bien si vous avez un pavillon , si vous êtes hébergé comme moi à titre gratuit et que , vous avez la chance de pouvoir acheter un camping-car poids lourd et bien la Macif vous fait miroiter qu'il peux vous assurer est le jour de la perception du camping-car ils prennent le prétexte de dire que je vie dans le camping-car chose qui est pas vrai et du coup ils n'ont pas voulu m'assurer imaginez bien que j'étais dans le désarroi avec un camping-car sur les bras que je ne pouvais pas sortir de la concession car il n'était pas assuré en plus il se permettes de se mêler de la vie privée des gens jusqu'à leurs donner des ordres sur la manière de vivre des gens .
franchement je ne conseille pas du tout c'est assurance</t>
  </si>
  <si>
    <t>gesnel-107964</t>
  </si>
  <si>
    <t xml:space="preserve">Messieurs
Nous sommes malheureusement de temps en temps hospitalisés a L'hôpital Bégin  de STMandé j'ai constaté que vous n'avez pas suivi l'augmentation
Chambres seules de ce dernier qui est actuellement de45 euros¸ sauf erreur de ma part une difference de 3 euros par jour. Veuillez me confirmer si cela est normal ?
En vous remerciant de votre réponse je vous prie d'agréer l'expression de mes meilleurs sentiments ?
Gesnel Arlette et Gérard
17Rue Guichard
94230 Cachan
Tél; 0623824905
E.mail: gerard.gesnel@sfr.fr
</t>
  </si>
  <si>
    <t>oufdenmatet-56162</t>
  </si>
  <si>
    <t>Meilleur rapport garanties / prix. Possibilité d'aller en agence.</t>
  </si>
  <si>
    <t>21/07/2017</t>
  </si>
  <si>
    <t>ttx-74593</t>
  </si>
  <si>
    <t>Très bon contact pour la prise des renseignements
Discours simple et efficasse. Rapidité des prises de décision. Bon rapport prix et garanties</t>
  </si>
  <si>
    <t>29/03/2019</t>
  </si>
  <si>
    <t>emre-k-126389</t>
  </si>
  <si>
    <t>Je suis satisfait du service. Ce n’est pas trop chere rapide et efficace facile a faire un devis et tres rapide. Je recommande direct assurance a tout le monde</t>
  </si>
  <si>
    <t>04/08/2021</t>
  </si>
  <si>
    <t>mieliz-65052</t>
  </si>
  <si>
    <t xml:space="preserve">BON RAPPORT LORS D'UN ACCIDENT FACILEMENT JOIGNABLE 
TRES CLAIR DANS LES EXPLICATIONS 
RAPIDITE D'INTERVENTION EFFICACITE BON RAPPORT AVEC LES CONSEILLER RDV RAPIDE ET MISE A DISPO DE NOS DOCUMENTS SUR LE NET TRES SIMPLE </t>
  </si>
  <si>
    <t>25/06/2018</t>
  </si>
  <si>
    <t>01/06/2018</t>
  </si>
  <si>
    <t>stella-b-113524</t>
  </si>
  <si>
    <t>Conseiller en ligne très patient 
a l'écoute qui ne précipite pas la vente du contrat une note sur 10/10.
Satisfaite qualité service et rapidité de la prise en charge des contrats</t>
  </si>
  <si>
    <t>jolie-papillon-98261</t>
  </si>
  <si>
    <t>J avais neoline qui m avais été conseillé  
Donc je la prends je vais voir un médecin spécialiste  la ss me remboursse  cette mutuelle 1e j en fais par a la conseillère qui tombe des nus bref
Depuis le  mois de juin 2019 je demande le rembourssement  de mes cotisations avec l aide de ma charmante conseillère
Elle envoie reccomande  depuis juin ils nous balade 
Donc normalement je doit être indemniser
Il existe un site qui s appelle acpr
Maintenant  J attends
Sinon procédure car cela va très loin</t>
  </si>
  <si>
    <t>lulu-99469</t>
  </si>
  <si>
    <t>Je suis actuellement assuré chez eurofil et leur prix sont compétitif mais le rapport clientèle est désastreux très désagréable ne ce souci en aucun cas de ces clients.</t>
  </si>
  <si>
    <t>31/10/2020</t>
  </si>
  <si>
    <t>marie-m-128719</t>
  </si>
  <si>
    <t>très contente de mon assurance GMF j'y suis assurée depuis plus de 40 ans et je recommande cette assurance à tout le monde
quand je suis en panne sur la route un petit coup de tél, et hop dépannée de suite, c'est génial !!</t>
  </si>
  <si>
    <t>maurice-r-114845</t>
  </si>
  <si>
    <t>les prix me conviennent même si ce n'est pas toujours facile de vous joindre et surtout vous êtes encore plus pénibles que les administrations classiques au niveau des papiers.</t>
  </si>
  <si>
    <t>dusty-96778</t>
  </si>
  <si>
    <t xml:space="preserve">Pas humain
Ne s’adapte pas à la situation d’urgence liée au Covid
Ne prends pas en compte l’état de santé de ses adhérents 
Mon papa qui vient de nous quitter et qui avait le Covid , ma maman de 80 ans fragile, mes douleurs neuropathiques insupportables, les vacances de médecin traitant et l’urgence de la situation ( ma mère a besoin de moi , elle vient de perdre son époux , mon papa) 
Une facture succincte certes mais pour le COVID-19 franchement... elle voulait quoi de plus ??? Elle aurait au moins pu demander elle-même si elle voulait des précisions... bref... manque total d’empathie et d’adaptabilité... je déconseille, je suis trop déçue 
Déçue </t>
  </si>
  <si>
    <t>28/08/2020</t>
  </si>
  <si>
    <t>kevin94-57269</t>
  </si>
  <si>
    <t xml:space="preserve">Ne prenez jamais direct assurance. Je suis actuellement client et je vous assures que c'est nul. On m'as accidenté mon véhicule je suis à 0 % de tort mais depuis presque 1 mois, toujours pas de véhicule de prêt toujours pas de nouvelles concernant ma voiture... Et de plus vous n'avez jamais la même personne au téléphone. A fuir absolument ! Vraiment zéro ! </t>
  </si>
  <si>
    <t>charlie100763-56669</t>
  </si>
  <si>
    <t xml:space="preserve">Et bien Après un dépannage!  Je me devais de laisser un avis sur la GMF!   je possède une voiture de collection  ! Et tombe en panne avec juste en arrivant sur mon lieu de vacances à Euronat!   J appelle mon assistance GMF......Naomi  me répond instantanément  et très gentiment!  Je lui explique que la voiture est ancienne est qu' il faut un mécano d expérience!   Naomi se mets en quatre pour me trouver un dépanneur!   Résultat retour en camion avec un vrai pro 350 kms.....900 euros pris en charge par la GMF.   Merci bcp Naomi pour votre professionnalisme!   Olivier </t>
  </si>
  <si>
    <t>15/08/2017</t>
  </si>
  <si>
    <t>nat345-88985</t>
  </si>
  <si>
    <t>je suis chez neoliane depuis 4 ans rien a dire,je suis très satisfaites, en plus long bénéficie d'un service carte blanche je paie pas mon opticien ce qui es un point très postif</t>
  </si>
  <si>
    <t>19/04/2020</t>
  </si>
  <si>
    <t>aymeric-d-115593</t>
  </si>
  <si>
    <t>Satisfait de l'interface et du prix, maintenant il faut voir comment l'assurance va réagir si il m'arrive quelque chose :)
Disons que cela commence bien</t>
  </si>
  <si>
    <t>slim-68417</t>
  </si>
  <si>
    <t>explication des garanties très clair
formule compétitive
formule en rapport garantie plus intérréssante
pas de délais d'attente ni de carence 
prise en charge très rapide
explication clair
explication des garanties très clair
formule compétitive
formule en rapport garantie plus intérréssante
pas de délais d'attente ni de carence 
prise en charge très rapide
explication clair
explication des garanties très clair
formule compétitive
formule en rapport garantie plus intérréssante
pas de délais d'attente ni de carence 
prise en charge très rapide
explication clair
explication des garanties très clair
formule compétitive
formule en rapport garantie plus intérréssante
pas de délais d'attente ni de carence 
prise en charge très rapide
explication clair</t>
  </si>
  <si>
    <t>07/11/2018</t>
  </si>
  <si>
    <t>bruno-v-113340</t>
  </si>
  <si>
    <t>Je viens de me faire raccrocher au nez par un de vos conseiller qui ne prends pas en compte mes remarques. Mes trois contrats d'assurances vont partir chez un autre concurrent !</t>
  </si>
  <si>
    <t>11/05/2021</t>
  </si>
  <si>
    <t>laureha-80110</t>
  </si>
  <si>
    <t>La conseillère Caroline était tres aimable et efficace par rapport à mon problème de devis .
Très compétante ,agréable et réactive ,je suis très contente de mon échange avec elle et elle est très souriante au téléphone :)</t>
  </si>
  <si>
    <t>16/10/2019</t>
  </si>
  <si>
    <t>melanie-m-106140</t>
  </si>
  <si>
    <t>Satisfait de la mise en relation client et du délai de traitement de mon dossier. Les tarifs sont attractifs selon moi. L'application dédiée est aussi pratique</t>
  </si>
  <si>
    <t>rudy-d-134025</t>
  </si>
  <si>
    <t>Les prix sont super, les avis sur internet sont bon. Donc j'essaie cette assurance. J'espère être ravi dans le temps. Il sont très réactif. A peine fait le devis et passage au paiement qu'un conseiller vous appelle.</t>
  </si>
  <si>
    <t>22/09/2021</t>
  </si>
  <si>
    <t>benoit-c-114214</t>
  </si>
  <si>
    <t>de plus en plus cher , la fidélité (30 Ans) n'est pas récompensée , le regroupement de l'ensemble des contrats ne l'est pas non plus, plus beaucoup de raisons de rester  ...</t>
  </si>
  <si>
    <t>nathaliec-89411</t>
  </si>
  <si>
    <t>TNS, profession libérale, en arrêt maladie (sujet contact covid) le 13 mars (arrêt de 14 jours), je n'ai toujours pas été indemnisée. Pourtant, d'après mon agence que je relance régulièrement, tout est en ordre. Si non résolu à l'issue du confinement, je m'adresserai à la juridiction compétente.</t>
  </si>
  <si>
    <t>06/05/2020</t>
  </si>
  <si>
    <t>josiane-m-122222</t>
  </si>
  <si>
    <t>satisfaite du service pour mon véhicule, pour le prix en espérant pas trop d'augmentation pour l'avenir, je suis à la retraite et roule beaucoup moins</t>
  </si>
  <si>
    <t>03/07/2021</t>
  </si>
  <si>
    <t>david59600-70890</t>
  </si>
  <si>
    <t xml:space="preserve">Cambriolet il y a un mois est demie et toujour pas de rembourcement ainsi que ma porte d'entrer toujours pas remplacer innadmicible le prelevement pourtant continue de ce fa8re je pence bien retirer mes contracts maison et voitures </t>
  </si>
  <si>
    <t>02/02/2019</t>
  </si>
  <si>
    <t>myriam-v-111290</t>
  </si>
  <si>
    <t>Bonjour,
Je souhaite avoir une attestation d'assurance scolaire et extra scolaire pour l'année scolaire 2021/2022 (et non pas l'année 2020/2021).
Pouvez-vous me l'envoyer ?
Cordialement</t>
  </si>
  <si>
    <t>mmatthias--a-125899</t>
  </si>
  <si>
    <t xml:space="preserve">Simple et pratique et rapide 
le site est très ludique accompagnement de A à Z 
la tarification est bien détaillé et les options sont bien détaillées </t>
  </si>
  <si>
    <t>jacky-54234</t>
  </si>
  <si>
    <t xml:space="preserve">La notation pour DIRECT ASSURANCE : la vraie note est    0,3/5
Le seul avantage de DIRECT ASSURANCE consiste à être en règle en cas de contrôle policier ou d’un accident contre un tiers.
Mais il faut savoir que dans mon cas :
Malgré mon assurance « TOUS RISQUES » DA m’a refusé sa participation de la totalité de mes dommages ? 
Sans aucune information, je reçois la résiliation de DA au 31 01 2017 suite aux dispositions de l’article L113-12 du code des assurances.
Elle m’adresse un RELEVE D’INFORMATIONS avec la mention du sinistre mais en omettant d’ajouter sa non prise en charge de la remise en état du véhicule.
CONCLUSION :
J’ai payé une Assurance tous risques pour ne pas être remboursé dès le premier sinistre. Je conduis, soit depuis 52 ans (aucun accident responsable, donc sans avoir couté un seul centime aux assurances).
Je subis donc une quadruple peine :
1)	Je paie une assurance « tous risques » pour ne pas être remboursé dès le premier sinistre.
2)	Après sa résiliation, DA m’adresse un RELEVE D’INFORMATIONS erroné.
3)	Lorsque je veux me réassurer avec le RELEVE de DA, je suis rejeter par le nouvel assureur ou lorsque j’en trouve un qui veuille bien m’assurer, c’est avec un MALUS.
4)	J’ai effectué entièrement à ma charge les frais de mise en état de mon véhicule.
MERCI DIRECT ASSURANCE.
MORALITE : L’entente irrégulière INTER-ASSURANCES prévaut sur la réalité des faits.
Bonjour Jacky et merci pour votre retour.
Je fais le point avec le service qualité sur votre sinistre et sur le relevé d’informations. Nous revenons vers vous au plus vite.
Cordialement.
Clément
Community Manager
AUCUNE REPONSE DEPUIS LE 27 AVRIL 2017 ?????????????????????????????????????
</t>
  </si>
  <si>
    <t>31/05/2017</t>
  </si>
  <si>
    <t>chopart-a-126410</t>
  </si>
  <si>
    <t xml:space="preserve">Je suis satisfaite des conseillers que j'ai eu en ligne, très agréable et de bons conseils, efficace et rapide; je vais payer 2fois moins chère que chez mon actuel assureur. Je recommande l'olivier assurance ! </t>
  </si>
  <si>
    <t>nevro-72434</t>
  </si>
  <si>
    <t>Entreprise médiévale dont la qualité de la relation client n'a d'égal que son mépris outrancier pour ce dernier. A réussi l'alliage d'un fonctionnement soviétique et d'ambitions capitalistes. N'a d'autre intérêt qu'une ponction honteuse et sans contrepartie. A FUIR. Rassurez-vous, leur rapidité  de réaction ne leur permettra jamais de vous rattraper...</t>
  </si>
  <si>
    <t>25/03/2019</t>
  </si>
  <si>
    <t>courau-l-132026</t>
  </si>
  <si>
    <t xml:space="preserve">Information claire mais bugs du site internet (je n'arrivais pas à caractériser le véhicule, puis s'affichait un message de maintenance) puis informations contradictoires au téléphone quant au prix (en ma défaveur). </t>
  </si>
  <si>
    <t>casali-i-137354</t>
  </si>
  <si>
    <t>Parfait. J'ai eu au téléphone une dame très patiente et très pédagogue.
J'ai comparé avec plusieurs assureurs et c'était un des moins chers. Je suis aussi tombée par hasard sur un site d'avis clients et l'Olivier était très très bien noté!
Je trouve juste dommage que l'argent du parrainage mette autant de temps à arriver.</t>
  </si>
  <si>
    <t>13/10/2021</t>
  </si>
  <si>
    <t>francis-l-108153</t>
  </si>
  <si>
    <t xml:space="preserve">je suis satisfait du service ,mais les tarifs  augmente tous les ans .je n'ai jamais  eut de sinistre depuis mon adhésion donc pas de référence ..si les tarifs de l'année prochaine reste stable je resterais chez direct assurance  </t>
  </si>
  <si>
    <t>26/03/2021</t>
  </si>
  <si>
    <t>francois--t-125939</t>
  </si>
  <si>
    <t>Assurance rapide intuitif et pas trop chère sur internet 
Allez sur le site pour faire vos devis véhicule 
Par contre le site beug un peu mais cela est vite résolu si vous faites refresh la page d accueil</t>
  </si>
  <si>
    <t>sylvain-m-116041</t>
  </si>
  <si>
    <t>Prix très intéressant rapidité de la mise en place des contrats et conseillère très aimable avec de bons conseils.. Je recommande vivement Merci à vous.</t>
  </si>
  <si>
    <t>05/06/2021</t>
  </si>
  <si>
    <t>pieer-72373</t>
  </si>
  <si>
    <t xml:space="preserve">Un service client déplorable, des documents qui "s'égarent" comme par magie, résilier une assurance ou une mutuelle chez eux est simplement impossible.
Ils sont parfait simplement quand vous n'avez pas besoin d'eux ... </t>
  </si>
  <si>
    <t>21/03/2019</t>
  </si>
  <si>
    <t>jeanjean1004-100086</t>
  </si>
  <si>
    <t>Nous sommes sociétaires depuis plus de 25 ans (auto pour ma femme et pour les enfants quand ils étaient à notre charge, habitation). Notre fils a pris un appartement pour se rapprocher de son travail, qu'il a occupé pendant 1 an. C'est ma femme qui payait l'assurance habitation. Puis notre fils a été muté et il a quitté son appartement. 1 an plus tard, ma femme s'est rendue compte qu'elle était toujours prélevée par Matmut, notre fils ayant oublié de résilier. Malgré la somme modeste en cause (autour de 150 €), malgré 2 interventions en agence et une demande via le site internet Matmut, pas de geste commercial pour cette année d'assurance habitation sans cause réelle. 25 ans de fidélité n'ont aucune valeur pour Matmut. Résultats : nous déplaçons tous nos contrats auto &amp; habitation. bye bye Matmut.</t>
  </si>
  <si>
    <t>13/11/2020</t>
  </si>
  <si>
    <t>funnybee-68473</t>
  </si>
  <si>
    <t>LAMENTABLE !!!! Fuite signalée en février, prestataire mandaté de mauvaise foi, affirme avoir réparé la fuite alors qu'il n'en est rien. 9 mois plus tard, ça fuit toujours et l'assurance veut renvoyer un expert pour constater ce que 3 plombiers ont déjà vu ! En attendant, je ne peux pas me servir de ma douche. Assurance à fuir !!!!</t>
  </si>
  <si>
    <t>09/11/2018</t>
  </si>
  <si>
    <t>magniez-m-125160</t>
  </si>
  <si>
    <t>Devis effectué en ligne, rappelé le lendemain par la plate-forme. De très bon conseil, très professionnel, très bon relationnel. Je recommanderais cette compagnie à mes proches</t>
  </si>
  <si>
    <t>harmann-d-138773</t>
  </si>
  <si>
    <t xml:space="preserve">satisfait des services téléphoniques a l' écoute de nos demandes
assurance pas chers par rapport a d autres
réduction si déjà titulaire d une assurance a l olivier
</t>
  </si>
  <si>
    <t>02/11/2021</t>
  </si>
  <si>
    <t>chrischrischris-88468</t>
  </si>
  <si>
    <t xml:space="preserve">J'ai assuré ma moto à la macif par téléphone téléphone  on m´explique que la garantie de un conducteur est un contrat en plus mais les deuxième réunis sont intéressant en prix.
En vérité il s´agit du GAV avec 10 % d'invalidité.
Je me sens trahis par cette assureur et je le considère en défaut de conseils. A toutes les personnes en litiges avec la macif je vous invite à faire jouer cela en votre faveur </t>
  </si>
  <si>
    <t>21/03/2020</t>
  </si>
  <si>
    <t>vakoume-o-138310</t>
  </si>
  <si>
    <t>jE SUIS SATISFAITE 
TRES BIEN 
PRATIQUE
MERCI
CONTINUEZ COMME CA 
PAS CHER COMPARE AUX CONCURRENTS
REACTIF PAR TELEPHONE
ET SYMPA 
UN VRAI PLAISIR
EN PLUS LES GENS SONT AIMABLES</t>
  </si>
  <si>
    <t>26/10/2021</t>
  </si>
  <si>
    <t>anthony-106532</t>
  </si>
  <si>
    <t>Bonjour,
Je vous déconseille fortement de souscrire des contrats chez AXA agence Lecourt à Bretteville du Grand Caux.
Aucun suivant de dossier en cas de sinistre.
Impossible d'avoir des réponses ecrites.
Bref, jsute bon à recevoir les cotisations d'assurance
A fuire absolument</t>
  </si>
  <si>
    <t>14/03/2021</t>
  </si>
  <si>
    <t>lilou--104375</t>
  </si>
  <si>
    <t xml:space="preserve">Les conseillers sont tjrs à l écoute, aimable et leurs renseignements tjrs précis..si problèmes  il y a , ces derniers sont en général résolus .
adhérente à la MGP depuis plus de 3 décennies, je reste fidèle..
Je ne peux me prononcer sur le prix de la concurrence ...
</t>
  </si>
  <si>
    <t>17/02/2021</t>
  </si>
  <si>
    <t>robwest-92504</t>
  </si>
  <si>
    <t xml:space="preserve">Bjr, Quand j'ai souscrit mon assurance voiture chez Direct Assurance fin Août 1999 leur tarif était imbattable , pratiquement 2 fois moins que là oû j'étais avant, aucun incident jusqu'à ce que je change de véhicule et demande un devis pour les mêmes garanties, mon nouveau véhicule étant le même modèle que le précédant sauf qu'au lieu de 12cv il n'en compte plus que 7 et d'une gamme inférieure.  Donc de 315€/an , après plusieurs simulations et réclamations téléphoniques , pour les mêmes garanties et même bonus DirectAssurance me propose le tarif de 538€/an ! Et ce sans aucune justification !  Et pour résilier c'est le parcourt du combattant ! J'ai donc l'impression qu'"ils" appatent les nouveaux clients avec des tarifs mirobolants et se rattrapent par la suite en profitant de la naîveté de leur clentèle.  Moralité : ne changez pas de véhicule chez DirectAssurance !!! </t>
  </si>
  <si>
    <t>27/06/2020</t>
  </si>
  <si>
    <t>seb-55453</t>
  </si>
  <si>
    <t xml:space="preserve">Je viens de lire les commentaires; je suis assuré depuis 8 ans à la matmut! Globalement c'est une bonne mutuelle! Pour ma part elle tiens ses engagements et vous défend bien en cas de sinistre!
Par contre, actuellement je suis en pleine réflexion aux niveaux de leurs tarifs car ils ne sont plus du tout aussi attractifs qu' auparavant. J'ai des devis à l'appui avec les mêmes garanties et il y a des différences de 150 euros à 200 euros à l'année pour un véhicule de 1999 assuré au tiers.
J'envisage donc de changer d'assurances!
Je précise également que je suis allé voir une agence matmut pour parler de ces devis, elle m'a conseillé de faire un courrier au siège pour demander de faire un effort sur le prix dans le cas contraire elle m'a guidée sur d'autres assurances par rapport aux devis que je lui est montré!
</t>
  </si>
  <si>
    <t>18/06/2017</t>
  </si>
  <si>
    <t>sibou-131080</t>
  </si>
  <si>
    <t>je n'ai pas d'avis cette enquête me fait perdre du temps surtout en se connectant uniquement pour imprimer une attestation et j'espère que l'enquête ne sera pas renouvelée pour l'impression de l'attestation de mon deuxième enfant</t>
  </si>
  <si>
    <t>mumu6511-110867</t>
  </si>
  <si>
    <t>Pour un dégat des eaux, d'une valeur de 1800 euros, 4 mois à se renvoyer la balle!! ce n'est jamais de leur faute!! ne comptez pas sur eux si vous avez un problème!!</t>
  </si>
  <si>
    <t>thibauds-91979</t>
  </si>
  <si>
    <t>Si je suis accepté,  je serai effectivement très ravi, j'attend donc le devis.
Je ne peux cependant pas me prononcer sur le service en soit vu que je ne suis pas encore assuré et confronté à un incident. En tout cas le site est très bien pensé et dans l'air du temps.</t>
  </si>
  <si>
    <t>23/06/2020</t>
  </si>
  <si>
    <t>arthur-k-127310</t>
  </si>
  <si>
    <t xml:space="preserve">Super franchement je recommande direct assurance pour la fluidité et la réactivité 
De leur service j’ai été conseillé par une amie et je regrette pas mon choix </t>
  </si>
  <si>
    <t>pascal-a-104920</t>
  </si>
  <si>
    <t>simple et pratique bon prix très bonne réactivités  de très bon conseillées réception des documents toujours dans les temps aucune prise de tète j'en parle régulièrement autour de moi  aucun soucis et aucune prise de tète</t>
  </si>
  <si>
    <t>marijo276-56766</t>
  </si>
  <si>
    <t>une vraie assurance! Ils sont très réactif et prenne le temps de tout expliqué en cherchant la meilleure solution pour notre protection.Deplus la protection juridique nous a été d'une aide précieuse et toujours très aimable...je recommande vivement la Macif autour de moi. Ma banque nous a proposé une assurance auto et je n'ai même pas voulu savoir qu'elle était la proposition, chacun son métier...</t>
  </si>
  <si>
    <t>20/08/2017</t>
  </si>
  <si>
    <t>bruno-v-109928</t>
  </si>
  <si>
    <t>Très satisfait de mon inscription, site très fonctionnel et très clair! Prix très intéressants. Les garanties sont très bien expliquées. Je suis vraiment satisfait.</t>
  </si>
  <si>
    <t>kelemassa-115442</t>
  </si>
  <si>
    <t xml:space="preserve">Ayant eu mon permis et cherchant à la dernière minute une assurance afin de récuperer ma voiture avant les grèves de 2019. On m’a conseillé de souscrire chez Axa, je ne me suis pas renseigné davantage et y ai souscrit par telephone. Mise à part la rapidité, que des points négatifs, notamment le prix : Je payais 282€ les 3 premiers mois, en suite je suis passé à 99,87€ Le reste de l’année, lorsque j’ai demandé à diminuer mon contrat pour payer moins l’assureur m’a dit que ce n’était pas possible, lorsque j’ai eu un petit probleme avec ma clé automatique l’assureur m’a dit que cela n’est pas pris en charge, lorsque j’ai eu une panne de voiture l’assureur m’a encore dit que ce n’était pas pris en charge mais qu’uniquement le remorquage l’était. (Bref à ce prix là je me disait assurée tout risque mais je demande qu’est-ce qu’ils prennent en charge....) 
Aussi, je devais pas dépasser apparamment 5000km par an donc si je depasse je paie 300 et quelques euros en plus LOL. Bref j’ai entamé les démarches pour changer d’assurance, heureusement que la Loi Hamon permet de resilier avant la fin de contrat par transfert de dossier. Pour une etudiante qui ne gagne pas beaucoup, cette assurance fait un gros budget (pour que dalle d’ailleurs) !! </t>
  </si>
  <si>
    <t>31/05/2021</t>
  </si>
  <si>
    <t>samix38-58487</t>
  </si>
  <si>
    <t>une honte.....3 ans de contrat garantie à 100% sur nous deux (ma femme et moi)...Femme Malade longue maladie, perte de salaire conséquent, (-40%) on nous rembourse 5% du crédit......sans aucunes justifications.....impossible de les obtenir par téléphone, temps de réponse écrit de l'orde de 2 mois. Ils font trainer en longueur pour nous décourager....C'est de l'escrocerie pure et dure, je comprends pourquoi "CNP Assurances acquiert la Tour de bureaux T11 située dans le quartier des affaires de Francfort"; quant au slogan "Pour une protection de tous, CNP Assurances s’attache à protéger le plus grand nombre en offrant à chacun – quel qu’il soit –  des garanties au plus proche de son quotidien, de ses besoins mais aussi de ses capacités. C’est cela, assurer tous les avenirs." n'hesitons pas à dire que c'est une utopie. Je pense que je vais les emener devant le TGI.</t>
  </si>
  <si>
    <t>30/10/2017</t>
  </si>
  <si>
    <t>gounzo-104101</t>
  </si>
  <si>
    <t>FUYEZ LOIN LOIN LOIN
Je n’ai pas pour habitude de laisser des commentaires mais cette assurance est lunaire! 1h d’attente minimum lorsque vous souhaitez les joindre, des informations contradictoires, des mensonges, un prix 50% plus élevé que la concurrence, amateurisme total.
Bref vous l’aurez compris: FUYEZ</t>
  </si>
  <si>
    <t>13/02/2021</t>
  </si>
  <si>
    <t>illa-m-107916</t>
  </si>
  <si>
    <t xml:space="preserve">je suis totalement satisfait du service juste un peut chère pour un véhicule non sportif et diesel d’âpre un autre devis je payé mon chère pour un véhicule essence de 180 chevaux din je ne comprend pas trop </t>
  </si>
  <si>
    <t>colibri-103518</t>
  </si>
  <si>
    <t>Suite sinistre et envoi des documents L'olivier Assurance a fait preuve de rapidité et efficacité de décision (envoi des documents sur site à 19h et réponse le lendemain par mail à 11h)</t>
  </si>
  <si>
    <t>florence-m-111005</t>
  </si>
  <si>
    <t>simple et rapide au niveau tarif les concurents commencent a s aligner malheureusement. sinon  souscription simple et rapide.a voir avec le temps et l usage</t>
  </si>
  <si>
    <t>20/04/2021</t>
  </si>
  <si>
    <t>ingrid-d-128714</t>
  </si>
  <si>
    <t xml:space="preserve">Je suis satisfaite du prix proposé  …avec les services proposés …les garanties qui me sont proposées me suffisent…je suis nouvelle cliente chez direct assurance </t>
  </si>
  <si>
    <t>gil-d-110019</t>
  </si>
  <si>
    <t xml:space="preserve">Simple et pratique en ce qui concerne la communication. simplification du mode de règlement . Réactivité des échanges , rapidité des envois postaux . </t>
  </si>
  <si>
    <t>lppfr-2720</t>
  </si>
  <si>
    <t>comme souvent, petit litige  (je pas le droit d'utiliser A......E) entre amis. Je test le Furet.com, qui me trouve Direct assurance, super prix 409 euro, qui passe à 423 euro le jour de la souscription. Lors du renouvellement du contrat, toujours bonus à 50%, toutes mes garanties baissent, sauf la responsabilité accident de ma region. je passe de 100 euro à 200 euro. D'après le conseillé, c'est la faute à la zone géographique ou j'habite (un patelin de 300 habitants). Pourtant sur le site de devis en ligne, malgré les frais de dossier, mon véhicule est toujours affiché à 391 euro chez direct assurance, alors que ma facture s'élève 482 euro un an plus tard + un petit rappel de 20 euro qui est sortie de je ne sais d'où.</t>
  </si>
  <si>
    <t>09/03/2020</t>
  </si>
  <si>
    <t>loir-f-138671</t>
  </si>
  <si>
    <t>Je suis satisfaite du service ... les prix me conviennent, c'est pour cela que j'ai souscrit à une assurance auto et maison ...
Je recommande vivement.</t>
  </si>
  <si>
    <t>stba-68188</t>
  </si>
  <si>
    <t>Clients depuis 45 ans 2 sinistres en 2017 pour un total de 2200 euros (dégâts climatiques et vitre insert cassée)</t>
  </si>
  <si>
    <t>30/10/2018</t>
  </si>
  <si>
    <t>casi59-80150</t>
  </si>
  <si>
    <t>qualité tres satisfait je suis passeé par santiane depuis 2013  tres bonne echange et tres claire</t>
  </si>
  <si>
    <t>jacandi-59490</t>
  </si>
  <si>
    <t xml:space="preserve">Cette assurance n'est valable que la première année. A la souscription on vous fait un super tarif pour vous attirer et l'année suivante c'est le coup de massue ! pour moi 40 % d'augmentation sans sinistre déclaré et garanties identiques. Avec le même courrier "bonne nouvelle"... Ils prennent les clients pour des demeurés c'est clair.
</t>
  </si>
  <si>
    <t>08/12/2017</t>
  </si>
  <si>
    <t>deve-55764</t>
  </si>
  <si>
    <t xml:space="preserve">J'ai reçu récemment un courrier de la CARDIF m'informant que j'étais bénéficiaire d'un contrat d'assurance-vie souscrit par une personne qui n'était pas de ma famille mais qui me tenait lieu de grand-mère. Ce fut une surprise car je n'avais jamais été informé que cette personne souhaitait me laisser "quelque chose" après sa mort. Mais quelques jours après mon envoi aux impôts de la déclaration partielle de succession, je reçois un second courrier intitulé "lettre d'excuses" où j'apprends qu"une erreur s'est glissée dans l'interprétation de la clause bénéficiaire" et que je ne suis en fait "pas bénéficiaire". Depuis CARDIF me mène en bateau (téléphone, courrier) et se retranche derrière l'exigence de confidentialité à laquelle ils sont tenus pour me refuser toute preuve écrite de ce qu'ils avancent.
Les conseillers que j'ai pu avoir au téléphone donnent des informations différentes, parfois contradictoires, voire des preuves des dysfonctionnements de leur entreprise. Quant aux courriers, deux numéros de contrat différents y figurent pour le même titulaire, ce qui démontre encore une fois le manque de sérieux dans le traitement des dossiers et la rédaction des courriers.
Vous comprendrez que je trouve proprement scandaleux qu'un assureur vie dont la principale utilité est de conseiller leurs clients sur la rédaction de la clause bénéficiaire puisse faire une erreur aussi grossière : ce qu'on voit partout (articles spécialisés, forums de juristes, forums de particuliers, etc.), dès qu'on se renseigne un tant soit peu sur l'assurance vie, c'est que la clause bénéficiaire est ce qui est le plus important dans un contrat. Et là, je tombe sur Cardif BNP Paribas, de jeunes assureurs sans expérience (!), qui laissent se glisser des erreurs dans l'interprétation d'une clause bénéficiaire. Le pire, c'est que maintenant le service des impôts n'y comprend rien non plus : il y a plus de bénéficiaires qui se sont déclarés que de quote-part sur ce contrat. En tout cas, s'ils ont pu faire une erreur une fois et des inexactitudes sur les numéros de contrat, je ne vois pas pourquoi il n'y aurait pas encore des erreurs cachées dans ce magma : je ne lâcherai pas cette affaire sans avoir eu des preuves écrites.
Si un ou d'autres lecteurs de ce forum pouvai(en)t  me conseiller sur la suite à donner à cette affaire, j'en serais reconnaissant (saisine du médiateur de l'assurance, poursuite en justice pour obliger la Cardif à clarifier ses dires, article dans le Canard Enchaîné et dans la presse spécialisée, information de l'autorité de régulation des assurances, ou tout à la fois ?). Merci d'avance pour vos éclairages !
</t>
  </si>
  <si>
    <t>02/07/2017</t>
  </si>
  <si>
    <t>chuck-66141</t>
  </si>
  <si>
    <t>Bonjour,
Je vais bientôt vous narrer sur ce site les désagréments (pour parler poliment) causés par la Maif.
Je veux bien que d'autres sociétaires (ou anciens sociétaires) en fassent de même (ici ou sur cette adresse courriel cs.p@laposte.net).
Il s'agit d'un vol, et depuis 3 ans ils se défaussent.
Plus il y aura de témoignages concordants (sur leurs méthodes) plus leur mauvaise foi sera un élément factuel (de leur comportement).
N'oublions pas qu'ils osent : "On a tout à gagner à se faire confiance. Maif : assureur militant."
Merci.</t>
  </si>
  <si>
    <t>05/09/2018</t>
  </si>
  <si>
    <t>flori-64210</t>
  </si>
  <si>
    <t>j'ai souscrit à l'olivier depuis le 4/05/2018 pour un certain montant et deux semaines plus tard mauvaise surprise, on m'appâte avec un prix raisonnable je prend même l'offre pack spécial. après avoir payé un acompte de 104 euros ils me demandent les documents que j'envoie et là !!!! le prix change la cotisation passe de 28 à 35 euros par mois uniquement parce que je n'ai pas déclaré un sinistre non responsable du conducteur secondaire ??? ils ne spécifient si ça doit-être responsable ou non ? c'est pas correcte messieurs !!!!</t>
  </si>
  <si>
    <t>sv-muay-thai91-80895</t>
  </si>
  <si>
    <t>Je n'ai jamais eu autant de difficultés avec une assurance. 164 euros payé par CB le 12/10/2019. Modification du devis de leur part pour augmentation de 12 , 80 euros. J'essaie de payer ces 12,80 sur le site mais impossible. Nombreux mails et aucune réponse! Service clientèle incompétent car ne sais pas et déclare qu'il n'y a pas de responsables pouvant répondre et qu'il faut rappeler le même service client (dialogue de sourd). Toujours pas de carte verte sur le pare brise! On joue à quoi chez vous!? Ne pas répondre aux interrogations client est un manque de respect donc non professionnel. Mon attestation provisoire s'arrête demain 12/11/2019. Je fais quoi si les forces de l'ordre me contrôle !? Faites attention nous ne sommes pas des vaches à lait ou des victimes. Donc soit vous m'envoyez cette foutue carte verte ou vous me remboursez ! Pour l'instant je rejoins les autres commentaires. Assurances à fuir absolument. Car on s'imagine déjà dans le cas d'un sinistre par exemple qui pourrait survenir (Comment sera traité le problème ??? Si déjà ça commence mal à la souscription!!)  
Mon numéro de dossier est 418496! 
P.S : les personnes du services clientèle demande également votre numéro de carte bleue par téléphone avec le code à 3 chiffres derrière la CB. Vu le sérieux de la prise en charge pour ma part j'ai refusé et je préfère ne pas communiquer mes informations complètes CB, mon banquier est d'accord avec moi.</t>
  </si>
  <si>
    <t>11/11/2019</t>
  </si>
  <si>
    <t>gerardine-d-123717</t>
  </si>
  <si>
    <t>Je suis satisfaite de leur service
prix intéressant  et pas mal d'options
facile à contacter
rien à signaler
tout est ok, je recommande cette assurance</t>
  </si>
  <si>
    <t>18/07/2021</t>
  </si>
  <si>
    <t>bubulle-88571</t>
  </si>
  <si>
    <t xml:space="preserve">j'ai subit ,un sinistre liée a ma toiture , et la chaudière propriété responsable des dégât plusieurs expert sont passer société saretec incompetent ma cuisine toujours pas remise en état je suis assuer chez axa depuis 1990 premiers gros sinistre deupuis trois ans je vie sans cuisine avec des plastique au soles depuis 2018 sa ma valus une chute dans les escaliers je me suis retrouver au urgence en autre
je suis gravement malade des reins je suis soumise a un régime strict ,je doit cuisiner moi même car pas le droit de consommer du sel ,je souffre de cette situations don je voie pas la faim de tous cela ,je suis en colère contre la société expert qui chiffre pour eu pour faire du chiffre pour le étude comment peut'on laisser les assurée dans cette situation 
je souhaite que la cellule qualités peine contacte avec moi   
s v p 
Mme Sk.     </t>
  </si>
  <si>
    <t>30/03/2020</t>
  </si>
  <si>
    <t>jean-claude-b-122644</t>
  </si>
  <si>
    <t>Aucun problème . Excellent service. 
Excellente prise en charge en cas de sinistre.
Rapidité de traitement.
Service en ligne très efficace.
Rapport qualité /prix inégalable.</t>
  </si>
  <si>
    <t>07/07/2021</t>
  </si>
  <si>
    <t>sauveur-60757</t>
  </si>
  <si>
    <t xml:space="preserve">
Bonjour,
En parcourant des avis sur un forum, j'ai pu relever cette adresse mail et j'ai saisi l'occasion de vous contacter.
Je traverse une situation pour laquelle j'ai vraiment besoin d'être éclairé afin de comprendre ce que je qualifie de discrimination.
J'ai souhaité ajouter comme conducteur occasionnel au contrat de mon véhicule mon fils qui vient de réussir son permis.
J'ai donc appelé Macif au téléphone pour me renseigner.
Tout se passait bien jusqu'à la question de celui qui allait effectuer le plus de kilomètres.
J'indiquais que mon fils l'utiliserait le vendredi, samedi et dimanche pour se rendre à son lieu de travail et que la semaine nous l'utiliseront.
Je n'ai pas compris pourquoi subitement la personne refuse de valider ma demande.
Une nouvelle tentative par téléphone hier matin avec une hôtesse me permet d'avancer et les tarifs me sont communiqués.
Malheureusement, un bug informatique empêche la saisie et Maude promet de me rappeler avant sa pause de 13h, ou après au cas où le problème prendrait plus de temps à être rétabli.
Les heures passent, je décide de me rendre à l'agence de Pontcharra.
Madame Nathalie (je n'ai pas son nom) nous rejoint à la salle d'attente et au lieu de "bonjour monsieur Cane" elle regarde sa montre et nous indique que son prochain rdv tarde à venir.
J'explique brièvement la raison de ma venue à cause du problème informatique.
Elle m'indique ne rien pouvoir faire pour nous à cause de problèmes similaires.
Je suis surpris par le fait que des clients viennent de sortir de son bureau et qu'ils y sont demeurés un long moment pendant lequel des saisies informatiques étaient réalisées et des documents imprimés, que d'autres clients sont installés dans le bureau voisin depuis un moment et qu'il est clair que des saisies sont réalisées.
Mes remarques semblent agacer cette dame qui insiste sur le fait de ne rien pouvoir faire pour nous.
Je sors du bureau et décide d'appeler la Macif.
L'hôtesse ne comprends pas les raisons évoquées et décide de téléphoner au bureau puis m'indique qu'elle ne peut rien faire de plus et m'invite à y retourner. (L'heure tourne)
Je patiente donc à nouveau, ce qui semble déranger cette dame qui laisse un instant ses clients arrivés en retard pour venir me demander pourquoi je suis encore là.
J'explique, comme on me l'a fait remarquer qu'il est néanmoins possible de prendre note de mon passage physique au bureau, de prendre note de ma demande qui pourra prendre effet et confirmé dès le rétablissement de la situation.
"Ça va, je vais vous recevoir !"
Quel accueil, à peine ma demande exposée que je me rends compte qu'il me sera difficile d'obtenir l'accord attendu pour ajouter mon fils comme conducteur secondaire (occasionnel), apparemment la même chose.
Pire, dans l'insistance de mon incompréhension, elle constate l'absence du total des points validés lors de l'examen de conduite.
Nous lui précisons que le permis provisoire nous a été délivré avec 15 jours de retard à cause d'un problème informatique du service, nous proposons de téléphoner au patron de l'auto école, ce qu'elle s'empresse de faire, mais malheureusement sur répondeur.
Devant tant de mépris, je demande les raisons d'une telle attitude pour le moins soupçonneuse, si c'est personnel.
Là les invectives fusent, il parait que je suis quelqu'un qui cherche à imposer mes règles à la Macif.
S'il en est une, ce serait celle de m'attendre à la décence d'un traitement correspondant à la charte affichée dans les locaux.
1h30 plus tard, mon planning chamboulé, je décide de descendre au bureau de Meylan ou j'arrive vers 16h15.
Je repartirai après la fermeture de la porte d'entrée.
Pendant mes échanges, toujours le même refus, mais pour des avis différents.
Mon fils travail, il n'est plus à ma charge et dans les clauses du contrat il y a les explications.
Quand je demande des informations pour m'aider à comprendre :
"Si on doit se plonger dans les papiers on n'en finit pas !"
Étant à bout je suis sur le point de céder à ce que mon fils soit désigné comme conducteur principal, mais quand j'indique qu'il prendra en charge le paiement de la cotisation depuis son RIB, il m'est indiqué que ce n'est pas utile puisque il sera sur mon contrat.
Je ne suis pas d'accord puisque s'il doit être assuré conducteur principal, au prix fort, c'est aussi lui qui devra s'acquitter de la cotisation.
Le problème qui m'est opposé est que le délai pour ce changement est d'une semaine !
Je décide de réfléchir et prend rdv pour le lendemain.
Donc aujourd'hui, entre midi et deux j'apprends d'une hôtesse de la Macif, au téléphone, que ce n'est pas vrai, que ce changement prend effet immédiatement.
Vous comprendrez, j'espère, mon désappointement et ma confiance ébranlée.
Je connais bien des personnes, des amis, avec qui je me suis entretenu et qui profitent de cette possibilité d'intégrer leurs enfants comme conducteur secondaire (occasionnel).
Dure journée du 22 ou j'ai effectué plus de 240 km au total.
Aujourd'hui nous nous sommes rendus au bureau de Fontaine, encore plus de 100 km pour exposer brièvement la situation et prendre rdv pour ce vendredi.
J'ajouterai que ce seul véhicule (Peugeot 106 xnd 1.4, 4cv fiscaux, 50cv dyn) est le seul véhicule en état d'utilisation pour notre famille.
Les garanties des 2 campings car ont été baissés au minimum du fait de leur restauration en cours, n'étant pas en état de rouler.
Je comprends qu'il y a beaucoup à lire, mais il y a eu beaucoup à supporter, ça je peux vous l'assurer.
Mon fils étant témoin de cette situation n'a guère envie de souscrire dans ces conditions, ce qui se comprend aisément.
Je ne connais pas vos responsabilités, mais j'espère très sincèrement pouvoir sortir de cette impasse qui me plonge dans l'idée de résilier tout ce qui me lie à la Macif, contrats et banque, ce que je cherche à éviter.
Je m'apprête à rédiger un courrier recommandé pour que me soit communiqué les raisons de cette opposition acharnée.
Suis je fiché comme fraudeur à l'assurance, mauvais payeur...?
Je vous remercie pour votre aimable attention et vous adresse mes sincères salutations.
Cordialement,
Jean-Pierre Cane
</t>
  </si>
  <si>
    <t>24/01/2018</t>
  </si>
  <si>
    <t>cedric-d-114166</t>
  </si>
  <si>
    <t>Satisfait de l'ensemble de la prestation. Tarif intéressant, couverture compétitive, relation client client efficace. Des années de contrat chez direct assurance</t>
  </si>
  <si>
    <t>francki--125740</t>
  </si>
  <si>
    <t xml:space="preserve">Une assurance qui se dit assurance pour les motards ils m’ont résilier mon contrat , sous prétexte  qu’il ne commercialisaient plus ce type de moto . Comme si le fautif était la moto . Carton rouge pour cette assurance </t>
  </si>
  <si>
    <t>31/07/2021</t>
  </si>
  <si>
    <t>revertegat-a-137840</t>
  </si>
  <si>
    <t>simple pratique et raisonnable dans les tarifs pratiqués .
Les garanties offertes très correctes.
La mise en contact très rapides donc tout bon à part le discours imposé.</t>
  </si>
  <si>
    <t>20/10/2021</t>
  </si>
  <si>
    <t>marc-75918</t>
  </si>
  <si>
    <t>Tout est parfait tant que rien ne vous arrive ! Client fidèle depuis près de 15 ans avec un seul sinistre, je n'ai aucune aide de mon assureur, pire, il vous enfonce ! Scandaleux, fuyez !</t>
  </si>
  <si>
    <t>14/05/2019</t>
  </si>
  <si>
    <t>joker-49989</t>
  </si>
  <si>
    <t>Bonjour, je ne suis pas moi même assuré à la MAIF (et après mon expérience ça ne risque pas d'arriver), mais le peu de contacts que j'ai eu avec eux me suffit pour m'en faire une opinion très négative.
C'est tout simple, ma mère, assurée à la MAIF depuis des dizaines d'années (institutrice toute sa vie), est décédée il y a maintenant 6 mois, au mois de juin pour être précis.
Evidemment nous signalons alors son décès à la MAIF, avec envoi du certificat de décès, et en demandant à ce que ses différents contrats soient maintenus le temps du règlement de la succession et que les sommes à éventuellement règler nous soient adressées à nous ses enfants.
. Dans un premier temps, aucune réponse, absolument aucune. Un mois se passe, toujours aucune nouvelle jusqu'au jour où nous trouvons un courrier dans sa boîte aux lettres , adressé à son nom (alors qu'ils ont l'acte de décès depuis un mois) et lui signalant que le prélèvement a été rejeté par sa banque (normal le compte est bloqué, c'est pourquoi nous avions demandé à régler nous mêmes les sommes dues)....
Bon , envoi d'un deuxième courrier, accompagné d'un deuxième certificat de décès (le tout en recommandé bien sûr)...
De nouveau, absolument aucune réponse à notre courrier, rien.... sauf une nouvelle lettre, de nouveau adressée à son nom, à son adresse (alors qu'ils ont reçu un deuxième certificat de décès et que nous avions redemandé à ce que les courriers nous soient adressés !) signalant de nouveau le rejet de prélèvement de la banque, et cette fois ci un ton un peu plus menaçant, menaces de mise en demeure, etc...
Je me fends d'un troisième courrier, cette fois ci beaucoup plus virulent car ras le bol de ce manque de respect vis à vis de ma mère décédée. et là comme par miracle une réponse 4 MOIS après qu'ils aient reçu le premier certificat de décès, comme quoi nos demandes allaient être prises en compte.
Il aura fallu l'envoi de TROIS certificats de décès et QUATRE MOIS avant qu'ils ne réagissent, et bien sûr aucune excuse de leur part.
Les gens chargés d'ouvrir les courriers chez eux savent ils lire le français ??? Jettent ils les courriers à la corbeille quand ils n'ont pas envie de bosser ?
 Bref du grand n'importe quoi, nous avons été dégoûtés par ce manque de considération et de respect envers une personne décédée.</t>
  </si>
  <si>
    <t>06/12/2016</t>
  </si>
  <si>
    <t>haaajar-91834</t>
  </si>
  <si>
    <t xml:space="preserve">Je suis satisfaite du service proposer par direct assurance. Devis en ligne relativement rapide. Tarif attractif selon le besoin du client je recommande. </t>
  </si>
  <si>
    <t>dede57-70755</t>
  </si>
  <si>
    <t xml:space="preserve">Assuré chez eux le 15 janvier et après avoir paye 122 e pour 4 mois d avance et fournit tout les documents qui ont été validé et après avoir appelé au numéro surtaxé et envoyé plusieurs mail je n ai toujours pas reçu la carte verte </t>
  </si>
  <si>
    <t>francois-c-107253</t>
  </si>
  <si>
    <t>Je suis satisfait de la façon dont le contrat m'a été proposé par écrit puis expliqué par oral.
Le niveau de prix est concurrentiel.
Je n'ai pas encore d'avis, évidemment, sur la façon dont les sinistres sont traités et j'espère ne jamais en avoir.</t>
  </si>
  <si>
    <t>20/03/2021</t>
  </si>
  <si>
    <t>pastore-j-108631</t>
  </si>
  <si>
    <t xml:space="preserve">L'offre multicontrat est sympa mais il pourrait être envisagé une autre gestion de cette offre (permettre à l'autre conducteur de souscrire son propre contrat et émettre le mandat SEPA à son nom). </t>
  </si>
  <si>
    <t>31/03/2021</t>
  </si>
  <si>
    <t>djamal-t-129039</t>
  </si>
  <si>
    <t xml:space="preserve">je suis satisfais de m'assure ma voiture c5 avec option  garante conducteur brise de glace tout est compris avec un prix raisonnable vu de concurrence  qualité prix  
merci Directe  Assurance          cordialement  </t>
  </si>
  <si>
    <t>22/08/2021</t>
  </si>
  <si>
    <t>franko-96066</t>
  </si>
  <si>
    <t xml:space="preserve">Je trouve tout de même le tarif tous risques assez cher même après 10 ans d'ancienneté sans sinistres. Les conseillers par contre sont plaisants, sauf bien sûr lorsqu'en agence, celle de Verdun (55) en l'occurrence, la conseillère fait passer un client '' ami'' devant les autres clients ! Ce n'est pas très redpecteux.. </t>
  </si>
  <si>
    <t>palou-65899</t>
  </si>
  <si>
    <t>trés deçu de cette assurance,une bande d'usurpateurs.les tarifs annoncés lors du devis sont revu a la hausse lors du contrat.personnes au téléphone arrogante et qui vous prend de haut.bref je ne conseille a personne</t>
  </si>
  <si>
    <t>31/07/2018</t>
  </si>
  <si>
    <t>sonia-g-126412</t>
  </si>
  <si>
    <t>Cela me convient concernant les tarifs proposés et la rapidité de souscription en ligne . 
Tout est bien expliqué et clair . Je recommande cette assurance auprès de mon entourage .</t>
  </si>
  <si>
    <t>espade-d-132244</t>
  </si>
  <si>
    <t>je suis satisfait de mes interlocuteurs , très sympatriques et a l’écoute du client
je recommande olivier assurance tout parfait
merci beaucoup 
m espade</t>
  </si>
  <si>
    <t>peggy-f-110862</t>
  </si>
  <si>
    <t>très simple d'utilisation très rapide et les conseillers tchat sont au top, je recommande Direct Assurance à mes proches les yeux fermés, nous y sommes assurés depuis plusieurs années</t>
  </si>
  <si>
    <t>gd-97006</t>
  </si>
  <si>
    <t>Ils font du neuf avec du vieux, c'est le cas de le dire avec leur système et site internet archaïque en plus ils sont 1.5 fois plus cher que leurs concurrents.
Lorsque l'on a déménagé, ils ont bien pris en compte notre nouvelle adresse mais ils n'ont pas mis à jour l'adresse postale.
Lorsqu'ils reçoivent une demande de résiliation par courrier recommandé, ce dernier est ignoré et le prélèvement continue d'être effectué et lorsque le compte bancaire a été clôturé alors ils envoient des courriers recommandés à l'ancienne adresse où on ne réside plus puis au bout d'un an ils nous contactent non pas par message électronique (pas assez cher ou pas assez éco dégradant) mais par message sur la boîte vocale accompagné d'un avertissement de mise en demeure. Je déconseille vivement la MAIF, à fuir !</t>
  </si>
  <si>
    <t>03/09/2020</t>
  </si>
  <si>
    <t>yann-121193</t>
  </si>
  <si>
    <t>nul remboursemet fantome nouveau adherant depuis le 1 avril 2021 jai hate d'etre à la date anniversaire pour pouvoir resilié mon contrat de cette mutuele bravo</t>
  </si>
  <si>
    <t>25/06/2021</t>
  </si>
  <si>
    <t>ne-connait-pas-108909</t>
  </si>
  <si>
    <t xml:space="preserve">Je ne recommande pas.
Problème avec amelie. Il ne sont pas capable de résoudre le problème. 
Aucun contact avec la conseillère.
Une fois que vous avez pris leur mutuelle, il s'en lave les mains. 
Très déçu. Je vais changer sans aucun scrupule.
Dommage car la conseillère était très aimable pour me vendre sa mutuelle. Depuis plus rien.
</t>
  </si>
  <si>
    <t>02/04/2021</t>
  </si>
  <si>
    <t>lolo-101939</t>
  </si>
  <si>
    <t>Je me suis rendu à l.amaif de Villeurbanne fin Juillet a 2 reprises et a chaque fois la responsable s occupait plus de son fils (information donne par le jeune homme à l accueil) que des personnes énervées en salle d attente le comble c est une nurserie? Quel manque de professionnalisme venant de la MAIF et cette reponsable qui se croit au dessus de tous. Je n' y mettrait plus les pieds.</t>
  </si>
  <si>
    <t>28/12/2020</t>
  </si>
  <si>
    <t>catherine--b-135179</t>
  </si>
  <si>
    <t>Le Prix convenable et rapidité du service très simple à utiliser 
Je recommanderais direct assurance je suis très satisfaite de la rapidité et du prix</t>
  </si>
  <si>
    <t>24al-17402</t>
  </si>
  <si>
    <t>Je suis client MACIF depuis 47ans je trouve que le service téléphonique c'est dégradé, les hôtesses ne sont plus au service du client.</t>
  </si>
  <si>
    <t>21/09/2017</t>
  </si>
  <si>
    <t>yvelise95-103953</t>
  </si>
  <si>
    <t>assurance vraiment nickel, bien expliqué par le conseiller, rapidité a traiter nôtre demande, facile a réaliser, et prix attractif , vraiment a recommander !!</t>
  </si>
  <si>
    <t>10/02/2021</t>
  </si>
  <si>
    <t>ocelag-117203</t>
  </si>
  <si>
    <t xml:space="preserve">Il vous démarche par téléphone, vous vende du rêve mais il n’en est rien!!! Fuyez !! 
Je paie depuis 3 ans une assurance pour mon chien a 350€ Par an. Mon chien vient à être diagnostique pour un traitement à vie. Je vais devoir payer 130€ par mois ce traitement sans compter cette visite à 350€. Ayant une « assurance » je me dis que ça va. Mais leurs seules réponses « pathologie hors contrat » et «  je vous invite à prendre connaissance de votre contrat »! 
Je suis très mécontente de cette assurance. Il s’avère que ma mère a sa mutuel chez elle est c’est la même histoire!! 
Et bien évidemment un enfer pour résilié! </t>
  </si>
  <si>
    <t>saliaro-38671</t>
  </si>
  <si>
    <t>Hello tous monde,
Je suis sociétaire MAIF depuis 10 ans j'étais content de la MAIF jusqu'au jour où vous devez malheureusement utiliser l'un de leur contrat (dans mon cas accident de voiture assuré tous risques bonus 0,50).
Pour l'assistance très bonne prise en charge mais après pour le reste une catastrophe.
La MAIF ne respecte pas ses sociétaires en ne leur indiquant pas toute les subtilités quand vous ne marcher pas dans leur sens.
Je vous explique j'ai voulu faire mes réparations dans le garage ou j'ai acheté mon véhicule -2 ans  d'une valeur de 25000€.
Jusqu'à la on vous dit rien on vous répond ok car les échos des garages multi marques sont mauvais car ils vous changent des pièces à réparer pas d'origine ,très bon marché ,à choisir préférer faire réparer dans un garage de la marque de votre voiture car eux vont commander des pièces d'origine certe elles sont plus chers mais mieux adapté et au niveau électronique ils ont connaissances de votre véhicule et réglages à faire.
Bref mon véhicule est emmené dans mon garage ou je l'ai acheté elle est prise en charge rapidement en attente d'expertise jusqu'à la c'est ok.
Je vois avec le garage pour avoir un véhicule de courtoisie en attendant les réparations il n'en n'ont pas de disponible avant une semaine...
Bon je me retourne vers la MAIF et c'est là qu'ils vous mettent une grosse carotte !!!!
On vous demande dans un premier temps si votre véhicule est immobilisé dans un garage agréé ?
Non c'est la qu'on vous répond ben nous sommes désolés mais nous pouvons rien malgré que vous avez prit l'option véhicule de prêt en cas de panne ou d'accident. 
La seule chose que la MAIF me propose c'est prendre en charge une location de voiture à hauteur de 30€ / jour sur 7 jours pas plus soit 210€.
Un loueur traditionnelle c'est minimum 30€ par jour + 40€ d'assurance par jour soit 70€ la journée.
En tout 490€ pour être bien couvert ! Soit 280€ de votre poche ... Ah oui j'ai oublié de préciser vous devais faire prendre vous même contact avec le loueur avancer les frais soit 490€ bon ça commence à faire beaucoup d'un coup.
Vous êtes soit disant rembourser sous 15 jours sur facture .
Bref mes déboires ne s'arrête pas là n'ayant pas été chez un garage agréé par la MAIF je dois faire une avance des frais de réparation soit 3500€ encore une entourloupe.
Si j'avais accepté de faire réparer mon véhicule dans un garage agréé Muti marque bas de gamme ben là j'aurais pas eu d'avance de frais de réparation et la MAIF s'occuper de me trouver un loueur en ne sortant pas un sous de ma poche! 
Comme dit j'ai payé la location et les réparations et je suis en attente de remboursement plus de 3 semaines soit 4000€.
Je téléphone à la MAIF et la on me dit qu'à cause de la crise sanitaire un délai de retard pouvant être observé et que nous allons placer votre en urgence pour vous rembourser.
Bref une mauvaise expérience car pour payé pendant 9ans la ça va mais quand il s'agit d'avoir besoin d'un de leur service ben là ils sont au abonné absent!!
Je préfère voir ailleurs une vraie assurance car ça ne sert a rien vos soit disant publicité responsable écolo ect.. je m'en fiche heureusement que je n'ai pas fait réparer mon véhicule dans leur garage de leur choix.
Une amie a du faire appel la MAIF aussi il y a un an  mais elle c'est bien plus pire que moi car elle a accepté de faire réparer son véhicule -6 mois valeur 35000€ remplacement de portière ect.. elle a été satisfaite au départ de la prise en charge mais elle c'est rendu compte que ce n'est pas une portière neuve mais belle et bien une portière récupérer d'un autre véhicule épave je suppose.
Une honte sérieux c'est à partir de ce moment la que j'aurais du vous quitter.
En tous cas actuellement j'ai changé d'assurance je suis chez la GMF et c'est largement mieux en plus étant fonctionnaire j'ai des avantages comme une remise.
L'erreur que je n'ai plus faite c'est d'interroger mon conseiller GMF sur tous les cas de figures n'hésitez pas!ils sont là pour ça.
Résultats je paie moins cher de pas beaucoup mon assurance mais avec une meilleure prise en charge en cas d'accident.
Vous avez le choix de votre garage on ne vous impose pas leur garage agréé et surtout il s'occupe de tout pour vous trouverez un véhicule de remplacement en cas de panne ou d'accident !
On vous laisse pas à l'abandon comme la MAIF la fait!
Par contre si vous choisissez de faire réparer avec un garage non agréé on vous demandera quand même l'avance des frais .
Mais comme dit les garages sont souvent arrangeant car d'une vous les avez choisi eu et 2eme nous n'avons pas 5000€ à à sortir d'un coup.
Je suis content d'avoir quitter la MAIF !!!</t>
  </si>
  <si>
    <t>15/12/2020</t>
  </si>
  <si>
    <t>ghis-133986</t>
  </si>
  <si>
    <t>attention drôle de assurance qui ne fait que proposer et imposer d autres assurances complémentaires 
oublier de ce battre pour annuler
dès que je peux je change
ce matin ce suis tombé sur un conseillé sympa daouda
mais je changerais à 1er occasion 
il faut attendre maintenant dès remboursement pour voir</t>
  </si>
  <si>
    <t>ethan-127075</t>
  </si>
  <si>
    <t>Service satisfaisant, rapide et clair. Explication simple. Paiement sécurisé  et immédiat. En espérant que tout cela sur dans le temps. Et avoir la possibilité de parler à quelqu'un.</t>
  </si>
  <si>
    <t>severine-bricourt-110910</t>
  </si>
  <si>
    <t xml:space="preserve">FUYEZ!
Anciennement assurée avec la société générale, un sinistre est parvenu en janvier 2021 avec un conducteur qui était sur son téléphone et a dévié sur ma voie en m'arrachant mon rétroviseur. J'ai été déclarée NON responsable à 100%
Voilà qu'en mars 2021 je change d'assurance je vais chez l'olivier assurance. Prix de base dans les 45 euros, voilà que je reçois un email en me disant que j'aurais une augmentation de 115 euros / an du au sinistre survenu en janvier 2021. Je les appelle, je leur dis que je n'étais pas responsable et on ne veut rien entendre car malgré le fait que je n'ai pu éviter le conducteur, CELA IMPACTE TOUT DE MÊME MON PROFIL ! Est-ce une blague?!?! 
Ce genre d'accident peut arriver à tout le monde ! Honteux ! Avoir une augmentation de 115 euros alors que je n'étais en aucun cas responsable ! Arnarque ! Je résilie et je vais vous faire une belle publicité au près de mon entourage ! Vous allez entendre parler de moi! 
</t>
  </si>
  <si>
    <t>totolazza-80348</t>
  </si>
  <si>
    <t>Pratiques douteuses qui consistent à envoyer plusieurs contrats à signer en quelques jours pour dissimuler des changement de prix... Inadmissible et tellement facile d'exploiter la signature électronique pour faire passer des changement presque invisible sur une taille d'écran de smartphone...</t>
  </si>
  <si>
    <t>23/10/2019</t>
  </si>
  <si>
    <t>gozillon-a-134939</t>
  </si>
  <si>
    <t>bonne assurance pour les vehicules. je recommande autour de moi. tres bon rapport qualite prix. a faire plus connaitre. et a partager. juste je n arrive pas a me connecter</t>
  </si>
  <si>
    <t>peguet-f-107814</t>
  </si>
  <si>
    <t>nikel prix imbatable et service de qualité je recommande. prise en charge rapide, beaucoup d'assurance devrait faire pareil, et personnel sympatique et competent</t>
  </si>
  <si>
    <t>geoffroy-114251</t>
  </si>
  <si>
    <t xml:space="preserve">J'étais à la MAAF ou j'avais un très bon service. Suite à l'achat de mon appartement j'ai du partir chez PACIFICA (condition du prêt). Mon retour : A FUIR!!!
Je paie une assurance mais ils ne font rien, j'ai un dégât des eaux depuis 5 mois et ils ne sont pas capable d'intervenir, je relance par mail, par téléphone, impossible d'avoir quelqu'un et quand j'arrive a avoir la soi-disant "responsable de mon dossier" elle ne souviens de rien, n'a aucun élément, elle est complétement perdue.
</t>
  </si>
  <si>
    <t>william--112937</t>
  </si>
  <si>
    <t xml:space="preserve">Attention à cette assurance Je suis agriculteur je suis assuré tou chez eux. en cas de sinistre très mal pris en charge je compte changer. J’ai un sinistre avec un tracteur il a était mis épave mais l assurance me rembourse que 2500€ alors que l engin à 2ans bonne assurance pour vous prendre de l assurance mais mauvaise assurance pour le remboursement   </t>
  </si>
  <si>
    <t>nounours-71568</t>
  </si>
  <si>
    <t>MAIF de plus une assurance comme les autres et de moins en moins militant</t>
  </si>
  <si>
    <t>22/02/2019</t>
  </si>
  <si>
    <t>slo-57920</t>
  </si>
  <si>
    <t xml:space="preserve">Des années que je paye une assurance (Auto, maison et mutuelle) Jamais un accident (mais jamais une réduction) Maintenant on me force un 50/50 pour majorer mes mensualités. 
(Sans remboursement bien évidement) 
</t>
  </si>
  <si>
    <t>09/10/2017</t>
  </si>
  <si>
    <t>tongsa-76985</t>
  </si>
  <si>
    <t>AFER lors de la prochaine AG s apprête à faire voter une résolution pour augmenter les frais de gestion de 0,35 pts sur les principaux fonds en unités de compte dont l encours tourne aux alentours de 9 Mrd d Euros. Ce qui représente une ponction de 30 millions d'Euros sur notre épargne. La manœuvre est particulièrement hypocrite car la mesure est présentée comme une amélioration du contrat en mettant en balance une réduction des droits d entrée et la suppression des frais d arbitrage. Les frais d entrée ont géneré environ 270 000 Euros en 2018 pour l association soit moins de 1 pourcent de la future ponction. Les frais d arbitrage étant plafonnés à 50 Euros par arbitrage et le premier de l année étant gratuit ne devrait pas rapporter grand chose dans l année.</t>
  </si>
  <si>
    <t>achejian-a-125683</t>
  </si>
  <si>
    <t>Je viens de m'assurer donc je ne peux pas encore témoigner. Attention aux mensualités faussées par un paiement initial hors de prix ajoutant plusieurs centaines d'euros à l'année.</t>
  </si>
  <si>
    <t>30/07/2021</t>
  </si>
  <si>
    <t>momo-106809</t>
  </si>
  <si>
    <t xml:space="preserve">C’est peine perdue mais gentiment et poliment que je dénonce vos agissements abusifs. Si 2 sinistres “non responsable” dont un bris de glace, en 3 ans, sont votre motif pour la résiliation de mon contrat d’assurance voiture, seules des personnes invincibles pourront bientôt bénéficier de votre aide pour alléger leur porte-monnaie. Soutenir ses clients et les écouter ne vous concerne pas, en revanche les achever vous savez faire. </t>
  </si>
  <si>
    <t>16/03/2021</t>
  </si>
  <si>
    <t>majax-89322</t>
  </si>
  <si>
    <t xml:space="preserve">35 minutes d'attente au téléphone, c'est cela bien souvent. Des téléconseillers qui donnent des avis contradictoires. </t>
  </si>
  <si>
    <t>02/05/2020</t>
  </si>
  <si>
    <t>steevyk2-64494</t>
  </si>
  <si>
    <t xml:space="preserve">A fuir ce permette de juger votre etat de santé a distance  alors que je viens de passer devant  le medecin conseil de la secu qui juge mon etat dans l'incapacité de travail et eux ne m'indemnise plus depuis 2 mois a me demander sans cesse des papier que je leur fournis et toujours rien de leur part j'attend encore 1 semaine après  je vais voir avec un service juridique je vais pas me prendre la tête j'ai déjà assez de souci comme ça. </t>
  </si>
  <si>
    <t>05/06/2018</t>
  </si>
  <si>
    <t>sopver-70625</t>
  </si>
  <si>
    <t>à fuir !!!! Pas serieux, aucun suivi ni respect
Ne pas souscrire chez eux</t>
  </si>
  <si>
    <t>26/01/2019</t>
  </si>
  <si>
    <t>gerald-90293</t>
  </si>
  <si>
    <t>Mon père est décédé depuis 5 semaines. l'afer a été informé quasi immédiatement. Aucune nouvelle même pas un courrier d'attente. Cela entache la confiance; Je ne transfererai pas les fonds sur AFER car difficile de récupérer les fonds. Il m' a été indiqué suite à ma demande éventuellement en aout,,problème de personnel, de liquidité ?? incompréhensible</t>
  </si>
  <si>
    <t>07/06/2020</t>
  </si>
  <si>
    <t>schitter-n-111107</t>
  </si>
  <si>
    <t>simple et pratique, rapide d acces. les prix sont corrects. le site est clair , facile à comprendre, à signer. je pense avoir fait le bon choix, en choisissant l olivier assurance.</t>
  </si>
  <si>
    <t>vanderstiggel-j-128247</t>
  </si>
  <si>
    <t>Service client en France à l'écoute.
Bon service globalement avec tarif intéressant. 
Dommage que certaines options n'existent pas (remboursement prix à neuf)</t>
  </si>
  <si>
    <t>16/08/2021</t>
  </si>
  <si>
    <t>paceph-50133</t>
  </si>
  <si>
    <t>Client depuis 36 ans</t>
  </si>
  <si>
    <t>23/01/2017</t>
  </si>
  <si>
    <t>paulker-51146</t>
  </si>
  <si>
    <t>A la Macif depuis 2010, il y a quelque mois, un véhicule BMW très ancien et en très mauvais état s'est collé au Bouclier arrière noir laqué sur mon Audi A3 récente ce qui a engendré des rayures. J'ai pris en photo le véhicule sous plusieurs angles et transmis à la Macif avec ma déclaration de sinistre. Dans un 1er temps tout allait bien, RDV chez un garage agrée avec un expert pas aimable et très autoritaire. Cet expert a tout fait pour sous estimer le préjudice. 2 à 3 mois après j'ai reçu un courrier de la MACIF qui refusait de prendre en charge mes dégâts car le responsable contestait les faits malgré les photos et un témoin qui n'a pu être retenu car transporté dans mon véhicule. Au final beaucoup de temp perdu et surtout un déplacement pour expertise pour rien. La MACIF n'est vraiment plus ce qu'elle était.</t>
  </si>
  <si>
    <t>11/02/2019</t>
  </si>
  <si>
    <t>ic54-99516</t>
  </si>
  <si>
    <t>Je suis très satisfaite des prestations offertes par ma mutuelle MGP.
En maladie depuis 18 mois, je n'ai aucun problème de remboursement pour le complément de salaire, ce qui me permet de vivre confortablement.
J'évite ainsi la double peine que peut engendrer une maladie grave quand elle est associée à des problèmes financiers.</t>
  </si>
  <si>
    <t>02/11/2020</t>
  </si>
  <si>
    <t>christophe-r-108114</t>
  </si>
  <si>
    <t>Je suis satisfait du services et je trouve le site internet intuitif et convivial. Pas d'observations supplémentaires , bonne continuations dans vos offre de services</t>
  </si>
  <si>
    <t>paul-71017</t>
  </si>
  <si>
    <t xml:space="preserve">éviter cette assurance,prendre un contrat dans cette assurance que si vous êtes sure de n'avoir jamais besoin d 'eux </t>
  </si>
  <si>
    <t>06/02/2019</t>
  </si>
  <si>
    <t>pialat-a-116372</t>
  </si>
  <si>
    <t>Rien à dire que ce soit en terme de tarif, de niveau de garanties, de gentillesse de l'accueil, de la simplicité des déclarations.
Que du parfait. Je recommande vivement.</t>
  </si>
  <si>
    <t>aureline-b-105281</t>
  </si>
  <si>
    <t>J'ai changé car j'ai trouvé moins cher ailleurs. mais sinon tout allait bien. si la cotisation n'avait pas augmenté nous serions restés, mais nous renégocions tous les ans.</t>
  </si>
  <si>
    <t>lorenzo-c-114466</t>
  </si>
  <si>
    <t>Je suis entièrement satisfait du service, efficace et rapide, très bon niveau.
Sur le reconnaissance de l'ancienneté et de la qualité de conduite, quelques remises commerciales peuvent être aménagées.</t>
  </si>
  <si>
    <t>21/05/2021</t>
  </si>
  <si>
    <t>romain-s-117519</t>
  </si>
  <si>
    <t>je ne suis pas satisfait de la gestion des sinistres c'est n'importe quoi. 
j'envoie des mails et personnes ne prend la peine de répondre.
1 mois que ça traine et obligé d'avancer les frais de réparation alors qu'on est pas responsable.
on se demande pourquoi on vous paye.</t>
  </si>
  <si>
    <t>gerald-94193</t>
  </si>
  <si>
    <t xml:space="preserve">Mutuelle correcte dans le global. Dommage que certaines catégories de remboursement soient basses en particulier l'optique. Pour des fonctionnaires de police, c'est un domaine très important. </t>
  </si>
  <si>
    <t>15/07/2020</t>
  </si>
  <si>
    <t>pratima-b-121921</t>
  </si>
  <si>
    <t xml:space="preserve"> c'est la meilleure assurance ... site simple et pratique. les prix sont corrects et service client tres reactif et à l'ecoute.
je recommande vivement !
</t>
  </si>
  <si>
    <t>30/06/2021</t>
  </si>
  <si>
    <t>kiko-101662</t>
  </si>
  <si>
    <t>J'ai déjà donné mon avis, plus qu'à attendre que vous me rappeliez assurance fantôme ?? je ne perds plus mon temps à me vous appeler ou vous écrire de nombreux mails que je vous ai fais parvenir auxquels vous ne répondez pas fantôme et sourd ?? Honteux ??</t>
  </si>
  <si>
    <t>19/12/2020</t>
  </si>
  <si>
    <t>blakey-p-126884</t>
  </si>
  <si>
    <t>je suis satisfaite des prix que vous me proposez, l'attente au téléphone n'est pas longue, c'est simple , eficace, rapide et vous avez une bonne compréhension de mes besoins. Tout par email, très bien.</t>
  </si>
  <si>
    <t>jeremy-g-116922</t>
  </si>
  <si>
    <t>Service très réactif, les personnes sont très pro et très sympathiques. ont répondu à toutes mes questions et m'ont proposé des offres bien en lien avec mes besoins.</t>
  </si>
  <si>
    <t>ml-99175</t>
  </si>
  <si>
    <t>Comme lu dans les commentaires, la mise en place de la télétransmission est affreuse, les contacts avec l'assurance impossibles et les remboursements ne se font pas. Après envoi de mon attestation au minimum trois fois par mail, avec accusé de réception, ils ont enfin réagi, mais suite à un dépôt de plainte. Franchement, c'est navrant. Pour obtenir de plus une réponse qui est simplement une ineptie. Je déconseille vivement à qui que ce soit de souscrire. De plus, les espaces clients en ligne ne servent à rien, les demandes restent en toutes en attentes sans jamais être traitées. J'attends de mon coté deux ans de remboursements...</t>
  </si>
  <si>
    <t>24/10/2020</t>
  </si>
  <si>
    <t>xsara--97698</t>
  </si>
  <si>
    <t xml:space="preserve">Manque de professionnalisme, appel transféré 7 fois et aucune réponse concrète.
Pas d’empathie après le vol de ma voiture , 
Aucune indemnisation ni réparation car aucune infraction, malgré le rapport de la police et les indices qui prouvent le vol. 
</t>
  </si>
  <si>
    <t>22/09/2020</t>
  </si>
  <si>
    <t>lolita24-69077</t>
  </si>
  <si>
    <t xml:space="preserve">assurances habitation et voiture chez eux et  enfants assures. Tout va bien tant que vous ne demandez rien. Première demande en 15 ans pour l' habitation refus devis, ils veulent vous imposer leurs artisans partenaires qui vous font des travaux au rabais. Pas de contestation possible.Lamentable, vous n'êtes bons qu'à payer. Dommage 5 contrats </t>
  </si>
  <si>
    <t>03/12/2018</t>
  </si>
  <si>
    <t>pascal-d-135761</t>
  </si>
  <si>
    <t xml:space="preserve">je suis satisfait du prix, 
satisfait du processus sauf que je n'ai pas pu corriger les informations administratives du devis (date de mise en circulation) et qu'il faudra que je contacte le service client.
à voir la suite ...
</t>
  </si>
  <si>
    <t>03/10/2021</t>
  </si>
  <si>
    <t>florian-n-108260</t>
  </si>
  <si>
    <t xml:space="preserve">Je suis ravie du service direct assurance, a l'écoute et très réactif. Les prix sur les assurances sont vraiment intéressant et maintenant client depuis plusieurs années, tout me convient pour le mieux </t>
  </si>
  <si>
    <t>27/03/2021</t>
  </si>
  <si>
    <t>sabirkt-75550</t>
  </si>
  <si>
    <t xml:space="preserve">Bonjour, aucun sinistre à mon actif, bonus à taux plein et l'assurance décide de me résilier SANS MOTIF et veut me diriger vers son partenaire Assur People. Bien joué la technique, je me demande à quels taux sont vos commissions... </t>
  </si>
  <si>
    <t>02/05/2019</t>
  </si>
  <si>
    <t>fham-55075</t>
  </si>
  <si>
    <t>Ils sont incapables de me fournir une attestation d'assurance ou une confirmation de paiement, mais par contre envoyer un recommandé à mon ancienne adresse pour me demander mes sous, ça ils savent faire ! Ce que je trouve étrange, c'est que celle-ci n'est nulle part dans mon dossier... Je sens que mes données sont bien actualisées comme il le faudrait, ça me fait plaisir.</t>
  </si>
  <si>
    <t>02/06/2017</t>
  </si>
  <si>
    <t>lafralle-53186</t>
  </si>
  <si>
    <t>Bonjour, client direct assurance depuis plusieurs années, je vient de subir un vol de roue, voiture remorqué jusqu'à un garage agrée, passage de l'experts pour estimation. sur cette estimation je dois prendre en charge la franchie, les 10% de réparation et la vétusté des roues volé, total de la facture a plus de 900euros a ma charge, autant dire que j'aurais moins cher a le faire moi même, de plus j'ai souscrit l''option pack sérénité, mais le conseiller me dit que je n'ai pas le droit a un véhicule de remplacement et qu'il faut que je m'arrange avec le garagiste, et pour finir cotisation annuel a 1219euros, alors que la simulation sur le site de DA me donne une cotisation pour les mêmes garanties a 748euros, y'a pas un souci la ?
autre points, j'ai comme beaucoup subi les intempéries grêle en 2014, j'ai déclarer le sinistre, payé la franchise, mais j'attend encore qu'on m'indique les garages agrées pour faire les réparations.... en gros DA a fuir..</t>
  </si>
  <si>
    <t>11/03/2017</t>
  </si>
  <si>
    <t>carine-j-134079</t>
  </si>
  <si>
    <t>Rapide et efficace les prix son attraillant je suis très satisfaite du service en ligne très rapide je vous remerci de tout. La plus part des autres assurances sont excessivement chere</t>
  </si>
  <si>
    <t>melanie-75988</t>
  </si>
  <si>
    <t>non prise en charge d'un effondrement d'un mur de soutènement causé par les fortes pluies lors de notre construction en 2018. plus de 15000 euros de frais supplémentaire imprévu pour nous, non pris en charge par l'assureur. la question c'est à quoi servent lors de la construction? nos voisins ayant eu le même problème ont été indemnisé. cherchons l'erreur.</t>
  </si>
  <si>
    <t>16/05/2019</t>
  </si>
  <si>
    <t>tropdeblabla-61938</t>
  </si>
  <si>
    <t>Mitigée</t>
  </si>
  <si>
    <t>02/03/2018</t>
  </si>
  <si>
    <t>veronique-m-127067</t>
  </si>
  <si>
    <t xml:space="preserve">Je suis satisfaite du service de votre assurance, j’ai hâte de commencer ce contrat avec vous, le contrat a était rapide et tous c’est passée rapidement </t>
  </si>
  <si>
    <t>rien-64831</t>
  </si>
  <si>
    <t>Assureur nul répond jamais au  mail. Ni au téléphone. impossible d'avoir mon relevé d'information. Par contre vous envoyer des lettes de relance sa ils sont très fort. Mais avoir des expliquations ils sont nul</t>
  </si>
  <si>
    <t>Assur Bon Plan</t>
  </si>
  <si>
    <t>17/06/2018</t>
  </si>
  <si>
    <t>alain-d-114552</t>
  </si>
  <si>
    <t xml:space="preserve">TRAITEMENT RAPIDE .SIMPLICTE DES FORMULAIRE ASSURE DE SUITE .MANQUE CARTE VERTE ET E PRECISER QUE DEUX MOIS SON PRELEVER .AUTREMENT RIEN A DIRE SUPER </t>
  </si>
  <si>
    <t>22/05/2021</t>
  </si>
  <si>
    <t>vincent-d-115511</t>
  </si>
  <si>
    <t>Les prix sont plus chère mais les services et la simplicité sont satisfaisant.
J'ai rencontré un sinistre, tous a été pris en compte et suivi de manière très efficace</t>
  </si>
  <si>
    <t>nathalie2007-88194</t>
  </si>
  <si>
    <t>Il ne faut pas être reconnu invalide par leur médecin expert car à partir delà c'est l'enfer! Ils se refusent à honorer le contrat.</t>
  </si>
  <si>
    <t>10/03/2020</t>
  </si>
  <si>
    <t>roxane-s-128766</t>
  </si>
  <si>
    <t>Personnel très agréable dans sa démarche téléphoniqueUne Une démarche Simple , pratique en ligne et surtout rapide.
Compagnie d assurance sérieuse
A conseiller pour de jeunes conducteurs</t>
  </si>
  <si>
    <t>moi-127854</t>
  </si>
  <si>
    <t>Oui donc pas de problème pour cette mutuelle ainsi que la personne qui s’appelle Ravanat m’a téléphoné pour me confirmer mon inscription et donc tout va tout va pour le mieux si tout se passe bien merci puisque mon adhésion commence aujourd’hui merci OK</t>
  </si>
  <si>
    <t>nx29-133234</t>
  </si>
  <si>
    <t xml:space="preserve">FUYEZ ! C'est une Mutuelle de nuls ! Ils sont NULISSIME ! 
Je n'ai hélas pas le choix ... mutuelle d'entreprise. Je VEUX partir,et retrouver mon ancienne Mutuelle Génération.... </t>
  </si>
  <si>
    <t>elena-62410</t>
  </si>
  <si>
    <t xml:space="preserve">Bonjour!
Apres des longues coup de téléphone et beaucoup des messages, j'ai étais écouté par le responsable qui m'a appelle et a résolu ma problème, rapide et efficace. Merci pour avoir été a la fin  compréhensive avec ma situation.       </t>
  </si>
  <si>
    <t>05/02/2019</t>
  </si>
  <si>
    <t>noel-c-128429</t>
  </si>
  <si>
    <t xml:space="preserve">Je suis satisfais du service 
Facilité d utilisation du service avec l espace personnel 
Rapport qualité et prix correct 
Rien a ajouter
Mr   CHOISY 
</t>
  </si>
  <si>
    <t>18/08/2021</t>
  </si>
  <si>
    <t>thibaut-b-129766</t>
  </si>
  <si>
    <t>Vous propose de Bon tarif. Le site est facile d accès et le devis immédiat. J espère que nous serons aussi contents si un jour nous avons un pépin. Voila</t>
  </si>
  <si>
    <t>ninise-86172</t>
  </si>
  <si>
    <t xml:space="preserve">Service client mediocre, delai de traitement hyper long et le medecin conseil conclu des maladie que meme les chirurgien conteste mais toujours pas d'indemnisation 2 mois apres... </t>
  </si>
  <si>
    <t>mikado-50419</t>
  </si>
  <si>
    <t>J'ai deux petits contrats d'assurance vie chez Cardif mais j'hésite de verser des sommes plus importantes de peur( comme l' illustre le nombre de messages dans ce sens)de ne pouvoir les récupérer moi ou mes héritiers  du. J'ai déjà l'expérience de la mauvaise gestion de cette compagnie classé dernière dans ce site avec la note de 1,3/5: j'ai signalé à la compagnie par l'intermédiaire de mon conseiller clientèle à la BNP le 1er janvier 2015 que je devenais non résident(justificatif joint) et malgré cela au 31 décembre 2015Cardif a prélevé les cotisations sociales. J'ai fait plusieurs réclamations en joignant le certificat de résidence fiscale pour 2015 et malgré les promesses de la BNP les cotisations sociales (certes modestes ) n'ont pas été restituées à ce jour .Je précise qu'à partir du 31 décembre 2016 les cotisations sociales n'ont plus été prélevées.</t>
  </si>
  <si>
    <t>03/09/2017</t>
  </si>
  <si>
    <t>marie-94504</t>
  </si>
  <si>
    <t>carte blanche et remboursement sous 48 h, que du bleuf, depuis 1 mois j' attends qu'ils remboursent mon opticien pour récupérer mes lunettes, je tel. j' envoie des mails mais personne ne répond, ils ne remboursent pas mais font les prélèvements en temps et en heure, pour ça ça marche , je suis dégoûtée</t>
  </si>
  <si>
    <t>18/07/2020</t>
  </si>
  <si>
    <t>kadija-46572</t>
  </si>
  <si>
    <t>INCROYABLE ne jamais aller chez eux je vous explique !!!!
Une personne a fait une poursuite avec la police la police m'a contacte en me disant de venir au commissariat carma voiture à été touché 
Donc je vais là bas je signe la plainte la personne a été arrêté il y a son nom son prénom sa date de naissance etc 
J'envoie tous les documents à l'olivier 
1 an après ma voiture est toujours cassé et je me prend un malus, il m'explique que c'est parce-que j'ai ouvert un litige mais que la personne n'est pas identifié je vérifie donc mes documents et je vois qu'on a bien son nom son prénom etc je leurs demande donc pourquoi au jours d'aujourd'hui deux ans après rien n'est fait? Pourquoi j'ai encore un malus alors que ma voiture n'est même pas réparé alors qu'ils ont tout sur l'auteur c'est INCROYABLE je me fait cassé ma voiture on a le mec mais c'est moi qui paye un malus alors que ma voiture est toujours cassé.
2020736692</t>
  </si>
  <si>
    <t>11/10/2021</t>
  </si>
  <si>
    <t>daouda--110765</t>
  </si>
  <si>
    <t>J’assure toutes mes motos chez Amv 
Très bon rapport qualité prix.
Assurance réactif et efficace.
Bon relationnel je recommande cette assurance pour son professionnalisme.</t>
  </si>
  <si>
    <t>arna-matmut-50532</t>
  </si>
  <si>
    <t xml:space="preserve">après 40 ANS CHEZ EUX  j'ai eu deux pépins coup su coup infraction plus foudre assurance à fuir ils minimisent tout pour ne rien rembourser </t>
  </si>
  <si>
    <t>21/12/2016</t>
  </si>
  <si>
    <t>coco008-70269</t>
  </si>
  <si>
    <t xml:space="preserve">cie beaucoup trop rigide nous n avons de leur part que la possibilité de souscrire ce qui est sans risque pour eux 
1) impossible de souscrire comme conducteur 2 voitures une seule acceptée
2)impossible d indiquer sur les 2 contrats son conjoint titulaire du permis comme conducteur secondaire
3) impossible de désigner son conjoint titulaire du permis comme conducteur secondaire si vous indiquez qu'il est possible qu'elle conduise la voiture pour aller au travail
4) s'ils ne veulent pas assurer pour les motifs précédents, vous avez le summum de la médiocrité car ils vous résilient d'office sous 15 jours
5) pour cette raison je vous interdit tout contact avec moi je vous résilie 
</t>
  </si>
  <si>
    <t>23/01/2019</t>
  </si>
  <si>
    <t>koil-59896</t>
  </si>
  <si>
    <t>LA GARANTI IJH MA AIDE DURANT MON SÉJOUR A L 'HÔPITAL</t>
  </si>
  <si>
    <t>horiya-l-126327</t>
  </si>
  <si>
    <t>J aurai bien préféré un payement mensuel  dommage cette option n était pas possible cependant le Prix reste raisonnable je recommande pour tous 
Merci</t>
  </si>
  <si>
    <t>patriku-97183</t>
  </si>
  <si>
    <t>Tous mes contrats sont chez cet agent et je suis satisfait de sa gestion. Il a une équipe très compétante et très aimable. (Cabinet JULIAN, Place Lamarque - 32100 - CONDOM)</t>
  </si>
  <si>
    <t>marmoths-98543</t>
  </si>
  <si>
    <t>Prix compétitif pour la première année de cotisation ; augmentation imprévue de l'ordre de 7% pour la seconde année.
Après appel, remise commerciale ramenant à peu de choses près la cotisation à hauteur de celle de la première année.</t>
  </si>
  <si>
    <t>09/10/2020</t>
  </si>
  <si>
    <t>momo-89757</t>
  </si>
  <si>
    <t xml:space="preserve">Je voulais changer d'assurance alors j'ai cherché je suis tombé sur direct Assurance ils m'ont fait un devis j'ai accepté il été moins chère que ce que j'avais donc j'ai accepté dans le questionnaire j'ai répondu aux questions par rapport au sinistre j'ai déclaré deux sinistres que j'étais pas responsable dont ils étaient même pas mentionnés sur mon relevé d'informations le premier il m'ont cassé une vitre dans un parking pour voler des trucks à l'intérieur de la voiture l'assurance m'a réparé la vitre le deuxième accident en plein encombrement une femme m'a rentré dedans donc j'étais pas en tord j'ai réparé la voiture pas l'assurance tiers enfin après avoir donné tous les papiers et les informations ils m'ont obligé à payé trois moi d'avance de que j'ai fait donc ils ont demandé la résiliation avec l'autre assurance après quelque jour j'ai reçu un mail comme quoi ils sont obligés de résilier avec eux il m'ont laissé stupéfait par leur comportement mal polis on dirait ils ont attrapé un criminel donc je me suis trouvé sans assurance j'ai galèré pour trouune assurance avec la macif qu'ils étais moins chère et plus d'avantages </t>
  </si>
  <si>
    <t>19/05/2020</t>
  </si>
  <si>
    <t>ninie-97246</t>
  </si>
  <si>
    <t>Très très bon accueil voire excellent, très humaniste et rassurant au vu de la maîtrise des produits de mon interlocutrice qui m'a proposé une réétude d'un dossier d'assurance habitation et automobile par la même occasion. Proposition d'un rappel rapide par son collègue pour un devis comparatif selon mes disponibilités au vu de mes soins. Très bon accompagnement téléphonique !!!</t>
  </si>
  <si>
    <t>sarah-t-112216</t>
  </si>
  <si>
    <t>L'accueil est aimable au téléphone et les demandes sont traitées. Cependant, le niveau de prix n'est plus au rendez-vous pour les clients fidèles et sans sinistre depuis plusieurs années.</t>
  </si>
  <si>
    <t>anonyme-110499</t>
  </si>
  <si>
    <t>Anaelle a été d'une clarté exemplaire ce qui m'a permis de connaître très vite la marche à suivre un exemple de professionnalisme 
Ce qui n'était pas le cas dans le retour de remboursement qu'on a fait à ma demande et c'est bien dommage
Bravo</t>
  </si>
  <si>
    <t>toulousainefurieuse-56764</t>
  </si>
  <si>
    <t>A fuir ! Assurance qui ne prend pas en compte l'humain !</t>
  </si>
  <si>
    <t>loicc-79994</t>
  </si>
  <si>
    <t>Le conseiller était très cordial et Youness m'a très bien aiguillé. Par rapport à mon ancienne mutuelle c'est le jour et la nuit</t>
  </si>
  <si>
    <t>13/10/2019</t>
  </si>
  <si>
    <t>rabah-b-121538</t>
  </si>
  <si>
    <t>Je suis satisfait du prix et du service proposé...
Et j'espère que le service est a l'écoute de ses sociétaire en cas de soucis ou de litiges...
Cordialement....</t>
  </si>
  <si>
    <t>29/06/2021</t>
  </si>
  <si>
    <t>gem-76808</t>
  </si>
  <si>
    <t>Sinistre incendie. Imdemnisation depuis 55 jours et 2 mise en Demure. Pas resiliation et pas remboursement de "Trop payé". Depuis 78 jours et 2 lettre recomandee je paie encore l'assurance. La justice traitera, mais est PENIBLE!</t>
  </si>
  <si>
    <t>15/06/2019</t>
  </si>
  <si>
    <t>merdjane-m-111110</t>
  </si>
  <si>
    <t xml:space="preserve">Je suis super satisfait de vos services. L'échange avec votre conseiller était très intéressant et surtout très clair.  Merci beaucoup pour vos conseils.  </t>
  </si>
  <si>
    <t>reg62-53267</t>
  </si>
  <si>
    <t>Je conteste que mon état n est pas consolidé ,à la date du 1/10/17.c est juste que le rsi ma mis en incapacité totale à cette date et conteste aussi un taux auquel l expert des acmn a calculé du faite que j avais deja vu un expert avant et le taux professionnels étais à 66% et la 41.6 %et en fonctionnelle à 80% pour le même membre !faut il voir plusieurs experts pour tomber sur des meme taux car la il y a vraiment une différence qui fait que je ne suis pas couverte .je n ai pas choisi d avoir eu un cancer du sein avec un lourd traitement l'ablation chimio radiothérapie hormonothérapie 7inteventions en 4 et demi étant coiffeuse droitière ne pouvant plus travailler .je souhaite etre recontacter pour réétudier mon dossier.ma ref 601160913779</t>
  </si>
  <si>
    <t>14/03/2017</t>
  </si>
  <si>
    <t>bobylac-35698</t>
  </si>
  <si>
    <t>j ai souscrit debut 2015 un contrat sante performance 4 debut 2016 il m augmente deux fois en deux mois je refuse l augmentation et demande de passer eb performance 3 mour mes remboursements de lunettes j etais a 450 euro je repasse a 350 euro c est normal je recoit un nouveau document pour mes remboursements mentionne lunettes 350 euro et la je viens de changer mes lunettes  mon opticien ne recoit que 250 euro pour la prise en charge impossible de leur faire comprendre qu il y as une erreur j ai pourtant envoye mes justificatif aucun dialogues</t>
  </si>
  <si>
    <t>25/11/2016</t>
  </si>
  <si>
    <t>gregory-d-108755</t>
  </si>
  <si>
    <t xml:space="preserve">mon avis ne pas rester chez vous , vous traiter mieux les nouveaux clients que les fideles qui payent votre politique tarifaire , bref nous partons ! </t>
  </si>
  <si>
    <t>van-strate-v-125615</t>
  </si>
  <si>
    <t>Je suis satisfait du service et du prix de mon assurance et des prestations je recommanderais cette assurance auprès de mes connaissances et je ne manquerais pas de comparer pour mes futures autos</t>
  </si>
  <si>
    <t>thibault--d-134005</t>
  </si>
  <si>
    <t xml:space="preserve">Satisfait de la facilité d’inscription et de tarifs
Rapide et efficace pour être assuré dès le lendemain
Si tout se passe bien je recommanderais direct assurances 
</t>
  </si>
  <si>
    <t>blondehilde-66364</t>
  </si>
  <si>
    <t>Adhérente depuis peu de temps, je suis très heureuse de la relation à Santiane, pour le suivi et l'accès gratuit à Médecine Directe</t>
  </si>
  <si>
    <t>23/08/2018</t>
  </si>
  <si>
    <t>capiano-y-109075</t>
  </si>
  <si>
    <t>Bonjour 
merci beaucoup à l olivier assurances pour sout professionnalisme et ses prix attractifs.
je recommande vivement.
tres bon échange avec les techniciens téléphoniques</t>
  </si>
  <si>
    <t>03/04/2021</t>
  </si>
  <si>
    <t>jocelyne-77748</t>
  </si>
  <si>
    <t>Suite à résiliation (embauche liée à nouvel emploi), les prélèvements mensuels ne sont pas stoppés, malgré courrier recommandé. Aucun retour, malgré les relances serai-je remboursée ? injoignables au téléphone pour une réclamation.</t>
  </si>
  <si>
    <t>19/07/2019</t>
  </si>
  <si>
    <t>romero-p-116187</t>
  </si>
  <si>
    <t xml:space="preserve">Je trouve le site internet est assez bien fait. le service téléphonique est de qualité, avec des conseillé qui s'exprime clairement et aimable. les prix sont correct sans être attractif </t>
  </si>
  <si>
    <t>07/06/2021</t>
  </si>
  <si>
    <t>gael31-85785</t>
  </si>
  <si>
    <t>Service client disponible et à l ecoute. Remboursement rapide et en respectant mon option extension de prix du neuf suite à un vol. Nouvelle moto assurée chez eux à bon prix. J ai toujours pris chez AMV les formules les plus chères, très satisfait pour le moment</t>
  </si>
  <si>
    <t>11/01/2020</t>
  </si>
  <si>
    <t>niangon-62948</t>
  </si>
  <si>
    <t>titulaire chez CARDIF assurance vie d'un PERM je ne parviens pas à récupérer mes fonds ( sortie en capital) depuis le 31/01/2018.
Ils ne repondent pas au courrier recommandé, ni au mise en demeure.
Mettre de l'argent sur un PERM et de ne pouvoir récupérer sa mise à son départ en retraite c'est dommage</t>
  </si>
  <si>
    <t>04/04/2018</t>
  </si>
  <si>
    <t>claudine0807-59995</t>
  </si>
  <si>
    <t>Pacifica s'est autorisé à résilier mon contrat par une fausse information : sinistralité. Un seul dégat d'eau en 3 ans !</t>
  </si>
  <si>
    <t>28/12/2017</t>
  </si>
  <si>
    <t>alban-l-132021</t>
  </si>
  <si>
    <t>Service au top, beaucoup moins cher que mon ancienne assurance.
A l'écoute et réactivité au top.
Facilité de s'assurer en ligne même depuis un téléphone portable. 
Vraiment bravo !</t>
  </si>
  <si>
    <t>marie-c-126945</t>
  </si>
  <si>
    <t>Satisfaite des prix et services 
Devis en ligne et souscription clairs et efficaces
Totalement satisfaite de tous les services. 
Les explications sont au top.</t>
  </si>
  <si>
    <t>marc-b-109499</t>
  </si>
  <si>
    <t>Je suis globalement satisfait du service, bien qu'il me semble avoir déjà signé ce document là. La personne au téléphone a été prompt a rappeler et à expliquer les modalités à suivre.</t>
  </si>
  <si>
    <t>12/04/2021</t>
  </si>
  <si>
    <t>molloy-53131</t>
  </si>
  <si>
    <t>Je représente ma mère sous tutelle qui est à la MGEN.
Impossible d'obtenir la moindre chose de leur part. Font des demandes Kafkaiennes pour ne pas à avoir à rembourser 800 euros... Genre : ils demandent une copie de la carte d'identité, j'envoie la seule que j'ai, mon passeport : refus du dossier. Ridicule.</t>
  </si>
  <si>
    <t>09/03/2017</t>
  </si>
  <si>
    <t>matthieu-p-105506</t>
  </si>
  <si>
    <t>Je suis satisfait du service, et de la rapidité de la création du contrat. 
J'apprécie de ne pas à avoir a résilier mon ancien contrat.
Les franchises reste élevés</t>
  </si>
  <si>
    <t>gokhan-100300</t>
  </si>
  <si>
    <t xml:space="preserve">J'ai souscris un contrat mutuelle au plus haut niveau qui est le niveau 6 a 120 EURO jai bien demander a plusieurs reprise si les soins que j'allais faire allait être rembourser en niveau 6 ce que l'on ma confirmé suite a cette souscription jai été faire des soins chez mon dentiste pour plus de 6000 euros  
je retourne chez ma mutuelle pour voir combien il me rembourse = CATASTROPHE 
VU QUE JE SUIS ADHÉRENT DEPUIS MOINS DE UN ANS MON PLAFOND SE LIMITE A 1000 EURO POUR UN AN PENDANT 2 ANS
Fuyez fuyez fuyez 
Il est ecrit nul part que les nouveaux adhérent sont soumis à cette lois 
En attendant je doit régler cette Somme astronomique 
Merci harmonie  
Je vais pas lâcher l'affaire </t>
  </si>
  <si>
    <t>19/11/2020</t>
  </si>
  <si>
    <t>grincheux-85622</t>
  </si>
  <si>
    <t xml:space="preserve">Prix correct mais remboursements minimes les lunettes les spécialistes, il ne réponde jamais aux courriers </t>
  </si>
  <si>
    <t>08/01/2020</t>
  </si>
  <si>
    <t>cha92-89266</t>
  </si>
  <si>
    <t xml:space="preserve">J'ai eu un Accident mars 2019 on est en avril 2020 et soit disant toujours pas le proces verbal par contre on a reçu un joli courrier avec une application d'un bareme 50/50 pour l'accident alors qu'ils ne savent pas si responsable ou pas mais je site du Service client lors de l'appelle "c'est au cas ou " bref lamentable site internet qui ne fonctionne pas service client minable . Une catastrophe </t>
  </si>
  <si>
    <t>29/04/2020</t>
  </si>
  <si>
    <t>theofil-58710</t>
  </si>
  <si>
    <t xml:space="preserve">NE FAITE PAS L'ERREUR DE SOUSCRIRE UN CONTRAT AVEC EUROFIL !
Non client chez eurofil j'ai fait un devis chez eux. Le prix était intéressant mais le harcèlement des conseillers qui me rappelle 10x par jour pour souscrire et les avis des internautes mon vite fait déchanté. Je leurs est dit que je ne souhaitais pas m'assurer chez eux suites aux avis que j'avais vu , et tout de suite le conseiller est devenu hyper agressif pour me finalement me raccrocher au nez.
Ce qui prouve justement que les avis des clients reflètent une simple vérité. </t>
  </si>
  <si>
    <t>09/11/2017</t>
  </si>
  <si>
    <t>199033-15578</t>
  </si>
  <si>
    <t>je suis assuré pour le véhicule, la maison et la santé</t>
  </si>
  <si>
    <t>12/01/2020</t>
  </si>
  <si>
    <t>valerie-92274</t>
  </si>
  <si>
    <t xml:space="preserve">Je trouve que ces un bon rapport qualité prix  . je suis satisfaite de ce qui est proposé cela correspond à mes attentes . Devis rapide et efficace bien clair . </t>
  </si>
  <si>
    <t>bianco-63397</t>
  </si>
  <si>
    <t>Après avoir reçu un devis en bonne et due forme pour une Jaguar SU E pace me voilà en agence pour signer le contrat.
Et là stupéfaction ! refus de l'agence de nous assurer (société) car le prix du véhicule est trop élevé!! ce prix était pourtant connu dès la demande de devis! pourquoi faire perdre tant de temps au client. Le contrat aurait été accepté si je leur confiais assurance de 2 sCI. Et là stupéfaction (nr2!!) pas possible car les immeubles sont en zone inondable comme la quasi totalité de la ville (Avignon). on croit rêver. C'était donc un leurre.
Cet assureur peut faire encore beaucoup de puyb, mais on n'y croit plus.</t>
  </si>
  <si>
    <t>19/04/2018</t>
  </si>
  <si>
    <t>theihan-109456</t>
  </si>
  <si>
    <t>Ils méritent 0 Étoiles !
Pas de réactivité jusqu'au niveau de la direction. 
Manque d'organisation, structure et attributions claire des responsabilités. 
Manque de compétence/professionalisme et manque de sens de responsabilité.
Soit ils ne répondent pas où ils demandent chaque fois d'autres éléments. 
Un vrai calvaire et cela depuis des mois/années afin de liquider un contrat.
À s'abstenir absolument !</t>
  </si>
  <si>
    <t>smassa-60599</t>
  </si>
  <si>
    <t>Les prix ne sont plus du tout alignés avec les pratiques du marché, le prix augmente sans cesse sans justificatif , je vais changer</t>
  </si>
  <si>
    <t>17/01/2018</t>
  </si>
  <si>
    <t>maeva-78283</t>
  </si>
  <si>
    <t>Je déconseille fortement cette compagnie si vous avez un dommage corporel automobile. J'ai eu un accident de la route en décembre 2017 , vu le médecin de la Matmut en décembre 2018. Résultat aucun rapport et il déclare que le préjudice subi coup du lapin  n'est pas en corrélation avec l'accident que j'ai subi. Un van m'a percutée violemment par l'arrière, ma voiture a été à la casse et ces maux de tête ne sont pas à l'origine de l'accident.. Surtout pensez à trouver une meilleure assurance car les dommages corporels c'est important.  Aujourd'hui nous sommes le 8 8 2019, presque deux ans après et je n'ai toujours pas le rapport de leur médecin. C'est vraiment honteux.</t>
  </si>
  <si>
    <t>08/08/2019</t>
  </si>
  <si>
    <t>maxime-r-135436</t>
  </si>
  <si>
    <t xml:space="preserve">Je suis satisfait, rien à redire jusqu'ici concernant les tarifs, la rapidité d'exécution des formalités administratives, je suis chez AMV depuis plusieurs années et n'ai actuellement pas l'intention de changer. </t>
  </si>
  <si>
    <t>noemie-l-114493</t>
  </si>
  <si>
    <t>La Macif ne prend pas soin de ses clients !!!! Mes parents étaient chez eux depuis plus de 40 ans et sont partis ! Aucun cadeaux malgré la fidélité. Mes parents se sont fait crever les pneu de 2 voitures et ont dû payer 2 fois la franchise. Pour obtenir un relevé d'information, pour pouvoir changer d'assurance parce que vous n'en pouvez plus, on vous met des bâtons dans les roues ! Vous appelez le service assistance on vous dit que ça ne peut pas être envoyé par mail, vous allez à l'agence on vous dit l'inverse !!!! Par ailleurs, pour un remboursement sur 350euros de lunettes on vous rembourse 60 euros ! Pour couronner le tout vous demander un remboursement sur un compte mais on vous fait le virement sur un autre et après on vous dit que c'est trop tard ! INADMISSIBLE !!</t>
  </si>
  <si>
    <t>ln-139503</t>
  </si>
  <si>
    <t>Conversation téléphonique avec une correspondante très aimable et à l'écoute. Problème résolu rapidement (connexion au site) et très professionnellement</t>
  </si>
  <si>
    <t>angecaba12-112707</t>
  </si>
  <si>
    <t xml:space="preserve">Cambriolage effraction 
Non remboursée depuis des mois 
Le problème c est aucun dialogue 
Personne n est chargé du dossier 
Ils demandent des justificatifs autres que les factures 
Avis imposition et bulletin de salaire ! 
Une vraie enquête quand il faut indemniser 
Et ensuite le silence complet ! 
Que faire d autre pour avoir l indemnité inscrite sur le contrat ? </t>
  </si>
  <si>
    <t>05/05/2021</t>
  </si>
  <si>
    <t>pascal-p-122967</t>
  </si>
  <si>
    <t xml:space="preserve">il ne devait pas y avoir d augmentation DES ASSURANCES AUTO en 2021 ,  AU TELEPHONE ON m explique que dans ma région ils a plus d accidents ? , les personnes ont moins roulé pendant la pandémie ,ça ne me semble pas justifié, je vais donc voir si je trouve un prix plus intéressant, </t>
  </si>
  <si>
    <t>kalouaz-kecham-l-112007</t>
  </si>
  <si>
    <t xml:space="preserve">Parfait au top !!! Trop contente ! Les conseillers sont super gentille ! Arrangeant ! Tout est très simple ! Sans prise de tête et pas cher en plus !! Surtout si vous êtes jeune conducteur ce n’es pas cher ! </t>
  </si>
  <si>
    <t>morvan-d-139025</t>
  </si>
  <si>
    <t>Très bonne assistance téléphonique. 
Je suis satisfait de ma souscription à un contrat d'Asuurance chez L'Olivier Assurance.
Je recommande.
Merci</t>
  </si>
  <si>
    <t>05/11/2021</t>
  </si>
  <si>
    <t>addar-n-110892</t>
  </si>
  <si>
    <t xml:space="preserve">Je suis satisfait, niveau prix me convient, espace client facile d'utilisation, pour les contacts j'ai pas eu de soucis pour savoir si tout va bien, voilà </t>
  </si>
  <si>
    <t>nathalie-o-132464</t>
  </si>
  <si>
    <t xml:space="preserve">Je suis satisfait 
Le prix est correct 
Les conseillers sont agréables et professionnels 
Je paye moins chers que j'ai mon ancien assurance en plus il ont un application </t>
  </si>
  <si>
    <t>bonnet-a-116610</t>
  </si>
  <si>
    <t>Tres bien. Bonne explication, rapport qualité prix top !! et bonne compréhension. 
Je pense revenir vers vous pour une autre assurance voir plusieurs.</t>
  </si>
  <si>
    <t>manuel-d-131520</t>
  </si>
  <si>
    <t>Je suis très satisfait des prestations et du prix comparé à l'assurance actuelle qui était relativement chère .Je vais voir par la suite si je vais assurer d'autres véhicules chez direct assurance.</t>
  </si>
  <si>
    <t>antho-109686</t>
  </si>
  <si>
    <t>Central téléphonique: il y aura TOUJOURS quelqu'un pour vous répondre qui plus est quelqu'un de compétent, et audible.
Déclaration de sinistre: TOUJOURS rapide et disponible (2 accidents).
Site internet: Clair, fonctionnel mis à jours très souvent.
Prix général: Attractif.
Assistance 0 kilomètre: Utilisé 3 fois toujours satisfait et vraiment pas chère pour la tranquillité et l'utilité que celle-ci apporte.
En 13 ans d'assurance chez AMV je n'ai JAMAIS eu de mauvaise surprise je recommande fortement cette assurance à tout motard.
Rien ne sert d'ouvrir, il faut partir à point.     V</t>
  </si>
  <si>
    <t>david-83000-132739</t>
  </si>
  <si>
    <t>Ma mère a eu un dégâts des eaux dû à des fuites autour des cheminées du bâtiments, 3 pièces abimées au niveau des plafonds et des murs. Une société a fait les réparations sur le toit et depuis malgré les lettres recommandées et la prise de contact avec le siège à Paris et l'agence Lassault à Toulon.Le prix en plus 30€ par mois pour ne pas pris en charge en cas de dégats!!!!a fuire</t>
  </si>
  <si>
    <t>guillaume31-75567</t>
  </si>
  <si>
    <t>Bénéficiant d'une mutuelle santé par mon employeur, j'aurais aimé que celui-ci ne choisisse pas la mutuelle de MERCER qui a semble-t-il complètement oublié ce qu'est un client. Des frais dentaires d'Octobre 2018 n'ont toujours pas été remboursés. LA PIRE MUTUELLE de France.</t>
  </si>
  <si>
    <t>holmenschlager-t-117980</t>
  </si>
  <si>
    <t>je suis très satisfait du service client, rapide, sympa et serviable, je suis satisfait des prix bien que ça pourrait toujours être plus abordable, ravi de faire partie de cette assurance que je recommanderai</t>
  </si>
  <si>
    <t>cecilia-a-131434</t>
  </si>
  <si>
    <t xml:space="preserve">Rapide et efficace. Prix très attractifs. Le paiement s'est effectué rapidement. J'ai pu m'assurer à 23h30 pour le jour même. Je recommande cette assurance. </t>
  </si>
  <si>
    <t>05/09/2021</t>
  </si>
  <si>
    <t>marine-69326</t>
  </si>
  <si>
    <t>Refus de résiliation contrat, au motif que non envoyé en RAR, à l'heure d'internet, méthode curieuse et, obligée de renouveler contrat contre mon gré. J'en prends bien note pour 2020</t>
  </si>
  <si>
    <t>11/12/2018</t>
  </si>
  <si>
    <t>lilou13-91991</t>
  </si>
  <si>
    <t xml:space="preserve">Devis simple et rapide, références véhicule retrouvées facilement. Bonne garantie franchises correctes, extensions proposée très utiles maintenant à voir si c’est une bonne assurance en cas de sinistre </t>
  </si>
  <si>
    <t>julie83000-50421</t>
  </si>
  <si>
    <t xml:space="preserve">Cliente depuis 10 ans à peu près, se faire résilier pour du bris de glace, je suis très déçu de cet assureur qui ne tient pas compte de mon passif sans aucun accident responsable </t>
  </si>
  <si>
    <t>18/12/2016</t>
  </si>
  <si>
    <t>pauline-131024</t>
  </si>
  <si>
    <t xml:space="preserve">J'ai souscrit une complémentaire santé au nom de ma fille en janvier 2021 alors qu'elle était au chômage. Elle a retrouvé un emploi au 1er février 2021 et a dû cotiser à la mutuelle obligatoire de son employeur et a envoyé un courrier accompagné de l'attestation le 5 mars 2021. April soutient ne pas avoir reçu ce courrier. Les prélèvements ont continué sur mon compte bancaire, j'ai contacté April qui vient de me confirmer qu'il n'y a pas trace de mes appels... J'ai demandé à ma banque de cesser de payer. A ce jour April me réclame 90€, cotisations dues (mai et juin 2021...) et frais de recouvrement. Société de recouvrement et huissier. Je viens d'appeler pour trouver une éventuelle médiation, cela ne sert à rien. Lamentable traitement de l'adhérent, je déconseille vivement cette mutuelle. Pour adhérer tout est simple et agréable mais au moindre souci ou désaccord cela n'est plus du tout le cas. J'envoie ce jour des feuilles de soins dentaires de fin mai 2021, à suivre </t>
  </si>
  <si>
    <t>demanche-l-115612</t>
  </si>
  <si>
    <t>mon contrat a été résilié parce qu'un document ne vous convenait pas sans être avertie malgré les multiples connexions à mon espace perso. Résultat j'ai du souscrire un nouveau contrat qui m'a couté une majoration exorbitante parce que mon véhicule n'a plus été assuré pendant 2 jours.... Je n'ai même pas été informée de ce problème de document que j'aurais pu solutionner si vous vous étiez donné la peine de me contacter</t>
  </si>
  <si>
    <t>emma91-89362</t>
  </si>
  <si>
    <t xml:space="preserve">assurance a fuir 10 ans chez eux  a cause du civid 19 ils ne veulent rien donner je suis artisan j ai eu une commerciale désagréable qui ma demander de me taire une certaine personne arrogante et méprisante envers les clients honte a eux </t>
  </si>
  <si>
    <t>04/05/2020</t>
  </si>
  <si>
    <t>johanna-59629</t>
  </si>
  <si>
    <t>Ne surtout pas y aller . Même si c est un peu moins chers que d autres assurances.  En cas de problème le service client est incompétent. Cela fait plus de 2 mois que j attend un remboursement, j ai déjà eu plus de 10 interlocuteurs différents et le problème n est toujours pas réglé. À fuir absolument .</t>
  </si>
  <si>
    <t>burg-s-111074</t>
  </si>
  <si>
    <t>Ayant fait le tour de plusieurs assurance, L'olivier assurance est la moins cher du marché pour un jeune conducteur ! entièrement satisfait, je recommande !</t>
  </si>
  <si>
    <t>coccinelledu13-77202</t>
  </si>
  <si>
    <t>publicité mensongère A FUIR 
Publicité 50 % Bonus à vie (même en cas responsabilité)-problème résiliée aux 3 ème sinistres et tu te retrouves avec 22 % de bonus (cherchez l'erreur)scandaleux  A FUIR (après 46 ans de permis sans sinistre et 50 %  de bonus)</t>
  </si>
  <si>
    <t>28/06/2019</t>
  </si>
  <si>
    <t>corydoras-86271</t>
  </si>
  <si>
    <t xml:space="preserve">Mutuelle obligatoire, hélas, via mon employeur !
Ils ont radié un de mes fils' sans aucun courrier préalable ...
Courrier recommandé, mail, sans réponse ...
Impossible de les avoir au téléphone ...on vous raccroche carrément au nez ! 
Leurs agences en ville ferment les unes après les autres donc pas de proximité !
A fuir !!!!! </t>
  </si>
  <si>
    <t>24/01/2020</t>
  </si>
  <si>
    <t>pascal-k-105671</t>
  </si>
  <si>
    <t xml:space="preserve">je suis ravi de vos services et j'ai rien a redire  
Je recommanderais votre site
Je suis très satisfait de mon contrat au près de vos services , les prix attractif </t>
  </si>
  <si>
    <t>06/03/2021</t>
  </si>
  <si>
    <t>roblino-59326</t>
  </si>
  <si>
    <t>Je ne conseille pas pacifica, quand vous voulez changer d'assurance après 1ans, il vous prélève un gros montant sans vous prévenir et obliger de se battre pour recalculer avec eux. C'est honteux !</t>
  </si>
  <si>
    <t>02/12/2017</t>
  </si>
  <si>
    <t>robichon-d-123169</t>
  </si>
  <si>
    <t>Rapide , moins cher que la concurence
Le service en ligne est trés facile à la prise en mains
j'attend de voir par la suite afin de peut etre passer chez vous d'autres assurance</t>
  </si>
  <si>
    <t>12/07/2021</t>
  </si>
  <si>
    <t>benedicte-l-114489</t>
  </si>
  <si>
    <t xml:space="preserve">Satisfaite de l'appel, des informations communiquées, de la rapidité et facilité de la mise en place du contrat. Conseillère aimable et agréable, patiente . </t>
  </si>
  <si>
    <t>nat-55587</t>
  </si>
  <si>
    <t>Fortement incité par l'expert de mon assurance,en décembre 2017, à signer un protocole d'accord avec l'entreprise responsable de dégâts, chez moi, l'été 2016. Depuis l'entreprise ne répond pas aux mails, recommandés AR, la secrétaire fait barrage téléphonique. Ayant sollicité l'expert, elle me recontacte, après 3 relances: me conseillant de voir avec une assistance juridique. C'est scandaleux, c'est elle la responsable de m'avoir conduit à accepter ce protocole. Mon assureur et son expert sont là pour me soutenir, hors je suis tout simplement lâchée.
Comment se faire aider.
Autre situation où cette assurance à été lamentable:
Cambrioles en aout, porte fenêtre et volet remplacés en mars.Aucune réactivité, assuré livré à lui-même.</t>
  </si>
  <si>
    <t>23/06/2017</t>
  </si>
  <si>
    <t>camille-l-108583</t>
  </si>
  <si>
    <t xml:space="preserve">Je paye une assurance tous risque pour au final payer une franchise plus chère que le prix des réparations elle même. Ex : 288 euros "minimum" pour remplacer une vitre cassée alors que cela ne coûte que 100 euros chez un garagiste. </t>
  </si>
  <si>
    <t>cat35-102867</t>
  </si>
  <si>
    <t>Je viens de souscrire à la Mutuelle santé MGP depuis ce début 2021, je n'ai pas beaucoup de recul mais je suis déjà contente de leur disponibilité face à un problème que l'on peut rencontrer. A voir dans le temps.</t>
  </si>
  <si>
    <t>19/01/2021</t>
  </si>
  <si>
    <t>mamilou-104114</t>
  </si>
  <si>
    <t xml:space="preserve">Je suis effarée de lire les divers commentaires concernant la MGEN !!!!!. . Au niveau des renseignements, j’ ai toujours eu  une personne prête à répondre ou à me mettre    en rapport avec un collègue  . Délai d’ attente au téléphone  très bref  ......Remboursement des soins ultra rapide pour moi . Néanmoins,  pour mon mari  qui est affilié  , c’ est plus long car le dossier transite  d’ abord dans les bureaux de la Sécurité Sociale .. !!!!!! 
Neanmoins , GROS POINT NEGATIF .........LES TARIFS !!!! J’ estime qu’ils sont beaucoup beaucoup trop ELEVES !!!!!!!!!
Et la concurrence pratique des offres bien alléchantes ...... 
De ce fait je ne pense pas  rester à la MGEN .  Dommage après 50 années de cotisations ......... 
</t>
  </si>
  <si>
    <t>fato-57112</t>
  </si>
  <si>
    <t xml:space="preserve">Nullissime ! un manque de professionnalisme hallucinant ! on se croirait chez pole emploi, personne ne sait de quoi il parle au bout du fil, un coup le dossier est complet un coup il manque une pièce . L'espace personnel sur internet totalement obsolète, liens ne fonctionnent pas ! vous appellez pour un renseignement 20 mn d'attente puis ca raccroche car pas de conseillés dispos ! Et le bouquet ? on m'a rajouté un pack à 50 euros que je n'avais pas demandé !! et cerise sur le gateau : mise en demeure et résiliation si je ne payais pas ! sauf que je n'avais rien demandé et en plus je ne recevais pas les courriers car l'adresse était mal renseigné sur mon dossier, oui ils n'avaient mentionné que le nom de la ville sur mon adresse, ni rue, ni numéro, bon courage monsieur le facteur ! Non cette assurance est une énorme farce, faite par des amateurs qui prennent votre argent et partent en courant avec . Ne faites pas la même erreur que nous allez n'importe ou mais pas ici. </t>
  </si>
  <si>
    <t>05/09/2017</t>
  </si>
  <si>
    <t>ghis15-98825</t>
  </si>
  <si>
    <t>Trés mauvaise assurance qui lors d'un sinistre mene un combat retardateur pour payer le plus tard possible ou si possible ne pas payer.
Mon épouse est décédée le 30 avril d'un cancer des poumonts.  Depuis cette date cette assurance me demande de nouveau justificatifs aprés chaque nouvel envoi des précédents demandés.
Maintenant au prétexte que ma femme fumait, il m'est demandé un "certificat médical des périodes de consommation tabagique". Une demande suffisamment floue pour qu'ensuite  de nouvelles précisions soit exigées. Si cet assureur ne souhaite plus assurer les fumeurs qu'il le dise clairement dans sa publicité ce qui lui ferait je n'en doute pas perdre une grande partie de sa clientèle. En aucun cas lors de la souscription cette précision n'as été évoqué par l'assureur.</t>
  </si>
  <si>
    <t>Afi Esca</t>
  </si>
  <si>
    <t>16/10/2020</t>
  </si>
  <si>
    <t>krl-52298</t>
  </si>
  <si>
    <t xml:space="preserve">Je n'ai aucun contrat . Ils ont mit plus de 3 mois pour daigner m'enregistrer malgré 3 dossiers complets par courrier recommandés et à ce jour on me prélevé des montants ahurissants sans que j'en sache quoi que ce soit </t>
  </si>
  <si>
    <t>10/02/2017</t>
  </si>
  <si>
    <t>messaabi-d-122187</t>
  </si>
  <si>
    <t xml:space="preserve">Service excellent personnel très cool 
Merci l'olivier assurance 
Prix me convient très bien 
Je suis content d'être parmi vos assurés 
Merci l'olivier assurance </t>
  </si>
  <si>
    <t>billiard-e-114805</t>
  </si>
  <si>
    <t>Je suis très satisfaite des informations données par mon interlocutrice qui était claire et précise dans ses explications, la prise de contact a été très rapide.</t>
  </si>
  <si>
    <t>elyes-68013</t>
  </si>
  <si>
    <t>Service des sinistres injoignable (horaires de 14h à 17h)!!!!, des jours et des jours de repondeur téléphonique pour être contacté, sous prétexte que GMF traite d'autres catastrophes naturelles, mais laisse des clients sinistrés en catastrophe ... !!!</t>
  </si>
  <si>
    <t>24/10/2018</t>
  </si>
  <si>
    <t>pierre-53310</t>
  </si>
  <si>
    <t>Très mécontent car ma voiture a été acceptée lors de ma demande en janvier 2017 (et payé) pour démarrage 23.02.2017, pas de problème j'ai eu les papiers et le 15.03.2017 on me savoir par mail que mon contrat est annuler car ma voiture présente trop de risque de vol ??? c'était déjà la même voiture au mois de janvier !!! j'ai également assuré ma deuxième voiture... si j'avais su.
Faites vraiment attention, car je remarque qu'il y a un paquet d'incompétents ...mais très aimables au téléphone...vraiment pas sérieux.</t>
  </si>
  <si>
    <t>16/03/2017</t>
  </si>
  <si>
    <t>guillaume-72263</t>
  </si>
  <si>
    <t>Bon conseillés,super réactif l'or d'un sinistre ou même juste pour posé des questions,après niveau prix très compétitifs, près du véhicule,garage agréé ,puis votre conseillé vous accompagne toute au l'on de votre dossier en cours litige avec un tiers et prend de vos nouvelle quelque semaine après la clôture de votre litige et vous demande si le garage ou le carrossier qui vous on proposé vous a convenu</t>
  </si>
  <si>
    <t>18/03/2019</t>
  </si>
  <si>
    <t>gaulois-69865</t>
  </si>
  <si>
    <t>Si vous n'avez besoin de rien adressez-vous a Groupama.Pour le reste, on vous répond NON d'entrée. Succession d'erreurs, oublis, perte de documents, mauvaise foi.... réponses anonymes.</t>
  </si>
  <si>
    <t>03/01/2019</t>
  </si>
  <si>
    <t>fred-ja-ri44-89095</t>
  </si>
  <si>
    <t>Bien uniquement la première année. Dommage.</t>
  </si>
  <si>
    <t>23/04/2020</t>
  </si>
  <si>
    <t>camara-n-117709</t>
  </si>
  <si>
    <t>Très satisfaite bon accueil téléphonique et très agréable à l'écoute des différentes demandes  bon conseil pour toutes demandes.d3
s de devis voitures ou habitation  ke recommandé.</t>
  </si>
  <si>
    <t>21/06/2021</t>
  </si>
  <si>
    <t>vilon-l-122841</t>
  </si>
  <si>
    <t xml:space="preserve">Des tarifs intéressants et qui donnent accès à un service clientèle de qualité. J'ai toujours eu contact avec des conseillers aimables et à l'écoute. </t>
  </si>
  <si>
    <t>marc-87036</t>
  </si>
  <si>
    <t>Nouveau client chez Santiane, les garanties initiales proposées n'étaient pas suffisantes à mon niveau . Santiane a augmenté le niveau sans difficulté. Personne compétente au téléphone</t>
  </si>
  <si>
    <t>12/02/2020</t>
  </si>
  <si>
    <t>kaninou09500-78322</t>
  </si>
  <si>
    <t>Très content de ma nouvelle assurance auto chez l ' Olivier.</t>
  </si>
  <si>
    <t>09/08/2019</t>
  </si>
  <si>
    <t>phil-g-124797</t>
  </si>
  <si>
    <t>Pas cher mais Zero service, impossible de parler a un humain, rien n'est garanti, vous tombez en panne, la seule chose qu'ils savent dire c'est "demerdez vous". Impossible de changer de voiture, bref a fuir. Bla...bla....</t>
  </si>
  <si>
    <t>26/07/2021</t>
  </si>
  <si>
    <t>nad-89492</t>
  </si>
  <si>
    <t xml:space="preserve"> voilà 3 mois que je suis sortie de l hopital et que j attends un remboursement de 800e !! pas de mails ps d appels !  des menteurs dossier transmis a mon avocate !je ne lacherai rien  ils se moque demoi</t>
  </si>
  <si>
    <t>09/05/2020</t>
  </si>
  <si>
    <t>brume-oceane-100447</t>
  </si>
  <si>
    <t>Je trouve inadmissible que l on m 'impute une franchise de 145 euros dans un sinistre que je viens de déclarer.Mon store et la vitre de ma cuisine ont été démolis par les pompiers qui n 'ont pas eu d'autre choix pour me secourir, étant donné que ma porte d'entrée était fermée à double tour; j 'étais dans l 'incapacité absolue d'aller ouvrir , étant victimes de vertiges rotatoires importants et prise de nausées. Même si cette franchise est contractuelle, dans ce cas de figure, je considère qu'il  y a matière à la contester et à demander à ce qu'elle ne soit pas appliquée! Ce n 'est pas en agissant de la sorte que vous fidéliserez vos clients</t>
  </si>
  <si>
    <t>22/11/2020</t>
  </si>
  <si>
    <t>abdallah-o-128150</t>
  </si>
  <si>
    <t>Je suis nouveau chez direct assurance 
Je verra le service de cette assurance par la suite ! 
Pour les prix c'est la concurrence ouvert ... Et le client peut jouer de cette faveur avec année une bonne chose pour la personne .</t>
  </si>
  <si>
    <t>isanka-59688</t>
  </si>
  <si>
    <t>Ai demandé un devis pour lequel ils m'ont demandé mes coordonnées bancaires. Je n'ai jamais accepté leur devis, mais malgré cela, à ma grande surprise, j'ai quand même reçu un avis de contrat et une carte de mutuelle de Malakoff Médéric. Cela s'appelle de la vente forcée et je compte bien porter plainte s'ils me prélèvent quoi que ce soit.</t>
  </si>
  <si>
    <t>14/12/2017</t>
  </si>
  <si>
    <t>delphine-m-117699</t>
  </si>
  <si>
    <t>prix attractifs, bon accompagnement par les conseillers, interface simple a utiliser
apres a voir a l'usage si un jour on a besoin de notre assurance de pret</t>
  </si>
  <si>
    <t>noresset--98416</t>
  </si>
  <si>
    <t xml:space="preserve">Je vous conseille de fuir cette assurance. Étant plus avec ma femme est ayant eu une annulation de permis de conduite donc plus possible d’être assuré chez directe assurance donc résiliation par contre madame qui habite plus du tout à la même adresse que moi est ayant aucun problème assurance ou routier on lui résilie son contrat d’assurance sans aucune raison valable étant donner que on habite à plus de 60km de l’un est l’autre donc ayant la possibilité d’être seul conducteur sur sa voiture sans conducteur secondaire. </t>
  </si>
  <si>
    <t>06/10/2020</t>
  </si>
  <si>
    <t>de-la-concepcion-j-126781</t>
  </si>
  <si>
    <t xml:space="preserve">Très bien, les prix sont excellents la conseillère a très bien renseigné mes questions. Je n'ai pas trouvé de meilleure assurance qualité, services et contenu du contrat assurance </t>
  </si>
  <si>
    <t>abdell-74741</t>
  </si>
  <si>
    <t>Ils cherchent la petite bête pour invalider le contrat!
Ils considèrent que vendre une voiture et acheter une autre, comme interruption d'assurance durant les deux dernières années.
A 4 jours près j'ai faillis me retrouver sans assurance.
A éviter.</t>
  </si>
  <si>
    <t>04/04/2019</t>
  </si>
  <si>
    <t>joao-36636</t>
  </si>
  <si>
    <t>Plus de 6 mois que j'ai vendu mon scooter et j'attends toujours de leur part qu'ils me rembourse les mensualités qu'ils ont prélevé en trop je les ai appelé aucune réponse suite à cela ils m'ont envoyé un mail me disant qu'il fallait que je leur envoie l'acte de vente ainsi que le coupon vert d'assurance,  chose que j'ai fait et depuis aucune nouvelle de leur part, silence radio, le pire dans cette histoire c'est qui me déduit plus de 100 € pour frais de dossier car j'ai vendu mon véhicule avant une année complète d'assurance chez eux, une honte  je compte bien faire connaître cette histoire et mon opinion ainsi que mon expérience avec cette assurance
Moi qui voulait assurer mon auto chez eux....arg</t>
  </si>
  <si>
    <t>AssurOnline</t>
  </si>
  <si>
    <t>24/10/2017</t>
  </si>
  <si>
    <t>greg-98575</t>
  </si>
  <si>
    <t>Assurance sui ne fait aucun cadeaux aux bons conducteurs. La Macif investit 30 millions d’euros par an dans un voilier en carbone mais rien pour ses assurés.</t>
  </si>
  <si>
    <t>paul-86791</t>
  </si>
  <si>
    <t>Maaf m a mis dehors! J y étais assuré depuis 1999. mais un jour ils m ont gentiment appelé pour prévenir qu avec mes trois dégâts des eaux je leur couterais trop cher. Je precise que les dégâts n'étais pas causé par moi mais j en étais le victime. On allait donc résilier mon contrat. Et ils l ont fait. Le coup de fil se voulait confidentiel m a ont dit. Pour que je puisse chercher une nouvelle assurance avant la réception de l écrit. Trop gentil haha. 
Après j ai souscrit chez eGan. Qui par la suite ont oublié de m avertir qu ils allaient résilier tout leur contrat souscrit en ligne. Mais ceci sera le sujet d un autre post. Les assureurs me désespèrent. Et ces deux là je les deconseille vivement et passionnément .</t>
  </si>
  <si>
    <t>06/02/2020</t>
  </si>
  <si>
    <t>fermond-a-107295</t>
  </si>
  <si>
    <t>Service pratique , simple et efficace. L'adaptation au site est clair, et très intuitif.
Dans l'attente des documents pour impression à venir.
Cordialement Mr Fermond Aurelien</t>
  </si>
  <si>
    <t>pm-95955</t>
  </si>
  <si>
    <t xml:space="preserve">On pense plus souvent à critiquer quand les choses ne vont pas qu'à exprimer sa satisfaction quand tout va bien. En ce qui me concerne, et après plus de 10 ans chez AMV 2 roues, je suis plus que satisfaite.  Je me suis toujours sentie soutenue en tout point en cas de litige et même lorsque j'ai pu me tromper, ils sont toujours restés patients, compréhensifs, joignables et complètement professionnels. Ça devient rare aujourd'hui malheureusement donc il me semble important de le souligner. </t>
  </si>
  <si>
    <t>05/08/2020</t>
  </si>
  <si>
    <t>hbrioche-68652</t>
  </si>
  <si>
    <t>Meilleur tarif pour mon cas avec la possibilité d'ajuster les options et franchises!</t>
  </si>
  <si>
    <t>15/11/2018</t>
  </si>
  <si>
    <t>marie-helene-h-113955</t>
  </si>
  <si>
    <t xml:space="preserve">Très satisfaite du conseil, de l'accompagnement dans les démarches, de la sympathie et de l'écoute des conseillers...Disponibilité et réactivité également au rendez-vous. Assurance de prêt dans les moins chères du marché. A recommander ! </t>
  </si>
  <si>
    <t>17/05/2021</t>
  </si>
  <si>
    <t>fadi600-96613</t>
  </si>
  <si>
    <t xml:space="preserve">très désagréable au téléphone, manque de professionnalisme, et en plus ils encaisse n'importe quelle chèque leur tombe sous la mains,un chèque adressé par erreur et pourtant a l'ordre d'un autre société, est encaissé, le seul solution est une plainte pour vol de chèque et prochainement une plainte au tribunal pour en fin être rembourser.
 </t>
  </si>
  <si>
    <t>24/08/2020</t>
  </si>
  <si>
    <t>ella-60478</t>
  </si>
  <si>
    <t>Je suis avec cette mutuelle car imposée par mon employeur ! Je suis handicapé en fauteuil roulant.Fin 2016, devant mon handicap grandissant j'ai dû m'informer sur les fauteuils motorisés.J'ai donc fait faire plusieurs devis que j'ai envoyés à la MGEN. Cela s'est fait en octobre 2016! En novembre j'ai reçu un courrier m'indiquant les remboursements de la MGEN et mon reste à charge. Ainsi j'ai fait mon choix et j'ai pu commander le fauteuil adéquat avec mon handicap et mes finances!  J'ai pris possession de ce fauteuil en avril 2017 et depuis.....c'est la GALÈRE ! La part sécurité sociale a été remboursée mais pour ce qui est de la part mutuelle c'est toujours à ce jour en attente ( nous sommes le 16 janvier 2018). En août 2017 soit 4 mois après l'achat et de nombreux mails de relances, une personne m'indique que je dois remplir un dossier pour soins coûteux ! Je demande des explications et la réponse est qu'un fauteuil coûte trop cher et que donc il faut passer par cette commission de soins coûteux . Je remplis le dossier, fournis différents documents et j'attends.......j'attends....En décembre, je rencontre une conseillère sur mon lieu de travail qui me promet une réponse rapide!! Une semaine,deux,trois et rien!!?? J'envoie des mails, pas de reponse! Vu que les vacances de Noël sont là j'attends alors! Et, le 11 janvier 2018, la même conseillère me demande de nouveaux documents, me donne de nouvelles explications !!!!!???? Je m'agace alors ( je suis patient depuis avril 2017, vous en conviendrez!). Je re re re...demande des explications sur le pourquoi de ces nouveaux documents et la conseillère me répond"c'est la Loi!" Je demande alors quel texte de Loi,selon quel code et que l'on m'envoie de texte! Changement de tactique de la part de la conseillère :" euh ce n'est pas un texte de Loi mais une circulaire interne!" Je demande la aussi une copie du texte!  Réponse: " euh en fait c!'est une demande orale de mes supérieurs"!!!!! On se fout carrément de moi! J'en ai ras le bol! Je suis à bout, j'y pense tous les jours! Comme si être handicapé n'était pas déjà assez compliqué ! Je m'en serais passé moi de ce fauteuil!! J'envisage d'aller plus loin alors dans mes démarches... Ne prenez pas la MGEN que si vous avez besoin de rien!!</t>
  </si>
  <si>
    <t>16/01/2018</t>
  </si>
  <si>
    <t>kesant-s-111607</t>
  </si>
  <si>
    <t xml:space="preserve">Je suis satisfait du prix et de la qualité du service . Les prix sont tres correctement et pas chère . Je recommenderai a mes proche pour souscrire chez vous </t>
  </si>
  <si>
    <t>25/04/2021</t>
  </si>
  <si>
    <t>kerdany-92252</t>
  </si>
  <si>
    <t>Je suis partie 4 mois à l'étranger et mon échéance étant passée de 3 mois, je me suis retrouvée sans assurance, car PACIFICA n'a pas voulu me réassurer !!!!!!!!!!!!!
Si bien que ma voiture est actuellement sans assurance !!!!!!!!!!!!! alors que j'étais chez Pacifica depuis plus de 10 ans.
Quand je reviens en France (coincée à l'étranger par le Covid), j'ai le choix entre rouler sans être assurée ou me faire assurer par une nouvelle compagnie au prix fort.</t>
  </si>
  <si>
    <t>25/12/2020</t>
  </si>
  <si>
    <t>flogatey-106581</t>
  </si>
  <si>
    <t xml:space="preserve">Déçue après un accident domestique.
Les deux gestionnaires n'ont pas fait leur boulot, l'expert accordé 1 mois d'aide humaine et lorsque je demande l'indemnisation  0
Alors je faire des devis ailleurs </t>
  </si>
  <si>
    <t>dave-102654</t>
  </si>
  <si>
    <t>Très mauvaise sur la durée! Tant que tu leur donnes l'argent tout les mois et que tu n'as aucun problème, ça va bien.
Chez eux depuis plus de 18 ans, j'ai payé et payé toutes ces années. Il se fait que j'ai eu quelques soucis avec mon logement (des simples , petits et ridicules dégâts des eaux) ces derniers temps ( 2 ou 3 sur les 5 dernières années ) et voilà ils m'envoient une lettre recommandée me disant que j'ai trop fait jouer l'assurance et donc ils résilient mon contrat! Merci à l'état de permettre à ces entreprises de se moquer des gens de cette façon.</t>
  </si>
  <si>
    <t>schweitzer-a-138703</t>
  </si>
  <si>
    <t>Mauvaise expérience suite a un "bug informatique" de mon dossier, dans l'obligation de refaire un nouveau contrat 6 mois après la souscription ( plus facturation des frais de dossier) alors que je l'ai appelais pour déclarer un sinistre. du coup majoration immédiate de ma cotisation.
j'ai passé 2 x deux heures a être mis en attente puis transféré entre services pour en arriver la..</t>
  </si>
  <si>
    <t>alexandre-w-132828</t>
  </si>
  <si>
    <t xml:space="preserve">Les prix sont correct il y a pas mal de choix concernant les différentes assurances
Le site est très simple d'utilisation, pas besoin de chercher, je recommande
</t>
  </si>
  <si>
    <t>cubaone-126219</t>
  </si>
  <si>
    <t>ssuré auto et habitation depuis 30 ans dont 17 ans chez Maaf, JAMAIS un accident ni un sinistre ni en auto ni en habitation. Mes deux enfants également assurés en auto sans sinistre. Environ 200 à 2500€ de primes annuelles en fonction des véhicules.
Suite à l'achat d'une maison ancienne fin 2019, j'ai subi deux dégats des eaux dont un a nécessité le passage d'un expert. Coût total pris en charge par la Maaf, 2800€ pour réparation( soit pas un tiers de se que j'ai réellement payé).
RESULTAT: Le directeur de la maaf me laisse un message en juillet, sur ma messagerie de portable, pour m'annoncer que je suis résilié car trop de sinistre!!!!
INCROYABLE et absolument inadmissible quand au fond et surtout à la forme! J'ai écrit au service résiliation qui, trois semaines après ne m'a toujours pas recontacté.
Arriver à la cinquantaine, avoir toujours été bon payeur et sans problèmes, au premier besoin la Maaf se désengage! Publicité mensongère, la Maaf ne sera jamais plus se que je préfère! Je saisi le médiateur.
Date de l'expérience: 12 juillet 2021</t>
  </si>
  <si>
    <t>03/08/2021</t>
  </si>
  <si>
    <t>iouky-52828</t>
  </si>
  <si>
    <t>Detourne les lois en vigueur sur la résiliation Augmente ces tarifs de + de 15%.Fais souscrire des contrats collectifs en faisant adhérés à une association inexistantes sans statut pour détourner la loi Chatel Honteux car immpossibilité de résilier et la justice tolere cela!!!!</t>
  </si>
  <si>
    <t>27/02/2017</t>
  </si>
  <si>
    <t>david-f-122662</t>
  </si>
  <si>
    <t>Simple pratique et bon prix. Tout ce qu'on attend d'une assurance en ligne. Plusieurs personnes me l'on recommandé et pour l'instant les premières impressions sont bonnes</t>
  </si>
  <si>
    <t>patdudu-89761</t>
  </si>
  <si>
    <t>La Macif refuse un geste commercial en raison du confinement.
J'encourage tous les assurés MACIF a y penser au renouvellement du contrat, ce qui est la seule possibilité de montrer son mécontentement, un grand nombre d'assureur font un geste</t>
  </si>
  <si>
    <t>noel-a-134685</t>
  </si>
  <si>
    <t>Un prix très attractif surtout pour jeune permis! Merci au monsieur de m'avoir renseigné sur toutes mes questions. Personnel a disposition de nos besoin</t>
  </si>
  <si>
    <t>petitvieux-113800</t>
  </si>
  <si>
    <t xml:space="preserve">eurofil fait des promotions pour attirer de nouveaux clients mais ne baisse pas les cotisations des clients de longue durée j'ai fait l'expérience elles me répondent que ce ne sont pas les memes contrats alors on ai proche de publicité mensongère </t>
  </si>
  <si>
    <t>15/05/2021</t>
  </si>
  <si>
    <t>petit-conducteur-104911</t>
  </si>
  <si>
    <t xml:space="preserve">Hausse de ma prime de 21% alors que je n'ai pas eu d'accident et que mon bonus s'est amélioré de 5% cette année.
Après demande d'explications, on me dit que les tarifs sont libres et que le cout des réparations a augmenté l'an dernier, qu'il y'a beaucoup d'accidents dans ma région (ah ??? le confinement aurait-il généré plus d'accidents malgré la forte baisse du trafic ?), beaucoup d'actes malveillants, etc, etc... Ils prennent vraiment leurs clients pour des naïfs.
Pour information, la plupart des assureurs n'ont pas augmenté leurs tarifs cette année.
Après réclamation, ils m'ont accordé....une remise. A cette condition, j'ai donc renouvelé mon contrat.
Il est donc recommandé de bien vérifier le montant de sa prime chaque année et de faire une réclamation si nécessaire.
Autre opacité: le taux de bonus/malus n'est pas apparent dans l'espace personnel. Peut-être pour dissuader de faire faire des devis ailleurs ?
</t>
  </si>
  <si>
    <t>28/02/2021</t>
  </si>
  <si>
    <t>mazzoni-o-112169</t>
  </si>
  <si>
    <t>Pour l'instant très satisfaite du prix et conseillerer très agreable! A suivre dans le temps pour savoir si tous se passe bien :) 
Merci L'olivier pour votre aide</t>
  </si>
  <si>
    <t>robert-63461</t>
  </si>
  <si>
    <t>bonjour je viens de changer d'assurance aucun pour direct assurance dont les tarifs m'ont parrus acceptables....je signe le devis,on me demande de règler ,ont m'envoie une attestation valable 1 mois,un conseiller me contacte et me dit qu'il allait faire le necessaire auprés de mon assureur actuel pour la résiliation ..quelques jours passent ,et je reçois un mail de "direct energie" m'indiquant que mon dossier n'est pas complet et que j'ai jusqu'a juillet 2018 pour fournir les pièces manquantes,sans celà,je ne serai pas couvert...mon assureur actuel ne me répond pas il s'agit de GENERALI,comment récupèrer mon versement a "direct energie"???
j'ai eu tord,j'ai règler trop vite ! attention!</t>
  </si>
  <si>
    <t>13/05/2018</t>
  </si>
  <si>
    <t>didier-n-134698</t>
  </si>
  <si>
    <t>Simple et pratique. Avis très contraignant avec 150 caractères.
Pas grand chose d'autre à ajouter. Sauf de me prévenir immédiatement lors d'un changement de tarif.</t>
  </si>
  <si>
    <t>magdelaine-v-108175</t>
  </si>
  <si>
    <t>Plusieurs aller/retour pour obtenir les bons documents avec le nom de ma fille, propriétaire du véhicule et conductrice principale : mon nom sur tous les documents.</t>
  </si>
  <si>
    <t>mouloud-y-109403</t>
  </si>
  <si>
    <t xml:space="preserve">je suis satisfait du service, simple et rapide les prix son correcte ils me conviennent, je conseillerai a mes ami es April assurance.
je vous remercie, cordialement Mr Yahiaoui. </t>
  </si>
  <si>
    <t>carneiro-d-137142</t>
  </si>
  <si>
    <t>Je suis très satisfait de votre service, rapidité, clair et professionnel.
Merci de continuer dans cette direction ou le client est important et au centre de vos priorités.</t>
  </si>
  <si>
    <t>12/10/2021</t>
  </si>
  <si>
    <t>guy-m-124044</t>
  </si>
  <si>
    <t>Le tarif reste coûteux. 
Il serait intéressant de proposer de tarifs aussi attractifs que vos concurrents.
Bien  que nous soyons de clients fidèles et satisfaits de certaines conditions que vous proposées, nous pensons que le tarif devrait un peu baisser.</t>
  </si>
  <si>
    <t>21/07/2021</t>
  </si>
  <si>
    <t>igras-j-117265</t>
  </si>
  <si>
    <t xml:space="preserve">Votre service d'assurance reste dans des prix correcte, ainsi niveaux rapidité pour lequelle il faut être assurer est rapide et efficace.              </t>
  </si>
  <si>
    <t>patrice-v-107809</t>
  </si>
  <si>
    <t>Commercial très patient et sympathique. Les prix me conviennent. J'espère que les remarques négatives sur les sites comparateurs ne sont pas fondées à l'avenir. Pour le moment je suis convaincu de la démarche.</t>
  </si>
  <si>
    <t>fredo20-104488</t>
  </si>
  <si>
    <t>Santiane/Neoliane: A FUIRE!!! Courtier très doué pour démarcher des clients. En revanche, service client  téléphonique, sous forme de plateforme, avec des opérateurs qui ne sont jamais en mesure de répondre précisément aux demandes, mais qui assurent toujours que les problèmes vont être remontés au service concerné, et donc réglés - sans jamais être en capacité de donner des délais de traitement-. Des délais de remboursement beaucoup trop longs,  des retards de traitement -j'attends un remboursement de facture de lunettes depuis 1 mois: mon dossier est dit complet, traité, mais en cours... donc pas de paiement validé. La plateforme internet ne vaut pas mieux. Les demandes qui y sont effectuées par le client sont notées "en cours" , jamais traitées ou tout au moins dans des délais interminables. Et les écritures de type, contrat, conditions générales et particulières, et remboursement  sont quasi inexistantes. Personnellement, je suis bloquée avec eux pour une année puisqu'impossible de résilier. Mais ne je manquerais pas de résilier mon contrat dés que cela sera possible.</t>
  </si>
  <si>
    <t>yoann-127322</t>
  </si>
  <si>
    <t xml:space="preserve">Bonjour, 
Merci cardif d avoir accepté ma prise en charge de mon crédit, de m avoir fait attendre 5 mois ( pendant lesquels je n ai eu que des gens antipathiques au téléphone et après avoir envoyé je ne sais combien de documents ..) 
Je leur explique que j ai du mal à joindre les deux bouts suite à ma maladie et qu ils faut absolument m envoyer les virements , car même l anniversaire et le noel de mon fils on été évité faute de moyen (j aurais peu être dû en faire 3, bref). 
On me dit qu il faut attendre c est comme ca et puis c est tout . 
Assurance a éviter , aujourd hui je n ai toujours pas eu de virement . </t>
  </si>
  <si>
    <t>laura-78943</t>
  </si>
  <si>
    <t xml:space="preserve">Bonjour,
Jusqu'à présent j'étais une cliente très satisfaite de la maif. 
Mais actuellement ce n'est plus le cas. 
J'ai une assurance habitation et j'ai également assurée mon véhicule au tiers formule essentiel. 
Je passe les détails. Mon véhicule a rencontré des soucis notamment vandalisme. 
J'apprends avec stupéfaction que cela ne fait pas partie de la garantie alors que le conseiller m'ayant reçu ma vanté les mérites de cette formule. 
Je suis très en colère et hyper remontée car je me retrouve sans véhicule, mon outil de travail essentiel ainsi que pour mes déplacements quotidiens. 
J'ai pu faire part de mon mécontentement au siège même par téléphone. 
Je suis tombée sur une dame plutôt très désagréable, qui m'a clairement répondu '' qu'elle n'avait aucunement d'autres solutions à me proposer '' actuellement et que j'étais libre de partir à tout moment.
Très dommage il n'y a aucun côté humain et surtout à l'heure actuel je me retrouve sans véhicule livré à moi-même étant censé être couverte. 
Je vous remercie La Maif. 
Pour moi, c'est comme si je n'étais pas assurée !
Je vous garantis que j'irais voir ailleurs. 
Très très déçue je vous déconseille fortement d'aller chez eux. </t>
  </si>
  <si>
    <t>04/09/2019</t>
  </si>
  <si>
    <t>sylvain-c-121984</t>
  </si>
  <si>
    <t>les garanties me conviennent. Les conseils sont bons. Et les tarifs très attractifs. Un seul souci. J'avais une demande de prêt au mois de mars 2021 et je n'ai jamais eu de réponse.</t>
  </si>
  <si>
    <t>nadia1312-51469</t>
  </si>
  <si>
    <t>Assurance à fuir absolument... ils refusent de vous indemniser au titre de vos préjudices. Ils accordent uniquement du crédit à Aux experts médicaux qu ils ont mandatés à croire que les autres médecins et les spécialistes ont eu leurs diplômes dans une pochette surprise...</t>
  </si>
  <si>
    <t>19/01/2017</t>
  </si>
  <si>
    <t>franky-r-107995</t>
  </si>
  <si>
    <t>accès au site pourri car il faut toujours réinitialiser le mot de passe pour y accéder  .  Et juste 3 ans de demande pour être mensualiser je trouve cela pas terrible .</t>
  </si>
  <si>
    <t>pourquoi-102134</t>
  </si>
  <si>
    <t xml:space="preserve">Nullissime pas de prise en charge 24hsur 24 . On est bloqué sur 15 jours sans solution. Ce jour on nous"trouve "une voiture de location :devinez quoi :L'Agence de location est fermée depuis 6 mois ! Le taxi nous pose avec chat et bagages la porte est close ! Manque de professionnalisme évident. On est largués sous la pluie en attendant 14h ! </t>
  </si>
  <si>
    <t>yb-43210</t>
  </si>
  <si>
    <t>Le must en matiere d'assurance auto. L'Olivier, que je ne connaissais que par la Pub à la TV m'a assuré immédiatement,  m'a conseillé,  à l'inverse des beaucoup d'autres compagnies  qui faisaient la fine bouche.
Je n'avais pourtant  eu aucun accident responsable depuis des années !
Coup de chapeau à  l'Olivier Assurances. Bravo !!</t>
  </si>
  <si>
    <t>jaji-65547</t>
  </si>
  <si>
    <t>mauvais remboursement j ai toujours des restes a change sans compter qu elle n est acceptee que dans tres peu de services de sante donc on doit avancer a fuir mois suis oblige mutuelle de mon travail</t>
  </si>
  <si>
    <t>17/07/2018</t>
  </si>
  <si>
    <t>bali59420-97922</t>
  </si>
  <si>
    <t xml:space="preserve">Je suis assurée chez l'Olivier Assurance depuis le 10/10/2018
Aucun sinistre , rien en 2 ans
J'ai eu un accident le 8 juin , sans être en tort
Nous sommes le 28/09 , ce sinistre n'est toujours pas solutionné par l'Olivier Assurance 
Ils se rejettent tous la faute : l'Olivier assurance , le garage partenaire , le cabinet d'expertise avec lequel ils travaillent 
Depuis 4 mois on me mène en bateau : ne vous inquietez pas , tout va être résolu cette semaine , et toujours rien 
J'envois des mails à leur service en charge des sinistres aucune réponse
A part être bons pour encaisser vos paiements , ne comptez pas sur eux pour gérer lorsque vous avez un sinistre 
Je déconseille fortement cette assurance auto </t>
  </si>
  <si>
    <t>28/09/2020</t>
  </si>
  <si>
    <t>azibert-a-138122</t>
  </si>
  <si>
    <t xml:space="preserve">J'ai reçu un très bon contact téléphonique, le conseiller a était très accueillant et professionnel, tarifs très compétitifs, je recommande pour les jeunes conducteurs. </t>
  </si>
  <si>
    <t>23/10/2021</t>
  </si>
  <si>
    <t>marie-54307</t>
  </si>
  <si>
    <t>Réactivité et Couverture nulles lors de sinistres avérés. Sociétaire depuis 1972!</t>
  </si>
  <si>
    <t>26/04/2017</t>
  </si>
  <si>
    <t>tony-63897</t>
  </si>
  <si>
    <t xml:space="preserve">bonjour je serais intéresse car j'ai eu un sinistre de mon quad un vandalisme j'ai eu le montent de l'expert a combien que sa été chiffre et je suis assuré tous  risque et je n'ai toujour pas eté indemniser par l'assurances  dan 5 jour sa fera 3 moi que j'attend merci de votre réponse </t>
  </si>
  <si>
    <t>11/05/2018</t>
  </si>
  <si>
    <t>yves-k-126500</t>
  </si>
  <si>
    <t>Je suis satisfait du service qui est simple et pratique et rapide. Je suis content parce que à peine mon inscription faite je suis déjà assurer et tout ça depuis la maison.</t>
  </si>
  <si>
    <t>servanin-d-135133</t>
  </si>
  <si>
    <t>j ai trouve le contrat qui offre garantie et prix- accueil téléphonique correcte et professionnel-
A voir sur le long terme le suivi des clients - ---</t>
  </si>
  <si>
    <t>harry2016-49426</t>
  </si>
  <si>
    <t>Étant adhérant depuis janvier 2016, je m'aperçois que cette mutuelle est une catastrophe, il ne se sont toujours pas déclarée auprès de la Sécurité Sociale, les conseillers frôlent l'incorrection, les documents sont sans cessent demandés et égarés. Je n'ai jamais vu ça, c'est un mépris total du client, sans compter le niveau zéro des remboursements. Résiliation du contrat à cette mutuelle est à déconseiller impérativement.</t>
  </si>
  <si>
    <t>22/11/2016</t>
  </si>
  <si>
    <t>bcc-138391</t>
  </si>
  <si>
    <t>1. Choisi pour le très faible prix de l'assurance auto (Axa-web)
2. Sentiment de ne pas être du tout soutenu dans un sinistre non-responsable (quelqu'un est rentré dans ma voiture correctement garée). 
3. J'ai reçu un mail me disant qu'il prenait en charge à 100% ce sinistre et me dise l'inverse ensuite par téléphone quand je demande la confirmation du mail... 
= service client très mauvais de mon expérience (conseillers néanmoins courtois au téléphone).</t>
  </si>
  <si>
    <t>27/10/2021</t>
  </si>
  <si>
    <t>charlene-a-107324</t>
  </si>
  <si>
    <t>Les prix augmentent trop d'une année à l'autre.
Changement d'assureur imminent.
Satisfaction à voir en cas de sinistre, mais les appels téléphoniques souffrent d'une trop longue attente, et il s'agit du seul canal de communication. Inquiétant.</t>
  </si>
  <si>
    <t>marie-23052</t>
  </si>
  <si>
    <t>Pour prélever les mensualités pas de problème mais ensuite des NULS !!!. Jamais de sinistres depuis plus de 12 ans Dégât des eaux il y a 6 semaines, pas de réponse de l'expert, nous sommes livrés à nous mêmes avec une fuite d'eau chez nous qui empire les dégâts, les différents services se renvoient la balle pour un devis de réparation pourtant très clair, c'est une chaine d'incompétences incroyable!! . Nous sommes très mécontents et recommandons absolument pas cet assureur !</t>
  </si>
  <si>
    <t>de-zan-c-131983</t>
  </si>
  <si>
    <t>Je suis satisfaite du service. Les prix me conviennent, simple et pratique. J’économise une quarantaine d’euros à comparaison de ma précédente assurance.</t>
  </si>
  <si>
    <t>yamdiv600-56901</t>
  </si>
  <si>
    <t>Sinistre non-responsable le 8 juin pas nouvelle de l'indemnisation malgré dossier carré et complet et appels téléphoniques hebdo</t>
  </si>
  <si>
    <t>27/08/2017</t>
  </si>
  <si>
    <t>lucile--d-125090</t>
  </si>
  <si>
    <t>Bien même si je préférerais que vous fassiez les mêmes tarifs pour vos clients au lieu de devoir faire à chaque fois de nouveaux contrats parce que 20 euros de plus par mois quand on est déjà client c'est quand même beaucoup</t>
  </si>
  <si>
    <t>27/07/2021</t>
  </si>
  <si>
    <t>alainperfect-99495</t>
  </si>
  <si>
    <t>La pire des compagnies (MACIF) d'assurance que j'ai connue LA HONTE....encaisser pas de problème ,alors qu'ils sont les plus importants du marché ,le service client et le service assistance est vraiment déplorable Meme quand vous quittez leur compagnie ils vous sortent des articles pour payer tous le reste de l année malgré que ca fait des annees que vous etes chez eux car ils savent que vous n allez jamais revenir vous allez trouve mieux ailleurs en sevices et prix  . ÉVITER ABSOLUMENT et DECONSEILLER votre entourage.(Macif)</t>
  </si>
  <si>
    <t>manuella-v-116811</t>
  </si>
  <si>
    <t>Le site est clair, les options proposées sont précises et ouvrent un large choix en fonction de nos besoins. Les prix sont très compétitifs.
En espérant que tout se passe bien pour la suite.</t>
  </si>
  <si>
    <t>annick-l-116432</t>
  </si>
  <si>
    <t xml:space="preserve">Bonjour,
Pour la souscription du contrat je suis satisfaite du service, n'ayant jamais eue de sinistre important je ne puis juger de la qualité de vos services
</t>
  </si>
  <si>
    <t>pekko-t-132945</t>
  </si>
  <si>
    <t>Rapide, efficace et au juste prix. La souscription se fait rapidement avec des questions qui peuvent être amélioré pour la fluidité mais dans l'ensemble c'est très facile !</t>
  </si>
  <si>
    <t>15/09/2021</t>
  </si>
  <si>
    <t>christ-69558</t>
  </si>
  <si>
    <t>Sinistre sur ma voiture. Toit ouvrant à changer car un homme était monté dessus</t>
  </si>
  <si>
    <t>19/12/2018</t>
  </si>
  <si>
    <t>soumboud-g-111179</t>
  </si>
  <si>
    <t xml:space="preserve">Je suis très satisfait du service client, mon interlocutrice au moment de la souscription de mon contrat a été très claire, très pédagogue et d'une réelle sympathie. </t>
  </si>
  <si>
    <t>hamiche-m-117001</t>
  </si>
  <si>
    <t xml:space="preserve">Je suis satisfait du service
De la rapidité de la souscription 
Des prix abordables 
Facilité de s'inscrire à un contrat auto , même les prix sent abordables 
Merci .
</t>
  </si>
  <si>
    <t>14/06/2021</t>
  </si>
  <si>
    <t>grare-d-124079</t>
  </si>
  <si>
    <t xml:space="preserve">La date du premier prélèvement n'est pas claire, ni la somme prélevée sur mon compte le 21 juillet 2021, j'aimerais avoir le détail pour ce montant ainsi que la date exacte du 1er prélèvement qui devrait au mois d'octobre. J'attends un appel qui avait était fixé hier, pour un autre contrat,un peu déçue pour ce manque de considération. </t>
  </si>
  <si>
    <t>patrick--113054</t>
  </si>
  <si>
    <t xml:space="preserve">Oui ils ne sont pas toujours joignables rapidement mais mes autres assureurs non plus...
Oui les cotisations ont augmenté cette année mais si je fais la moyenne sur plusieurs années ça reste cohérent. Le prix est toujours à mettre en perspective avec les garanties. 
Ce que je retiens c’est que lorsque mes 2 motos et mon scooter se sont retrouvés sous deux mètres d’eau lors des catastrophes naturelles du 03/10/2015 ils sont venus dans mon box en 5 jours, et l’indemnisation a suivie dans la semaine.
Je retiens que lorsque je vais tourner sur piste je suis couvert comme si j’étais sur la route. Rien qu’avec la PJ j’ai amorti 8000€ de cotisations. 
Je ne suis plus tout jeune mais je sais qu’ils donnent leur chance aux jeunes alors que d’autres les envoient bouler. </t>
  </si>
  <si>
    <t>chris-d-111970</t>
  </si>
  <si>
    <t xml:space="preserve">je suis satisfait des services proposes, les prix me conviennent. Le service téléphonique est simple et efficace et rapide.  je recommande car plusieurs contrats en cours </t>
  </si>
  <si>
    <t>pierre-m-114250</t>
  </si>
  <si>
    <t>Je ne suis pas satisfait des montants taxe et attentats qui étaient cachés dans le montant HT de la cotisation pour la première année et qui est compté séparément cette année, augmentant le total à payer de façon plus que conséquente par rapport à l'inflation.</t>
  </si>
  <si>
    <t>nico-ribes--110978</t>
  </si>
  <si>
    <t xml:space="preserve">Bonjour
Assurance idéale pour jeune permis de 40 ans site clair et conscrit. Je le recommande à tout le monde. Assurance recommandée pas un amis motard
</t>
  </si>
  <si>
    <t>wilfrid-kazmierczak-perso-52389</t>
  </si>
  <si>
    <t xml:space="preserve">A l'écoute, bon rapport qualité prix. En cas de problème, toujours disponible et conciliant même en cas de souci avec le prestataire qui intervient dans le domicile. </t>
  </si>
  <si>
    <t>13/02/2017</t>
  </si>
  <si>
    <t>edgar-102605</t>
  </si>
  <si>
    <t>Des conseillés toujours à l'écoutent et très réactifs , je ne peux m'exprimer en cas de sinistre , mais j'ai conseillé des amis motards d'aller chez AMV et même après sinistres ils sont très satisfaits .....
Ne changer rien vous êtes au top et surtout restez à notre écoute .</t>
  </si>
  <si>
    <t>13/01/2021</t>
  </si>
  <si>
    <t>propulson-71786</t>
  </si>
  <si>
    <t xml:space="preserve">Sinistre habitation suite à une tempête le 03 janvier 2018 qui a totalement détruit notre garage ainsi que tout ce qui s'y trouvait. 14 mois après malgré toutes nos relances, rien ne bouge et tout le monde se renvoie la balle (Experts, Axa France, Axa Beauvais). Considérant que la blague a assez duré, rdv pris avec un avocat pour porter l'affaire en justice... </t>
  </si>
  <si>
    <t>sandrine-c-127672</t>
  </si>
  <si>
    <t xml:space="preserve">Je suis satisfaite des services de direct assurance. Ainsi que des prix qui sont attractifs. J'espère que tout se passera bien et que vous êtes a l'écoute de vos clients </t>
  </si>
  <si>
    <t>12/08/2021</t>
  </si>
  <si>
    <t>sl-s-68793</t>
  </si>
  <si>
    <t xml:space="preserve">A fuir avant d'avoir un sinistre, quand ça arrive c'est déjà trop tard!
J'ai eu un sinistre avec un tiers non-assuré connu, l'expert est passé et a fait son estimation (Véhicule économiquement irréparable), avec une estimation du véhicule avant accident dérisoire mais que j'ai fini par valider car je ne voulais pas engager de frais supplémentaires pour lancer une contre expertise. Le PV de la police établi qu'il était fautif, l'assurance m'envoie un mail pour m'informer qu'ils ont reçu le PV; depuis plus rien.
Je contacte donc l'assurance pour demander ou en est mon remboursement; j'ai eu une première gestionnaire qui me dit qu'ils attendent de connaitre le nom de l'assurance du tiers (qui n'est pas assuré!), quand je lui dis ça elle me met en attente jusqu'à ce que ça coupe, je rappelle dans la foulée, on me dit que j'allais être rappelé à une heure précise, j'attends donc sans que cela ne se fasse.
Le lendemain je rappelle, on me passe une autre gestionnaire à laquelle je réexpose toute la situation, et là pareil elle me met en attente pour consulter mon dossier plus en détails et au bout de 10 min d'attente ça raccroche! Je rappelle encore dans la foulée, là on me dit si c'est pour le sinistre tel, je dis oui, et on me dit qu''ils vont transférer mon appel à un gestionnaire, je demande d'avoir la même qui m'a mis en attente et avec qui ça a coupé il y'a à peine une minute et on me dit qu'elle est en communication, je demande à être rappelé par la même gestionnaire puisqu'elle a eu le temps de regarder les détails de mon dossier et que je n'aurai pas encore et encore à attendre qu'on regarde mon dossier en détail pour que ça raccroche au final, j'attends toujours ce  coup de fil...
A fuir avant d'avoir un sinistre, quand ça arrive c'est déjà trop tard !
J'ai eu un sinistre avec un tiers non-assuré connu, l'expert est passé et a fait son estimation (Véhicule économiquement irréparable), avec une estimation du véhicule avant accident dérisoire mais que j'ai fini par valider car je ne voulais pas engager de frais supplémentaires pour lancer une contre-expertise. Le PV de la police établi qu'il était fautif, l'assurance m'envoie un mail pour m'informer qu'ils ont reçu le PV ; depuis plus rien.
Je contacte donc l'assurance pour demander ou en est mon remboursement; j'ai eu une première gestionnaire qui me dit qu'ils attendent de connaitre le nom de l'assurance du tiers (qui n'est pas assuré! et c'est précisé dans le PV), quand je lui dis ça elle me met en attente jusqu'à ce que ça coupe, je rappelle dans la foulée, on me dit que j'allais être rappelé à une heure précise, j'attends donc sans que cela ne se fasse.
Le lendemain je rappelle, on me passe une autre gestionnaire à laquelle je réexpose toute la situation, et là pareil elle me met en attente pour consulter mon dossier plus en détails et au bout de 10 min d'attente ça raccroche ! Je rappelle encore dans la foulée, là on me dit si c'est pour le sinistre tel, je dis oui, et on me dit qu''ils vont transférer mon appel à un gestionnaire, je demande d'avoir la même qui m'a mis en attente et avec qui ça a coupé il y'a à peine une minute et on me dit qu'elle est en communication, je demande à être rappelé par la même gestionnaire puisqu'elle a eu le temps de regarder les détails de mon dossier et que je n'aurai pas encore et encore à attendre qu'on regarde mon dossier en détail pour que ça raccroche au final, j'attends toujours ce  fameux coup de fil ... 
</t>
  </si>
  <si>
    <t>patrick--f-136827</t>
  </si>
  <si>
    <t>Excellent j ai pu assurer mon véhicule le week end avec les meilleurs tarifs possibles  cela a été très rapide donc je recommande vivement  april pour le serieux</t>
  </si>
  <si>
    <t>09/10/2021</t>
  </si>
  <si>
    <t>dydoude-115029</t>
  </si>
  <si>
    <t xml:space="preserve">Si j'avais la possibilité de mettre aucun étoile je l'aurais fait, ils méritent zéro étoile. Je suis dégoûtée de cette assurance, on paie une assurance hors de prix et quand on a besoin d'eux il n'y a plus personne. Fermeture de dossier sinistre sans l'accord et la demande du client , aucun sens de gestion des dossiers et les clients laisser a l'abandon dans leur misère. Traité ses clients de menteur et de personne non-fiable auprès de l'entrepreneur travaillant pour ses clients, qu'elle qualité de service. Je résilie tout mes contrat car a par augmenter les prix, ils savent pas faire grand choses. Passer votre chemin d'autre assurance sont beaucoup mieux. Au revoir et à jamais ! </t>
  </si>
  <si>
    <t>roselyne-53400</t>
  </si>
  <si>
    <t>AU SECOURS!!!!!!!!!!!!!!!!!!!!!</t>
  </si>
  <si>
    <t>melito-81564</t>
  </si>
  <si>
    <t>Khalid très attentionné et aimable</t>
  </si>
  <si>
    <t>03/12/2019</t>
  </si>
  <si>
    <t>ciponor-74927</t>
  </si>
  <si>
    <t>Suite à un bris de glace, je n'ai pas de réponse depuis 7 semaines suite à ma réclamation. Ils n'ont pas eu de retour de leur expert. Est ce du dolosif? (sinistre 537618067). Enfin bref, le client (et encore plus l'ancien client) n'a pas l'écoute de l'assureur.</t>
  </si>
  <si>
    <t>abderrahmane-k-108067</t>
  </si>
  <si>
    <t>je suis pas satisfait parce que  le montant que je paye augmente et mon malus safait trois ans  qu il est fixe malgres j ai jamais fait un accident responsable deuis 4 ans</t>
  </si>
  <si>
    <t>pascal29-90371</t>
  </si>
  <si>
    <t>Tarif qui semble intéressant mais beaucoup d'exclusion dans les conditions générales. Au final faible couverture des risques.</t>
  </si>
  <si>
    <t>14/06/2020</t>
  </si>
  <si>
    <t>boudouaia-a-109957</t>
  </si>
  <si>
    <t>Je suis satisfaite de  la facilité à souscrire, nous verrons par la suite 
juste déçu de perdre plus de 200e car je paye mensuellement et de ne bénéficier d'aucune offre de bienvenue</t>
  </si>
  <si>
    <t>roudil-m-107375</t>
  </si>
  <si>
    <t>SIMPLE ET EFFICACE, la souscription s'est faite avec un conseiller à l'écoute. En espérant que les services soient à la hauteur des engagements souscrits.</t>
  </si>
  <si>
    <t>21/03/2021</t>
  </si>
  <si>
    <t>pascal-r-131448</t>
  </si>
  <si>
    <t>Le site internet pour pouvoir assurer son nouveau véhicule est simple et rapide.
Il ne m'a fallu que vingt-sept minute et quarante neuf seconde pour procéder à l'assurance de mon nouveau véhicule.</t>
  </si>
  <si>
    <t>bettacchioli-a-112222</t>
  </si>
  <si>
    <t>Les prix sont parfaits et les interlocuteurs parfaits également. J'espère que tout se passera bien ! Vu qu'il manque des caractères, j'ajoute cette phrase.</t>
  </si>
  <si>
    <t>yassid-h-133060</t>
  </si>
  <si>
    <t xml:space="preserve">Je suis satisfait du service et de la rapidité ,et du rapport prix ,garanti,.moi depuis que j’ai eu mon permis je n’ai jamais été assuré et je trouve que c’est pas cher chez vous </t>
  </si>
  <si>
    <t>16/09/2021</t>
  </si>
  <si>
    <t>nadia-107167</t>
  </si>
  <si>
    <t>La honte sa fait plus de trois mois jattend qu'on le rembourse frais dentaire a cause de mercer je suis interdit bancaire 1 étoile c'est beaucoup pour cette mutuelle réveillez vous mercer mutuelle je suis très en colère je l'ai dit et c'est fait.......</t>
  </si>
  <si>
    <t>firmin-96717</t>
  </si>
  <si>
    <t xml:space="preserve">Je souhaite partager avec les consommateurs mon expériences auprès de MAAF ASSURANCES , compagnies auprès de laquelle j ai assuré mes biens depuis l'âge de 18 Ans et j'en ai 43 aujourd'hui ; la gestion commercial est plutôt agréable , néanmoins , suite à un sinistre dégât des eaux provoqué par le forage de mon voisins le 13 décembre 2019 , contraint à un relogement , beaucoup de problème de communication avec l'expert salarié , la transmissions de tout les documents demandé en tant et en heure , une expertise le 24 Janvier soit 1 Mois et 11 Jours après le sinistre , Pas de réponse de l'expert à mes interrogations , des provisions versé tardivement qui occasionne de fortes avances de ma part , plusieurs tentatives d'échanges échoués , un record sous auprès du service réclamation avec des engagements de réponse non respecté et un courrier ce jour me demandant des pièces déjà founrnis et en complexifiant le dossier ... 
Toute les gestion n'ont certainement pas cette issue , cela est juste navrant lorsque cela vous arrive , plusieurs personnes m'ont invité à désormais faire appel a un courtier qui vous apportera un réel contact du commerce jusqu'au sinistre si par malheur vous avez besoin de voir jouer vos garantie </t>
  </si>
  <si>
    <t>27/08/2020</t>
  </si>
  <si>
    <t>kawasaki72-96481</t>
  </si>
  <si>
    <t>Bonjour je me permet de vous laisser un avis concernant mon dossier d'assurance vie et ce que je trouve vraiment dommage c'est que lorsque j'ai eu besoin de joindre ma conseillère et bien je tomber sans arrêt sur sa messagerie et en plus de sa elle n'a pas lu le message que je lui ai laisser donc je trouve sa très moyen et je pense que la moindre des choses c'est de rappeler la personne. Mais par contre quand il s'agit de placer de l'argent la c'est bizarre sa met pas de temps à répondre, donc je pense qu'il manque un peu de sérieux et il y'a également un manque de communication car quand mon conseiller est parti j'ai en aucun cas été informé de son départ. Et c'est pareil en cette période de vacances je trouve sa très mal organisé que mes deux conseillères soit en vacances en même temps donc je pense qu'il va falloir revoir votre organisation. Franchement depuis quelques années je trouve que la politique de votre entreprise à changer et si cela continue dans ce sens je pense que j'irait me projeter vers d'autres assureurs donc merci de faire le nécessaire. Cordialement Mr Naslé</t>
  </si>
  <si>
    <t>19/08/2020</t>
  </si>
  <si>
    <t>nouki-64804</t>
  </si>
  <si>
    <t xml:space="preserve">Bonjour,
Assuré 20 ans à la Maaf, aucun sinistre responsable depuis tte ces années avec plusieurs contrats auto et moto, chaque année et renouvellement de véhicule, malgré la fidélité et ancienneté, les prix augmente sur chaque nouveau contrat, je leur signifie que j’ai regardé la concurrence avec des prix plus attractifs et autant de garanties par téléphone et comme par hasard me font une proposition de réduction sur un contrat par téléphone en me résiliant ce contrat sans mon accord avec signature électronique, à ma grande déception, ils ont contourné la loi Hamond afin que je sois engagé a nouveau 1 an au minimum sur un nouveau contrat pour nous pas aller chez un concurrent, merci la Maaf vous savez fidéliser vos clients et les écœurer avec vos belles pratiques que je vais signaler à la chambre des consommateurs et diffuser à grandes échelles pour que vos ce rendent comptes de façon de traiter vos clients 
Cordialement </t>
  </si>
  <si>
    <t>15/06/2018</t>
  </si>
  <si>
    <t>bridget73-79795</t>
  </si>
  <si>
    <t xml:space="preserve">Sinistre en cours dans le cadre d'une assurance tous risques pas de nouvelles de la part de cette assurance malgré mes appels fréquents. </t>
  </si>
  <si>
    <t>07/10/2019</t>
  </si>
  <si>
    <t>gilles-57456</t>
  </si>
  <si>
    <t>la plus mauvaise assurance 
parfait si vous payé et que vous n avez pas de sinistre sinon attention a vous !</t>
  </si>
  <si>
    <t>vladimir-g-116972</t>
  </si>
  <si>
    <t>tarif abordable, et inscription rapide et immédiat, donc très pratique pour ceux qui veulent prendre une assurance sans se casser la tête.
Satisfait tout court</t>
  </si>
  <si>
    <t>fanny-r-128976</t>
  </si>
  <si>
    <t>Si ma voiture est assurer aujourd'hui je le recommanderais à tout mes potes 
Les prix pour une assurance tout risque ne sont pas du tout excessif he recommanderais</t>
  </si>
  <si>
    <t>candio-f-122467</t>
  </si>
  <si>
    <t>personnel tres responsable clair et efficace au téléphone avec des réponses a toutes les questions rien a dire de plus a recommandé a d'autres gens cette assurance.</t>
  </si>
  <si>
    <t>fouzia-b-103058</t>
  </si>
  <si>
    <t>TRES BON SERVICE
PERSONNEL REACTIF ET A L ECOUTE  
LE SITE EST TRES BIEN FAIT. ET SIMPLE D UTILISATION 
...............................................</t>
  </si>
  <si>
    <t>21/01/2021</t>
  </si>
  <si>
    <t>mary-128760</t>
  </si>
  <si>
    <t>J'ai du avoir recours aux versements de complément de salaire, je suis tombé sur une personne très sympathique et très professionnelle qui m'a expliqué avec patience les modalités pour toucher ce complément.C'est vraiment utile de prendre cette option même en étant plus jeune.</t>
  </si>
  <si>
    <t>bastien-m-134842</t>
  </si>
  <si>
    <t xml:space="preserve">Je suis Satisfait du prix , des garanties et de la possibilité de souscrire en ligne! En espérant avoir le moins possible de vos services!
Cordialement. </t>
  </si>
  <si>
    <t>jean-louis-m-128164</t>
  </si>
  <si>
    <t>Je suis satisfait de la communication du personnel, Rapide est efficace. je recommande avec plaisir direct assurance.  Entretien téléphonique ainsi que communication via chat au top.</t>
  </si>
  <si>
    <t>vieu-g-115491</t>
  </si>
  <si>
    <t>rapide, sécurisé et bien placé en tarif. Je ne connaissais pas cette compagnie qui m'a été conseillée par un comparateur d' assurances ... zéro accident dans ma vie depuis 1975, je vais continuer dans cette voie .</t>
  </si>
  <si>
    <t>tommy-b-125408</t>
  </si>
  <si>
    <t>OK très bon contact j'attends de voir en cas de problèmes. disponibilité de la commerciale et beaucoup de patience de sa part. Aucune difficulté rencontrée.</t>
  </si>
  <si>
    <t>girardet-i-116563</t>
  </si>
  <si>
    <t>Le service est clair, simple, rapide, prix avantageux lors de la souscription. La signature électronique permet de valider le dossier rapidement. Pour l'instant je valide ! 
Reste à voir en cas de sinistre ??</t>
  </si>
  <si>
    <t>christina-77289</t>
  </si>
  <si>
    <t>J'ai un contrat depuis 3 ans et à part les augmentations annuelles qui sont élevées, je suis satisfaite de cette mutuelle santé</t>
  </si>
  <si>
    <t>02/07/2019</t>
  </si>
  <si>
    <t>valentin-132885</t>
  </si>
  <si>
    <t>J'ai subis un sinistre matériel sur mon véhicule et je suis très satisfait de pacifica qui a réglé mes réparations dans de très bonnes conditions. n'étant pas responsable je n'ai rien eu à régler</t>
  </si>
  <si>
    <t>djamel-l-125318</t>
  </si>
  <si>
    <t xml:space="preserve">je suis satisfait du prix et de votre service y compris l'accueil téléphonique, le site est vraiment simple et rapide, je recommande Direct-assurance.
 merci </t>
  </si>
  <si>
    <t>francoise-94614</t>
  </si>
  <si>
    <t>Je suis satisfaite des services proposés étant moi même déjà assuré chez DIRECT ASSURANCES. 
Je recommande vos services à toutes les personnes de mon entourage et je souhaite profiter d"une offre de parrainage</t>
  </si>
  <si>
    <t>19/07/2020</t>
  </si>
  <si>
    <t>sauques-j-128471</t>
  </si>
  <si>
    <t>Je suis satisfait du service, 
Les tarif sont raisonnable , un conseillé a l'écoute et qui a répondu clairement aux informations demandé. 
Merci 
Cordialement</t>
  </si>
  <si>
    <t>jean-61468</t>
  </si>
  <si>
    <t>Contrat souscrit en ligne grâce à lelynx, des problèmes depuis le début, relance pour que je fournisse les pièces justificives, alors que je les avaient déjà fournies,interlocuteur toujours différent et un nouveau problème à chaque fois, alors que mes précédents assureurs n'avaient jamais posés le moindre souci, après des temps d'attente longs, qu'on me balade de services en services on fini enfin par valider mon dossier, je reçois ma nouvelle vignette pour 1an, la semaine suivante 2 recommandés quasiment identiques disant qu'ils résiliaient mon contrat pour problème de pièces justificatives, je rappelle et comme d'habitude on me balade, il faut que j'écrive aux service réclamation par courrier.
J'ai perdu du temps, il faut que je recherche une nouvelle assurance, dégoutté du manque de sérieux et professionnalisme de Eallianz, je déconseille totalement !</t>
  </si>
  <si>
    <t>15/02/2018</t>
  </si>
  <si>
    <t>harlf4-109607</t>
  </si>
  <si>
    <t>Excellent assureur avec un service client accessible et rapide.
Agents sympathiques au téléphone comme par email qui essaient de trouver un compromis juste afin de fidéliser, au mieux les clients.</t>
  </si>
  <si>
    <t>raph-deniau-36481</t>
  </si>
  <si>
    <t>Il est dommage que la box parfois n'envoie pas les trajets réalisés.
Ce serait bien aussi de savoir ce que nous "coûtent" en terme de pourcentage, une mauvaise accélération etc, car parfois je vois sur un trajet une mauvaise accélération et je perds près de 20%, je trouve cela trop punitif.
Sinon tout est au top !</t>
  </si>
  <si>
    <t>max1200-101930</t>
  </si>
  <si>
    <t>FUYEZ !
Globalement l'assurance vie est un placement à fuir: rigide, non digital, rendement net négatif. 
Et Generali a le pire service client: impossible d'avoir des documents justes lors d'arbitrages ou de rachats.
Vraiment, je vous déconseille ce genre de placements et d'assureurs.</t>
  </si>
  <si>
    <t>samantha-v-131295</t>
  </si>
  <si>
    <t xml:space="preserve">très bien, à voir avec le temps, mais l'ergonomie de la plateforme et la facilité de souscrire le contrat, les avantages sont appréciables, les prix également pour une jeune conductrice </t>
  </si>
  <si>
    <t>faucher-s-133325</t>
  </si>
  <si>
    <t>Les conseillers sont très agréables au téléphone, disponibles, prennent bien le temps d'expliquer pour répondre au mieux à nos attentes. Service personnalisé.</t>
  </si>
  <si>
    <t>delphineburnotte-79018</t>
  </si>
  <si>
    <t>J'ai été très agréablement surprise par l'efficacité et la rapidité de ma prise en charge sur un accident. 
Voiture réparée en 1 semaine pour mon mariage... Je suis très reconnaissante aux opérateurs que j'ai eu au téléphone.</t>
  </si>
  <si>
    <t>06/09/2019</t>
  </si>
  <si>
    <t>lejeune-v-111988</t>
  </si>
  <si>
    <t xml:space="preserve">2ème fois que j'ai un conseiller au téléphone,  super professionnel et très explicite,  rien à dire qualité de services au top, je recommande l'olivier assurance </t>
  </si>
  <si>
    <t>emiliecomba-52414</t>
  </si>
  <si>
    <t>NE JAMAIS PRENDRE AXA ASSISTANCE !! Je suis en litige avec eux depuis plus de 9 mois. Ils ne veulent pas prendre en charge les frais alors qu'ils sont complètement en tort dans l'histoire. 
Suite à un dépannage pour une roue, je retrouve ma voiture à la casse toute endommagée !!!!</t>
  </si>
  <si>
    <t>15/02/2017</t>
  </si>
  <si>
    <t>pascal--107775</t>
  </si>
  <si>
    <t xml:space="preserve">Simplicité et rapidité tarif très très correct ou d autre assurance n assure pas le véhicule soit disant sportif et un service clientèle de très grande qualité </t>
  </si>
  <si>
    <t>pinto-d-122663</t>
  </si>
  <si>
    <t xml:space="preserve">Super services comme d'habitude , prix raisonnable pour une bon service, rapidité, simpatie du personnel. 
Je vous remercie de votre efficacité.  
</t>
  </si>
  <si>
    <t>md78955-102855</t>
  </si>
  <si>
    <t>Service client incompétent, une prise en charge hospitalière non faite malgré l'appel téléphonique a ce sujet, j'ai du avancer les frais 730 euros (opération du 27 novembre 2020) le remboursement n'a toujours pas été effectué a ce jour malgré 4 mails envoyés avec justificatifs et 5 appels. Une honte, je me retrouve compte bloqué, a demander de l'argent a droite a gauche pour continuer a nourrir ma famille. A chaque appel on me balade, "votre dossier est remonté en tête de liste", la fois d'après " votre dossier est en attente". De plus impossible de pouvoir parler au service correspondant. A chaque appel 15 min d'attente. Mutuel incompétente. Nul!!!!</t>
  </si>
  <si>
    <t>pilou-85658</t>
  </si>
  <si>
    <t>Décès d'un assuré en mai2019. Transmission immédiate à axa pour paiement du capital décès du contrat masterlife. JAMAIS de réponse. POurtant il sont bien recu. Janvier 2020 toujours aucun paiement !!! nombreuses relances sans succès. Ils sont méprisant !!! Meme le courtier ne comprend pas. Il les appelle tous les jours mais rien. J'essaie de les appeler mais rien. Même aux mails ils ne répondent pas. c'est navrant.  Pourtant pour encaisser les cotisatiosn ils etaient présents.</t>
  </si>
  <si>
    <t>ben-67680</t>
  </si>
  <si>
    <t>Bonjour.
Je tiens à poster mon avis suite à un sinistre qui date du mois de février 2018 toujours pas indemnisé.
Malgré une assurance tous risque pour être tranquille et ma non responsabilité dans ce dossier rien n avance.
Service client inexistant ne répond jamais ni au téléphone ni par mail.
J'espère une réaction rapide de direct assurance car je nécessiterai pas à manifester mon mécontentement à l'avenir. Mais également a corriger mon avis à la résolution de ce sinistre si toute fois celui se solutionne car je constate que les réponses son plus rapide sur se site que sur direct assurance Directement.
Cordialement 
Ps votre slogan "on gagne toujours à être direct "</t>
  </si>
  <si>
    <t>14/10/2018</t>
  </si>
  <si>
    <t>vivalavida24-69942</t>
  </si>
  <si>
    <t xml:space="preserve">Je suis enfant rattaché à la mutuelle de ma mère et pour prolonger mon tiers-payant car primo-demandeur comme ils """acceptent""", ils m'ont perdu le courrier avec mes justificatifs dedans ! Puis sur internet, encore pire, car ils me refusent de renouveler et je dois encore justifier ma situation avec plusieurs documents alors que selon leurs conditions : c'est seulement UNE notification de rejet pole emploi !!! Vous voulez quoi à la fin ? 
Service téléphonique catastrophique avec un personnel désagréable me raccrochant au nez, m'incitant à changer de mutuelle quand ça leur chante (chose que je vais faire oui oui). 
Et des remboursements non faits pour la plupart des demandes. 
Je déconseille fortement cette mutuelle qui prenne les clients pour des imbéciles. A fuir </t>
  </si>
  <si>
    <t>05/01/2019</t>
  </si>
  <si>
    <t>elleurrac-128148</t>
  </si>
  <si>
    <t xml:space="preserve">Assuré chez la matmut depuis bientôt 12 ans, c'est un véritable chemin de croix pour toute demande hors souscription a un nouveau contrat.
Ayant déménagé a l'étranger, j'ai demandé a la matmut de me fournir un document attestant de mon bonus et de mon ancienneté d'assurance avec une traduction en anglais. Entre la requête et la réception-&gt; 1 mois, avec un document vide en anglais. Et donc une facture très élevée . 
Jai demandé la résiliation de tous mes contrats matmut, demande effectué un jeudi, on m'expliquer qu'il y a le week-end et les vacances, et donc un délais de 10 jours ? C'est de l'amateurisme pur, ou au pire de l'incompétence. 
Au niveau des opérateurs, on saisi bien que a part ouvrir un contrat ils ne peuvent rien faire.
Vos processus sont trop long et manques de clarté. Vois devriez vous remettre en question et regarder comment fonctionnent les autres assurances, car en France c'est désastreux. </t>
  </si>
  <si>
    <t>jeanjervalsol--105721</t>
  </si>
  <si>
    <t xml:space="preserve">Bonsoir 
Expliquez moi svp chez vous avec 65% de bonus je payais plus chère que mon assureur actuel n ayant que 50% de bonus et je ne suis pas chez un assureur low cost car je parle de la maif...
A vous lire...
</t>
  </si>
  <si>
    <t>nicoro-54988</t>
  </si>
  <si>
    <t xml:space="preserve">impossible de joindre le service sinistres - le standard est saturé depuis des semaines - suis restée des jours entiers au téléphone sans succès - idem pour les mails ils accusent réception et après le néant - malgré des réclamations faites depuis 15 jours pas de retour - première décision je vais aller ailleurs pour un nouveau contrat car trop de temps perdu et toujours pas de réponse - arrêtez de faire de la publicité car la maaf est incapable de gérer ses clients
</t>
  </si>
  <si>
    <t>30/05/2017</t>
  </si>
  <si>
    <t>arwen22-99121</t>
  </si>
  <si>
    <t>Je suis sociétaire depuis 39 ans, les tarifs sont restés compétitifs mais la gestion des sinistres a été exemplaire. Mon mari est décédé d un accident de moto et leur aide, soutien et implication dans la gestion des indemnités a été parfaite.</t>
  </si>
  <si>
    <t>23/10/2020</t>
  </si>
  <si>
    <t>maemar-103385</t>
  </si>
  <si>
    <t>en 2018 je change d'assurance habitation ,d'Axa je passe sur Pacifica CA mon conseiller s'occupe de la résiliation, 2021 je m'aperçois que je suis toujours prélevé par AXA comment récupérer mes sommes indûment perçu...</t>
  </si>
  <si>
    <t>28/01/2021</t>
  </si>
  <si>
    <t>domer-h-114550</t>
  </si>
  <si>
    <t xml:space="preserve">je suis ravis du services rapide pour assurer en jeune conducteur a voir si d'autre offres plus rentable si pas de sinistre je recommande cette assurance a voir dans la suite des choses </t>
  </si>
  <si>
    <t>yannick-j-106972</t>
  </si>
  <si>
    <t xml:space="preserve">Je suis satisfait du service 
Je suis satisfait du contact téléphonique et du rappel programmé par le conseiller .
La connexion est simple pour accéder au site </t>
  </si>
  <si>
    <t>moi-129813</t>
  </si>
  <si>
    <t>Nul, je déclare un sinistre, j'envoie en recommandé ce sinistre et il répondre qu'il comprenne pas etc etc ras le bol, que faire?.me déplacer au siege</t>
  </si>
  <si>
    <t>claude-67412</t>
  </si>
  <si>
    <t>Vous baladent de Volney à Ledru Rollin et Nice, les courriers s'entrecroisent mais personne n'est au courant de rien. De multiples demandes de pièces administratives envoyées par mails ou courriers en plusieurs exemplaires car soit disant non reçues selon les divers interlocuteurs. Bons baratineurs au téléphone (lorsque l'on arrive à parler à quelqu'un) mais totalement inefficaces. 2 mois pour régler un dossier d'assurance vie à la banque postale, 11 mois pour Afer. Cherchez l'erreur. A fuir !!!</t>
  </si>
  <si>
    <t>06/10/2018</t>
  </si>
  <si>
    <t>novy-101136</t>
  </si>
  <si>
    <t>Comme toutes les assurances il y a certainement des manquements mais globalement satisfait. Toutefois je reste satisfait, les réponses ont toujours été rapides et claires. Côme partout on peut sur certaines personnes moins « agréables ce n’est pas réservé à cette société. Un petit bémol concernant le contrat habitation je ne comprends pas pourquoi le garage n’est pas assuré.</t>
  </si>
  <si>
    <t>marymagna-100552</t>
  </si>
  <si>
    <t>bonne mutuelle mais plutot chére. service clientéle trés désagréable , je me suis fait raccrocher au nez alors que je suis mgen depuis plus de 30 ans... je vois dans les offres d'emploi que la MGEN recrute des téléconseillers, dommage que ces ^personnes soient si énervées et de mauvaise foi. ceci dessert cette mutuelle.</t>
  </si>
  <si>
    <t>24/11/2020</t>
  </si>
  <si>
    <t>gaillard-110918</t>
  </si>
  <si>
    <t xml:space="preserve">J'ai souscris à un contrat d'assurance voiture car le prix était interessant. Il s'avérait que j'avais accidentellement effectué une erreur de frappe sur la date de mon permis lors de la cotisation.( j'ai mon permis depuis plus de 20 ans et jamais eu d'accident). Ils me l'ont signalé et ont changé le prix du simple au double. J'avais MALHEUREUSEMENT déjà réglé la cotisation annuelle. J'ai donc demandé la résiliation du contrat et le remboursement.
Ils n'ont rien voulu rembourser prétextant des frais de dossier etc....s'élevant à hauteur du montant règlement...  sachant qu'entre mon paiement et la résiliation, il ne s'était passé que quelques jours.
Bref, vous l'aurez compris, ils ne sont pas très honnêtes !!!!! Je déconseille fortement !!!!!
</t>
  </si>
  <si>
    <t>audelin-a-114750</t>
  </si>
  <si>
    <t>JE SUIS SATISFAIT DES PRIX PROPOSES ET DU SERVICE CLIENT PAR TELEPHONE. LES CONSEILLERS SONT A L ECOUTE ET LA PRISE EN CHARGE EST GENERALEMENT TRES RAPIDE, JE RECOMMANDE L OLIVIER ASSURANCE</t>
  </si>
  <si>
    <t>barnault-h-112429</t>
  </si>
  <si>
    <t xml:space="preserve">Je suis ravie du service et du prix , et l'écoute dès que l'on veut un renseignement on trouve des solutions avec les services professionnels proposés </t>
  </si>
  <si>
    <t>yann-l-115016</t>
  </si>
  <si>
    <t>Le prix n'est plus si intéressant que cela au fil des ans, ni la couverture.
Je vais aller voir du coté des courtiers si l'herbe est plus verte. Merci pour ces quelques années en votre compagnie.</t>
  </si>
  <si>
    <t>activedu17-95976</t>
  </si>
  <si>
    <t xml:space="preserve">Mandataire qui vous attire avec ses tarifs mais qui n'est pas fiable ! Outils de souscription corrompu qui génère des surcouts. Non prise en compte des justificatifs. Résiliation abusive dans le seul but de facturer des frais. A fuir ! </t>
  </si>
  <si>
    <t>06/08/2020</t>
  </si>
  <si>
    <t>valthaj-80956</t>
  </si>
  <si>
    <t>LAMENTABLE !!!!!!</t>
  </si>
  <si>
    <t>13/11/2019</t>
  </si>
  <si>
    <t>laurine-p-134718</t>
  </si>
  <si>
    <t>Rien à dire pour le moment . On verra une fois le contrat en route si tout me
Convient.
Pour l’instant prix intéressant ; à voir si les démarches avec l’ancien assureur se passeront bien</t>
  </si>
  <si>
    <t>julien-a-129161</t>
  </si>
  <si>
    <t>Nous sommes satisfait des services et de la qualité des contacts. Nous avons eu recours à l'assistance auto et impeccable rien à redire. Nous recommandons la GMF.</t>
  </si>
  <si>
    <t>romsteak-135581</t>
  </si>
  <si>
    <t>Plus d'une heure de retard sur le point de rendez-vous fixé par la MAIF pour un dépannage auto, sans même prévenir. Le dépanneur missionné ( Service 24 près de Grenoble ) qui est enfin venu trouve ça "normal" que les clients attendent ! 
On paie une assurance auto très chère, on s'en sert une fois toutes les morts de Pape, et quand on en a besoin, le service est médiocre. Cherchez l'erreur...</t>
  </si>
  <si>
    <t>patricia-g-103222</t>
  </si>
  <si>
    <t>Je suis très satisfaite du service en ligne pour préparer et demander un devis. C'est simple et assez rapide. Pour les prix ils sont vraiment corrects.</t>
  </si>
  <si>
    <t>26/01/2021</t>
  </si>
  <si>
    <t>clotaire-113979</t>
  </si>
  <si>
    <t>Mutuelle autrefois sérieuse qui s'est dévoyée et spolie maintenant ses anciens adhérents enseignants ne leur fournissant qu'une couverture minimale lorsqu'ils ont besoin d'aide. Les financiers de la bienpensance ont-ils pris possession de cette mutuelle ?  
Avoir cotisé pendant 50 années ne vous permet même pas l'accès à une chambre individuelle dans une maison de santé ni une couverture dentaire décente. La MGEN est une mutuelle de la honte qui se donne une bonne conscience multiculturaliste.
La MGEN ponctionne ses adhérents enseignants comme une mutuelle haut de gamme tout en leur pourvoyant une couverture souvent égale à celle de la CMU...</t>
  </si>
  <si>
    <t>marant-j-138879</t>
  </si>
  <si>
    <t>je suis satisfait du service le prix est correct
 A voir à l'utilisation et dans la durée pour l'instant tout est OK pour moi
 c'est pourquoi j'ai signé ce contrat</t>
  </si>
  <si>
    <t>03/11/2021</t>
  </si>
  <si>
    <t>bernard-f-105684</t>
  </si>
  <si>
    <t>je suis satisfait du service . Je souhaiterais que vous vous occupiez des formalités d'annulation de mon précèdent contrat comme vous me l'avez aimablement proposé</t>
  </si>
  <si>
    <t>manolo-102474</t>
  </si>
  <si>
    <t>Bonjour,
Nous avons appelé à quelques reprises. 
A chaque fois, bon accueil, à l'écoute.
Interlocutrices agréables et aidantes.
Lors du dernier appel (ce jour), personne tellement agréable qu'on pouvait percevoir ses sourires à travers le téléphone. Ça met du baume au coeur de beau matin quand on appelle pour un problème.
Un grand merci à chacuns pour votre aide et votre travail.</t>
  </si>
  <si>
    <t>12/01/2021</t>
  </si>
  <si>
    <t>abdallah-a-115572</t>
  </si>
  <si>
    <t>Je suis satisfaite du 1er contact pour la souscription. Prix très attractifs en espérant que le service client soit autant disponible et agréable en cas de besoin.</t>
  </si>
  <si>
    <t>ski73-86597</t>
  </si>
  <si>
    <t xml:space="preserve">La maif nous a inventé un sinistre à nos tords en 2012. Nous n avons malheureusement pas été vigilant sur les relevés d information nous n avons pas vu que le coefficient de majoration était passé à 1.
Maintenant q nous leur demandons des explications ils sont dans l incapacité de nous repondre ! Soit disant q tout a été jeté ! Seulement 7 ans après !!
Ils ne peuvent même pas nous donner le nom de la personne avec qui nous avons eu un soir disant sinistre ni même les circonstances ! </t>
  </si>
  <si>
    <t>pascal51380-127686</t>
  </si>
  <si>
    <t>quand on va chez direct assurance , c'est impeccable , mais ensuite les prix des cotisations flambent au fils des années(des augmentations de 7 à 10% or l'inflation n'est que de 2 à 3%/an), en fait au bout de 3 à 4 ans il faut changer avec un nouvel assureur, et c'est la même chose chez le nouveau !, au bout de 3 à 4 an on peut revenir chez direct assurance avec prix compétitif, et ça recommence !!! etc...plein le dos de ces marchants de tapis !</t>
  </si>
  <si>
    <t>emeric29-61785</t>
  </si>
  <si>
    <t>la premiere année avec un malus de 0.95 vol incendie 655€/ans, 2°année avec malus 0.90 vol incendie, 978€</t>
  </si>
  <si>
    <t>26/02/2018</t>
  </si>
  <si>
    <t>sandra-89107</t>
  </si>
  <si>
    <t xml:space="preserve"> Bonjour, infirmière libérale en arrêt maladie depuis le 2 avril 2018 suivie d'une mise en invalidité avec tierce personne j'ai sollicité, le 30 septembre 2020, auprès de CNP Assurances le déclenchement de la garantie PTIA dans le cadre de mon prêt immobiler. A cette demande j'ai joins en LRAR toutes les piéces demandées:, Les statuts de la CARPIMKO (Caisse de Prévoyance et de Retraite des auxiliaires médicaux assimilée à la CPAM), L'attestation médicale d'invalidité remplie par mon médecin traitant, Un certificat médical établi par mon médecin traitant, Copie d'une expertise médicale á laquelle j'ai été soumise, La notification de la CARPIMKO(ma caisse de prévoyance et retraite) de mise en invalidité totale avec nécessité de tierce personne (en l'ocurence mon conjoint qui a donc dû stopper son activité professionnelle), Les notifications de la MDPH d'attribution, à titre permanent d'un taux d'incapacité &gt; ou égal à 80%, l'attribution de la Carte Mobilité Inclusion mention invalidité, l'attribution de l'Allocation Adulte Handicapé, l'Attribution de la Prestation de Compensation du Handicap, l'ATtribution de l'Aide à la Parentalité Les comptes rendus de consultations auprès de mon rhumatologue et d'hospitalisation, Les prescriptions médicales, résultats de biologie, Le certificat médical établi par mon psychiatre, Mes avis d'a=rêts de travail depuis le 2 avril 2018, Mes protocoles de soins, mes comptes rendus d'examens complémentaires( radio, IRM...). Par courrier daté du 14 juin 2021, CNP Assurance me demande un" titre" de pension 3ème catégorie avec allocation tierce personne attribuée par la CARPIMKO car l'attestation émise par cette dernière ne serait pas recevable.....????... demande à laquelle je réponds immédiatement en joignant, par email une nouvelle attestation demandée à la CARPIMKO dans laquelle il est expressement indiqué, en gras, que la CARPIMKO n'attribue aucune catégorie d'invalidité; sur cette attestation il est, à nouveau précisé que he bénéficie de la rente invalidité totale majorée pour tierce personne...Que faut-il de plus à CNP Assurances?.... Le mois prochain cela fera 1 an!!!! Que j'ai demandé le déclenchement de la garantie PTIA à CNP Assurances. Sachez, Madame, Monsieur, que les délais particulièrement longs et scandaleux de mon dossier ne font que participer à la dégradation de mon état de santé. </t>
  </si>
  <si>
    <t>jako-81646</t>
  </si>
  <si>
    <t>Mon correspondant téléphonique RALI a su parfaitement répondre avec gentillesse et compétence a des questions concernant des aspects techniques de prestations médicales Merci de sa patience et de sa disponibilité</t>
  </si>
  <si>
    <t>05/12/2019</t>
  </si>
  <si>
    <t>yves-b-105663</t>
  </si>
  <si>
    <t>JE suis satisfait du service et des prix pratiqués,j'ai eu un peu de mal à me connecter ,à mon compte ,mais une fois cela reussi tout se passe normalement</t>
  </si>
  <si>
    <t>elliot-d-130954</t>
  </si>
  <si>
    <t>Je suis satisfait de la rapidité du site les prix par contre son un peut peux cher mais bon sa tête une assurance j’espère la garder longtemps merci amv</t>
  </si>
  <si>
    <t>02/09/2021</t>
  </si>
  <si>
    <t>caroline-j-130491</t>
  </si>
  <si>
    <t>Très bon service client à chaque fois que nécessaire, professionnel, à l'écoute, réactif, vraiment satisfaite. 
Prix convenable. 
Offre globale interessante.
site internet pratique pour effectuer les démarches</t>
  </si>
  <si>
    <t>al-115017</t>
  </si>
  <si>
    <t xml:space="preserve">Remboursement avec option nul ne correspond pas à la documentation.
Semelle orthopédiques petit appareillage 2x 65€. Remboursement secu 2x 14,€43 
Viasanté avec option  2X 4,€33
 ( AG2R Angoulème sur documentation avec option + 61€ par année civile? )
Facture originale mise dans boite aux lettres. Agence inexistante aucun contact
</t>
  </si>
  <si>
    <t>razki-54124</t>
  </si>
  <si>
    <t xml:space="preserve">suite a une inondation en juin, ils ont envoyer un expert bizard qui a sous évaluer les pertes pour exemple un siège de sharan a 20€ et c'est pas fini les mur tombe en ruine ( il faut laisser séché) sa fait plus de 6 mois!!!
évité cette assurance dans le nord de la france
</t>
  </si>
  <si>
    <t>18/04/2017</t>
  </si>
  <si>
    <t>clauclau39-55718</t>
  </si>
  <si>
    <t xml:space="preserve">
J'ai souscrit un contrat chez cet assureur à effet du 6 janvier 2017. A ce jour, j'ai obtenu seulement une carte verte provisoire jusqu'au 9 juin (???) . J'ai envoyé à cette date une photocopie du permis de conduire, le précédent envoyé n'étant pas, à leur avis, complet... Je viens de leur téléphoner( 2 appels dont un de 17 minutes...pour une personne devant se renseigner...sans suite ...). La deuxième personne me dit que la carte a été envoyée le 19 juin, mais je ne l'ai pas reçue !
Qu'en sera-t-il en cas de sinistre ?</t>
  </si>
  <si>
    <t>29/06/2017</t>
  </si>
  <si>
    <t>nul-135740</t>
  </si>
  <si>
    <t>je ne vois aucun moyen de créer un compte une étoile je crois que c'est trop s'il  avait une possibilité je mettrai ZERO étoile, j'ai passé plus de 3h pour aboutir à rien j'espère que j'aurai un meilleur résultat par téléphone.
Santiago</t>
  </si>
  <si>
    <t>claude-137790</t>
  </si>
  <si>
    <t>Très satisfait par l'accueil et les informations fournis par DIALLO. Mes problèmes ont été rapidement résolus.
Courtois et efficace, il a été d'une aide précieuse.</t>
  </si>
  <si>
    <t>clement-f-105806</t>
  </si>
  <si>
    <t>Service conforme à l'attendu, prix des primes d'assurance correct, formules adaptées aux véhicules et personnes assurées, service client assez facile à joindre.</t>
  </si>
  <si>
    <t>croc92-38678</t>
  </si>
  <si>
    <t>Publicité mensongère,  les primes sont moins cheres mais les garanties ne sont pas les mêmes. Direct "assurance" n'a pas indemnisé un vol de véhicule là où toute autre assurance aurait payé. Perte sèche 40000 euros. Fuyez cette compagnie ou vous n'aurez que vos yeux pour pleurer...</t>
  </si>
  <si>
    <t>13/10/2018</t>
  </si>
  <si>
    <t>duran-134300</t>
  </si>
  <si>
    <t xml:space="preserve">Le commerciale en ligne hyper sympas, vous propose un devis hyper interessant et vous êtes tombés dans le piège. Bingo, on vous prélève 82,23 euros puis on vous programme un rendez-vous avec l’agence. Vous vous présentez à l’agence de Toulouse avec un accueil froid et on vous annonce un tarif différent ! </t>
  </si>
  <si>
    <t>kamel-b-128273</t>
  </si>
  <si>
    <t>JE SUIS SATISFAIT DU SERVICE AINSI QUE DES PRIX, de la possibilité de souscrire mon assurance en ligne.
J'envisage de souscrire d'autres contrat sur le site</t>
  </si>
  <si>
    <t>dany-68946</t>
  </si>
  <si>
    <t>Pour l'instant rien à signaler très à lecoute,et très serviable</t>
  </si>
  <si>
    <t>27/11/2018</t>
  </si>
  <si>
    <t>espritsain-66242</t>
  </si>
  <si>
    <t>J'ai voulu signer chez eux, sauf que quand je valide le devis il augmente de 20 euros. J'appelle le service client, une fille hautaine désagréable, pour commencer elle m'engueule car j'ai fait trop de devis alors que j'avais cliqué qu'une fois sur leur site. Bref, je suis de nature gentille alors j'ai répondu calmement à ses agressions. A un moment j'ai dit merci mademoiselle, je vais voir... pour couper la conversation car visiblement elle avait envie d'agresser quelqu'un. Et là elle me dit de rien Monsieur ! Alors que j'ai une toute petite voix. En bref ils devraient peut être faire un teste psychiatrique à leurs employés de hotline, car pour agresser quelqu'un d'agréable au téléphone qui veut souscrire, j'ai juste imaginé si on les appelle en cas de sinistre. Je préfère payer plus mais avoir mon courtier agréable qui règle les problèmes très rapidement.</t>
  </si>
  <si>
    <t>17/08/2018</t>
  </si>
  <si>
    <t>alex06570-105069</t>
  </si>
  <si>
    <t xml:space="preserve">J’étais chez harmonie mutuelle depuis 2018, aujourd’hui depuis octobre 2020 chez Apivia groupe la Macif ( ce n’est pas mieux ) mais aujourd’hui Harmonie continue à vouloir me prélever alors que j’ai résilier mon contrat chez eux depuis juillet 2020 avec accusé de réception mais soit disant j’aurais dû aussi avant octobre 2020 résilier la protection hospitalière et blessure qui chez eux sont un second contrat en plus de celui de la santé ? Comment aurais je pu le savoir et le meilleur c’est que quand j’étais chez eux je payais 37€ et des poussières pour le contrat santé basique et aujourd’hui leur appel à cotisation pour 2021 est de 44€ par mois pour juste la protection hospitalière et blessure ? Encore plus chers que pour la totalité !!! Un comble et menace mise en demeure de régler 177,48€ avant la mise au contentieux !!! Je vais les appeler faire un recommandé avec accusé et si ils continuent je porte plainte auprès du procureur de la République. 
A fuir cette mutuelle !!! 
N-b: ma résiliation a été faite par le cabinet ECG ASSURANCE GROUPE PERRER ceux qui m’ont fait contracter chez Apivia. </t>
  </si>
  <si>
    <t>marie-jose-c-117536</t>
  </si>
  <si>
    <t xml:space="preserve">Je suis satisfaite du service. Très  bon accueil, le conseiller était à l'écoute et a parfaitement répondu aux questions que j'ai posées.               </t>
  </si>
  <si>
    <t>andrei-101427</t>
  </si>
  <si>
    <t>Injoignable  par téléphone en raison de problèmes techniques.
Impossible de créer son espace personnel en raison d'un pic d'activité.
Enfin réponse téléphonique erronée : parle d'une cotisation du 1er semestre alors que nous sommes en décembre.
J'ai besoin en urgence d'une copie de ma carte.
Comment faire ?</t>
  </si>
  <si>
    <t>14/12/2020</t>
  </si>
  <si>
    <t>jml-80998</t>
  </si>
  <si>
    <t>Mon nouveau contrat  étant mis en place en janvier j'avais des questions et aussi de l'appréhension. J'ai été reçu par GWENDAL qui a fait preuve de patience,d'écoute...très bon accueil.</t>
  </si>
  <si>
    <t>14/11/2019</t>
  </si>
  <si>
    <t>gracia-l-138041</t>
  </si>
  <si>
    <t>Réactif et je suis très contente de l'offre proposée, très bon accueil téléphonique et démarche simple, l'oliver assurances m'a été recommandé et j'en suis ravie</t>
  </si>
  <si>
    <t>22/10/2021</t>
  </si>
  <si>
    <t>loic-l-113372</t>
  </si>
  <si>
    <t>Déçu par le temps d'attente au téléphone et surtout le nombre d'appel pour avoir unconseillé, une bonne dizaine ...
Par contre une fois au téléphone aucun problème pour la prise en charge du sinistre.</t>
  </si>
  <si>
    <t>ioa-71130</t>
  </si>
  <si>
    <t>Ils vous augmente votre assurance après une année même si vous avez pas eu des incidents et la résonne pour le quelle ils vous augmente c'est que il y a trop d accidents en France...fuyez</t>
  </si>
  <si>
    <t>09/02/2019</t>
  </si>
  <si>
    <t>boursaud-m-139546</t>
  </si>
  <si>
    <t xml:space="preserve">je suis satisfait enormement je recommande l olivier assurance
et en parlerais a mon entourage ainsi qu a mes amis et ma famille proche merci d avance </t>
  </si>
  <si>
    <t>13/11/2021</t>
  </si>
  <si>
    <t>robert-r-123318</t>
  </si>
  <si>
    <t xml:space="preserve">Très satisfait de l'assurance GMF au niveau des tarifs, des garanties et de la prise en charge en cas de panne.
Assurance à recommander                      </t>
  </si>
  <si>
    <t>pascal63430-99115</t>
  </si>
  <si>
    <t>AMV, au travers de ses conseillers est toujours à l'écoute, et prodigue des conseils avisés, quelle que soit la situation. De la facilité à assurer, par téléphone suite à un achat, au suivi du dossier client, et à la résiliation, tout est simplifié au maximum. Vieux motard, toujours assuré chez vous (depuis 1984), je ne peux que vous remercier, toutes et tous, autant pour la qualité d'écoute dont vous avez fait preuve, que pour l'assurance en elle-même.
Merci de ce bout de chemin en votre compagnie.</t>
  </si>
  <si>
    <t>sand48025--137814</t>
  </si>
  <si>
    <t xml:space="preserve">Merci à Ramata, personne aimable. J'attends de voir si ma résiliation va être prise en compte. Je n'est rien d'autre à ajouter...
Bien cordialement.. </t>
  </si>
  <si>
    <t>jennifer--122452</t>
  </si>
  <si>
    <t xml:space="preserve">Premier abord très agréable.
On sent le sourire et la bonne humeur. 
Bien conseillé et agréable d'avoir quelqu'un d'aimable au téléphone.
Merci du professionnalisme. </t>
  </si>
  <si>
    <t>fethi-86558</t>
  </si>
  <si>
    <t>Responsable d'un accident...j'aurais voulu savoir sur quoi se base l'expert pour l'evaluation de mon scooter yamaha xmax125 année 2011...les reparations etant trop cher... ce dernier me propose....500euros!!!apres des recherches sur des sites specialisé comme la centrale...il est coté avec le km réel....1800euros!!!
Donc nous sommes a meme pas le tiers du prix!
Detail important je suis assuré  tous risques tous dommages...</t>
  </si>
  <si>
    <t>30/01/2020</t>
  </si>
  <si>
    <t>neogallia-123856</t>
  </si>
  <si>
    <t>Un accueil téléphonique déplorable avec un "conseiller" qui me crie dessus et à qui j'ai dû demander de baisser le ton !!! Une honte de se dire "service client" !! 
Je souhaitais assurer un autre véhicule mais vivement que la durée du contrat du véhicule déjà assurée se termine pour que je parte.
Facile d'être discourtois et irrespectueux derrière son téléphone...</t>
  </si>
  <si>
    <t>19/07/2021</t>
  </si>
  <si>
    <t>thaichat04-75215</t>
  </si>
  <si>
    <t>service client réfuse de rembourser comme il faut en cas de sinistre, passer par un expert qui fait n'importe quoi. Il fait venir les clients facilement, mais à quoi sert l'assurance si on est mal assuré</t>
  </si>
  <si>
    <t>soisfranc-61133</t>
  </si>
  <si>
    <t>Contrat résilié le 31/12/2017. J'ai 3 remboursements en cours de nov et dec. Malgré des echanges sur leur site+ appels telephoniques + mails, silence absolu. A croire qu'une fois le contrat résilié, ils n'ont rien à fiche de vous. Bien lire les contrats, en cas d'hospitalisation en soins de suite et rééducation, les chambres individuelles ne sont pas prises en charge. J'en ai fait l'amère expérience.</t>
  </si>
  <si>
    <t>05/02/2018</t>
  </si>
  <si>
    <t>pascal-53445</t>
  </si>
  <si>
    <t xml:space="preserve">Suite à 3 semaines de retard sur le versement de ma prévoyance santé , je contact par tel un conseillé de ma prévoyance ALLIANZ.
Je lui demande pourquoi un tel retard .
Réponse : il manque certains éléments dans votre dossier.
Je ne comprends pas je suis en arrêt depuis plus d'un an . Je lui demande quels éléments ils manquent à mon dossier .
Réponse : je ne peux pas vous répondre .
Je lui demande si il y en avait pour longtemps .
Réponse : Je ne peux pas vous répondre votre dossier et dans le service concerné .
Voilà de plus sur un ton assez appuyé et une voie brut , j' avais franchement l'impression de le déranger .... 
Voilà et pour manger je fait quoi je demande à mes enfants , non seulement je suis malade et de plus .....enfin voilà merci de votre lecture.
</t>
  </si>
  <si>
    <t>sanaa-d-131334</t>
  </si>
  <si>
    <t xml:space="preserve">Très bon service très rapide et les conseillers prennent le temps de vous 
accompagner.
Cela change des autres compagnies ou il faut aller vite etou on ne se met pas à la place du client </t>
  </si>
  <si>
    <t>isabelle-c-131730</t>
  </si>
  <si>
    <t>Facilite d’echange au téléphone et sans soucis pour suivre les démarches en ligne lors la souscription sur le site internet de direct assurance, que du plus.</t>
  </si>
  <si>
    <t>07/09/2021</t>
  </si>
  <si>
    <t>igor-i-131453</t>
  </si>
  <si>
    <t xml:space="preserve">Je très  satisfait du service très rapide et jeux conseiller mes amis à  être assuré chez vous au niveau des garanties et l'accueil en ligne.veuillez agréer mes salutations. </t>
  </si>
  <si>
    <t>marina-f-106054</t>
  </si>
  <si>
    <t>je suis satisfaite de vos prix j espere que les prix seront en baisse pour satsifaire tous vos clientsc est l assurance la moins chere du marche apres avoir recgarde dans plusieur assurance</t>
  </si>
  <si>
    <t>frederic-d-133275</t>
  </si>
  <si>
    <t>Satisfait du service et des tarifs. Lors des appels les réponses sont toujours claires et rapides. Les démarches sur le site internet sont claires et simples.</t>
  </si>
  <si>
    <t>haithem-t-127126</t>
  </si>
  <si>
    <t>Ok je suis satisfait merci pour tout . Je suis content pour tout merci pour m'avoir assure. Vous êtes les seuls à le faire encore merci beaucoup pour tout</t>
  </si>
  <si>
    <t>lealongin-62330</t>
  </si>
  <si>
    <t>Je ne suis plus sous assurance provisoire depuis lundi. On les appel tout les jours sur numero surtaxé. On nous dit rien a par dossier en cour de traitement. Pas de carte verte, pas de papier justifiant qu on est assuré, aucun appel ni mail pour nous tenir au courant. Et bien sur impossible de résilier !! 
Je deconseille fortement grosse erreur daller chez eux !!! 
Je me retrouve a avoir payer sans carte verte en ayant tout envoyé correctement !!</t>
  </si>
  <si>
    <t>14/03/2018</t>
  </si>
  <si>
    <t>victorine-m-102809</t>
  </si>
  <si>
    <t xml:space="preserve">a voir avec le devis la somme que je devrait régler si elle correspond a mon  dossier. Comparateur de prix  et voir les modalités également de paiement et d'assurance </t>
  </si>
  <si>
    <t>18/01/2021</t>
  </si>
  <si>
    <t>mauricette-101974</t>
  </si>
  <si>
    <t xml:space="preserve">J'ai prévenu du décès de mon époux le 11 novembre   pour réactualiser ma cotisation. 
Malgré mes appels et mails, neoliane continue à prélever la totalité de la cotisation pour 2 personnes. 
A ce jour  neoliane me doit 212€.
Je suis très mécontente. </t>
  </si>
  <si>
    <t>29/12/2020</t>
  </si>
  <si>
    <t>sriji-58657</t>
  </si>
  <si>
    <t xml:space="preserve">Afin d'enfouir les câbles électriques destiné à alimenter plusieurs maisons, ERDF a creusé une tranchée   directement à ras de mon mur de clôture de ma maison. Bien entendu, le mur a été profondément lézardé et fissuré.
J’ai signalé les dégâts du mur de la clôture à mon assurance qui m’a mis en relation avec un expert, l’expert est passé en présence du responsable des travaux d’enfouissement, il était clair que les dégâts sur mon mur sont causé par les travaux (c’est un mur qui a moins de 10 ans) et que avant les travaux un huissier est passé et pris des photos. 
J’ai accepté une solution à l’amiable que j’ai signé à condition que je reparare moi-même le mur.
Depuis l’assurance a clôturé le dossier et on me raccroche on nez que j’ai appelé et demandé est ce qu’il ont vu le rapport de l’huissier avant et le rapport de l’expert après.
Ça fait 12 ans que je paye une assurance qui m’a jamais servi, je suis en colere .
Hors de question pour moi rester sans suite, s’il le faut je passe par les tribunaux  c’est une question de principe 
D’ailleurs la règle Lorsque du domaine privé vous engendrez des dégâts au domaine public vous payez et vice versa.
Merci de me conseiller
</t>
  </si>
  <si>
    <t>virginie-c-111785</t>
  </si>
  <si>
    <t>Je suis satisfaite des services et de la rapidité des réponses pour traiter mes demandes.
Je recommande souvent Direct Assurance pour la simplicité et les prix tout à fait attractifs.</t>
  </si>
  <si>
    <t>talabi-i-122838</t>
  </si>
  <si>
    <t xml:space="preserve">Je suis satisfait de l’application et du service je conseille cette assurance à mes amis, de plus les tarifs sont plus abordables que la concurrence. Merci </t>
  </si>
  <si>
    <t>mfmd-50789</t>
  </si>
  <si>
    <t>Très bon contact téléphonique, entretien bien dirigé et plusieurs fois il m'a été demandé s'il me restait des questions.
Ceci a permis de faire le tour de tous les aspects.</t>
  </si>
  <si>
    <t>30/12/2016</t>
  </si>
  <si>
    <t>nicolas-g-114590</t>
  </si>
  <si>
    <t>Prix attractifs, garanties satisfaisantes et facilité de souscription bref plus que satisfait pour le moment ... En espérant ne pas avoir trop de relations avec l'assureur ...</t>
  </si>
  <si>
    <t>philippe-l-133831</t>
  </si>
  <si>
    <t>Ancien client, je reviens après quelques années à la concurrence dû à un changement de véhicule mais reviens avec sérénité car je sais que je suis entre de bonnes mains</t>
  </si>
  <si>
    <t>21/09/2021</t>
  </si>
  <si>
    <t>elsalesport-107066</t>
  </si>
  <si>
    <t>La personne que j'ai eu au téléphone a été très réactive et efficace . Un très bon accueil.Merci beaucoup. 
Ravie d'être assurée chez génération pour ma mutuelle.</t>
  </si>
  <si>
    <t>alexandre-m-111481</t>
  </si>
  <si>
    <t xml:space="preserve">Super et rapide je suis très satisfait et je souhaite que notre collaboration continue le plus longtemps possible recevez mes salutations le plus sincère merci </t>
  </si>
  <si>
    <t>yopwillyan-110810</t>
  </si>
  <si>
    <t>Augmentation de l'assurance après un an sans sinistre, pas d'explication sur l'évolution tarifaire. Ce que je trouve désagréable et irrespectueux en vers les assurés.
J'ai 2 véhicules assurés avec Direct Assurance, et l'augmentation c'est effectuée sur les 2 véhicules. 
Cdlt</t>
  </si>
  <si>
    <t>claude-z-114521</t>
  </si>
  <si>
    <t xml:space="preserve">Je suis totalement satisfait tant en termes de prix , service , suivi et facilité .je reccomenderais sans hesitation et j'ai deja 2 vehgicules azssuré chez vous et bientot celui de mon fils </t>
  </si>
  <si>
    <t>gilles-m-136666</t>
  </si>
  <si>
    <t>Bien, rapide et facile, je recommande. Par contre, j'aurais aimé qu'on me propose de mensualiser  mais aucune proposition quant aux différentes modalités de paiement.</t>
  </si>
  <si>
    <t>nicolas-b-132952</t>
  </si>
  <si>
    <t>OK Les prix sont corrects et le site est clair et précis.
C'est très facile de créer un contrat sur ce site.
Tous mes contrats sont chez direct assurances</t>
  </si>
  <si>
    <t>gege-104156</t>
  </si>
  <si>
    <t>Très bon accueil téléphonique, très bon conseiller(e). A mon avis la meilleure mutuelle pour notre profession. Bien remboursé quand on choisi le contrat adapté à sa situation.
Adhérent depuis 46 ans.</t>
  </si>
  <si>
    <t>15/02/2021</t>
  </si>
  <si>
    <t>mcbdn-76043</t>
  </si>
  <si>
    <t>J'ai assuré ma première voiture toute seule toute fière de faire une démarche "d'adulte" ! Cela fait 4 ans et par hasard mes parents sont tombés sur le dernier échéancier que j'ai reçu, et là, ils se sont aperçus que je me suis fait un peu avoir. Au lieu du seul contrat d'assurance auto que je devrai avoir en fait j'en ai 4 !!!!! et moi qui était contente de ne pas payer trop cher je payais aussi pour 3 autres contrats qui m'avaient été octroyés sans que je comprenne grand chose vu que je n'avais que 18 ans. Très déçue et en plus le comble certains contrats ne servent à rien car mes parents me couvrent vue que j'habite encore chez eux donc dégoutée de payer pour rien !!! De plus apparemment pour résilier il faut que j'attende la date d'anniversaire donc encore de l'argent perdu. MERCI de se servir de ma jeunesse !!!!</t>
  </si>
  <si>
    <t>18/05/2019</t>
  </si>
  <si>
    <t>fred-62568</t>
  </si>
  <si>
    <t>assurance à éviter, nous avons l'impression de n'être pas entendu, des interlocuteurs qui répondent de façon laconique, avec des phrases toutes prêtes, et aucune façon de se faire comprendre. certains conseillers maîtrise fort mal le français, ce qui ne fait qu'accentuer les difficultés rencontrées .a oublier très rapidement !!!</t>
  </si>
  <si>
    <t>22/03/2018</t>
  </si>
  <si>
    <t>pym--101831</t>
  </si>
  <si>
    <t xml:space="preserve">Tant qu’il s’agit de souscrire tout va bien .
Au premier souci exposé , aucune solution n’est proposée.
Les conseillers n’ont pas de réelle qualification à l’être.
Quant à la situation d’un rachat total pour financement d’un achat 
immobilier demandé le 9 décembre,
Il est urgent d’attendre ....
De beaux discours sans aucun suivi
et traitement des demandes ....
sans parler de la gestion trop opaque et surtout mensongères 
quant aux commissions cachées .
Organisation à fuir ! </t>
  </si>
  <si>
    <t>24/12/2020</t>
  </si>
  <si>
    <t>bobthesponge-58008</t>
  </si>
  <si>
    <t>Après 10 années sans problème, un cambriolage cette année et direct ils me résilie mon contrat!
Que ce passe t'il en cette fin d'année 2017 ? La maaf a décidé de virer tous ses clients ..?
Et comme j'ai pu le voir dans d'autres commentaires et je confirme, ils vous appelles pour vous dire qu'ils ne reconduiront pas votre contrat l'année prochaine, mais ne dite pas à la nouvelle assurance que vous êtes radié... WTF ??</t>
  </si>
  <si>
    <t>12/10/2017</t>
  </si>
  <si>
    <t>boudet-e-125448</t>
  </si>
  <si>
    <t>Les tarifs sont correct comparé à la concurrence
Un conseillé disponible  et agréable
une souscription rapide du contrat
je recommande 
Des explications claires</t>
  </si>
  <si>
    <t>alexis-dnr--91948</t>
  </si>
  <si>
    <t xml:space="preserve">Je suis satisfait... les prix sont correct.. 
vue là pub à la télé et donc fait un devis.
Correct dans l’ensemble                      
                                         </t>
  </si>
  <si>
    <t>younus-h-134564</t>
  </si>
  <si>
    <t>C’est super cool !! Je suis très satisfait par le direct assurance . Cette assurance est un dispositif mutualiste et de solidarité qui permet à une personne physique ou morale de se protéger !!!</t>
  </si>
  <si>
    <t>tim666-60544</t>
  </si>
  <si>
    <t>A fuir-
Contrat mutuel santé résilié (par LRAR car il n'y a que ca qu'ils acceptent). Suite à résilitation, je m'aperçois que je suis encore prélevé pour un autre petit contrat parallèle "IJH", dont ils se sont bien gardé de m'avertir lors de la résilitiation de ma mutuel santé. Résultat: 4-5 euros prélevés tous les mois pendant 1 an.
Pire! Quand je m'en aperçois et leur demande de résilier immédiatement ce petit contrat (par LRAR encore), ils me disent que le délais de préavis de 2 mois me font basculer dans l'année suivante, qui sera entièrement due.
Resultat: 125 euros perdus pour rien.
C'est juste scandaleux.</t>
  </si>
  <si>
    <t>laure-d-128167</t>
  </si>
  <si>
    <t>JE SUIS SATISFAIT MAIS UN PEU LONG COMME DEMARCHE EN LINGNE pour changer d'assureur avec ttoutes les option proposer, je l'ai fait avec l'aide d'une conseillère</t>
  </si>
  <si>
    <t>alain-eugene-113094</t>
  </si>
  <si>
    <t xml:space="preserve">Bonjour
Dépannage demandé ce samedi 08 Mai auprès de Pacifica à 08h00
Résolu par un professionnel Garage Dumeige Amiens Dreuil Picquigny
Parfait
merci pour la prestation, rapide efficace.
Merci également à l'entreprise de dépannage de M. Dumeige
</t>
  </si>
  <si>
    <t>08/05/2021</t>
  </si>
  <si>
    <t>karla-m-118040</t>
  </si>
  <si>
    <t>Malheureusement Jamais d'avoir ou de remise  aprés bientôt trois années, la taxe attentat très bonne excuse pour justifier ce tarif  pourtant le prix ne cesse d'augmenter chaque année je vais changer et partir avec l'assurance de ma banque</t>
  </si>
  <si>
    <t>roland-k-116423</t>
  </si>
  <si>
    <t>J'ai changé de voiture au mois de janvier 2021, vous m'avez délivré une attestation d'assurance en ligne, en me disant que j'aurai la vignette verte à apposer sur le pare-brise sous un mois...je l'attends toujours, c'était peut être sous un an ...? ah oui la ''COVID'' je n'y pensais plus.
Et je l'aurai quand cette petite vignette verte...??</t>
  </si>
  <si>
    <t>jeremie-c-127376</t>
  </si>
  <si>
    <t>Le prix est competitif. C'est rapide sur internet. En espérant ne pas avoir d'accident. Si c'est le cas, j'espère être remboursé correctement.
Merci bien</t>
  </si>
  <si>
    <t>aurelie-k-130718</t>
  </si>
  <si>
    <t>Heureusement je n ai pas encore eu besoin des services de mon assurance donc je ne suis pas en capcité la qualité de ceux ci aprés un sinistre 
l'accessibilité au site et la réactivité de mes conseillers à Albi sont pour l'instant trés satisfaisantes</t>
  </si>
  <si>
    <t>laurent-l-122274</t>
  </si>
  <si>
    <t xml:space="preserve">Pas de problème particulier . Toujours un conseiller a l'écoute. le réponses sont claire et précises . Pas de doute. prix attractif par rapport a d'autre assurance </t>
  </si>
  <si>
    <t>ida-r-105193</t>
  </si>
  <si>
    <t>je ne prononce pas pour le moment j'ai juste besoin de temps pour me faire une opinion, on verra dans quelques mois
en vous remerciant
bien cordialement</t>
  </si>
  <si>
    <t>tigre06-138488</t>
  </si>
  <si>
    <t>Très mauvais accueil sur la plate-forme, manque de respect et de courtoisie, conseils déloyaux sur les sur-complémentaires en sus du socle-base employeur, non remboursements des soins sur factures avec un arsenal d'arguments non recevables, c'est des procéduriers en puissance. A éviter, leurs conseils m'ont couté plusieurs centaines d'euros ( prélèvements, non remboursement de mes prises en charge partielle des soins).il ne me reste plus qu'à trouver un bon avocat...</t>
  </si>
  <si>
    <t>pierrot59-98998</t>
  </si>
  <si>
    <t xml:space="preserve">Des remboursements sont effectués, mais pas moyen de recevoir les relevés correspondant malgré plusieurs réclamations. De ce fait je change de mutuelle à la fin de l'année  </t>
  </si>
  <si>
    <t>21/10/2020</t>
  </si>
  <si>
    <t>gg13-68756</t>
  </si>
  <si>
    <t>J'ai subi 2 dégâts des eaux en 4 semaines dans mon appartement en copropriété. les services de la MAIF gestionnaires et expert libéral mandaté ont été très réactifs pour me permettre en 6 semaines d'être indemnisé</t>
  </si>
  <si>
    <t>henry-l-106174</t>
  </si>
  <si>
    <t xml:space="preserve">je suis satisfait du prix sinon les démarches pour la résiliations d une autre assurance pour venir chez vous sont longues la macif a du mal a me fournir les documents de relevé d information.  </t>
  </si>
  <si>
    <t>fieulaine-s-107041</t>
  </si>
  <si>
    <t xml:space="preserve">Je suis satisfait du service et heureux de pouvoir conduire mon premier véhicule personnelle  , sans me ruiné et cela c'est grâce a vous.             </t>
  </si>
  <si>
    <t>gillouaye-e-122337</t>
  </si>
  <si>
    <t>Je suis satisfaite du contrat proposé par agence ainsi que des prix proposés et vous remercie de la rapidité du service et du traitement rapide de notre demande</t>
  </si>
  <si>
    <t>mia-sarah-j-130780</t>
  </si>
  <si>
    <t xml:space="preserve">Je suis satisfaite du service, les prix sont raisonnables pour une première voiture, une bonne confiance, je suis ravie d’avoir pris cette assurance, rien à dire </t>
  </si>
  <si>
    <t>lis-m-128862</t>
  </si>
  <si>
    <t>C'est ma première souscription assurance auto en France.
Service simple et pratique, à recommander.
Service à la clientèle aimable et compétent.
Niveau de prix plutôt satisfaisant.</t>
  </si>
  <si>
    <t>khelifi-a-117426</t>
  </si>
  <si>
    <t>Je suis satisfait de mon contrat d'assurance dans sa globalité. je remercie Mr ATTOUCH (client chez vous) qui vous a recommandé. De même , à mon tour, je vous recommanderai...Merci</t>
  </si>
  <si>
    <t>17/06/2021</t>
  </si>
  <si>
    <t>claude-m-115729</t>
  </si>
  <si>
    <t>Client habitué depuis plusieurs années avec satisfaction.
Deux véhicules sous couverture chez Direct Assurance.
Pas de problème, ça assure comme on l'attends.</t>
  </si>
  <si>
    <t>02/06/2021</t>
  </si>
  <si>
    <t>sonia-479-53049</t>
  </si>
  <si>
    <t>Très ravie de cet assureur. Ils ont été super réactifs quand j'ai eu un problème. 
Et en plus j'ai économisé plein d'argent en changeant d'assureur.</t>
  </si>
  <si>
    <t>07/03/2017</t>
  </si>
  <si>
    <t>rimbert-s-138790</t>
  </si>
  <si>
    <t xml:space="preserve">Satusafait jai deja 2 voitures assurée et tout c'est toujours bien passé !! Heureux davoir fait la connaissance de l'Olivier assurance, en esperant une longue collaboration </t>
  </si>
  <si>
    <t>francois-57879</t>
  </si>
  <si>
    <t>zéro ,nul , incompétent ,service déplorable , retard de remboursement incompatible avec les problèmes humains face aux maladies , signature en bas des courriers de personnes qui n existe même pas ,enfin nous sommes pris pour des imbéciles et des moins que rien !!</t>
  </si>
  <si>
    <t>10/10/2017</t>
  </si>
  <si>
    <t>guijarro-g-134024</t>
  </si>
  <si>
    <t xml:space="preserve">Ayant 3 contrats d'assurance, j'aurais espèrer que la fidélité soit plus payante et que les prix sont plus dégressifs. J'ose espérer qu'un geste commercial sera pris en compte c'est le seul point négatif. </t>
  </si>
  <si>
    <t>apo-51945</t>
  </si>
  <si>
    <t>leur prix sont trop chere. pour ajouté un conjoint le prix doubles??!!!! ne sont pas revennu vers moi suite a la demande de assurland. je vais surement résilier mon contrat rapidement.</t>
  </si>
  <si>
    <t>richardise-102788</t>
  </si>
  <si>
    <t xml:space="preserve">Bonjour, de plus en plus difficile de gérer les dossiers soit même, c'est a dire d'avoir élargir les compétences de la MGP avec plusieurs organisme de grande taille Santé Clair et Almeris et de laisser les adhérents se débrouiller tout seul avec leur ordinateur surtout pour les personnes qui ne gère pas bien cet instrument. Vous auriez du laisser ouvert les agences de proximité avec leurs bureaux pour faciliter les taches des adhérents. Les remboursements papiers que l'on envoi se perdent assez souvent et les traitements sont très long.  De plus les tarifs assez élevés pour les prestations données. </t>
  </si>
  <si>
    <t>marcassin-vert-51293</t>
  </si>
  <si>
    <t>Dommage que je n'avais pas vu votre message avant ! Même expérience cette année, 1 an après un sinistre, on m'informe que je ne toucherai rien. Déplacement en agence, totale incompétence. L'interlocutrice ne connait pas les détails des contrats, appelle un service et me passe le combiné téléphonique (du jamais vu !!) Impression d'avoir cotisé pour rien. J'ai tout résilié. même avis : A EVITER</t>
  </si>
  <si>
    <t>tendrebebe-111146</t>
  </si>
  <si>
    <t>Je recommande vivement cet assureur. Je suis chez eux depuis des années pour un van et des motos. Ils ont été super compréhensifs et souples lors du vol de ma moto en 2020 et j'ai pu bénéficier d'une belle indemnisation. Pas d'autre sinistre que ce vol avec eux.</t>
  </si>
  <si>
    <t>kamal-h-137532</t>
  </si>
  <si>
    <t xml:space="preserve">Je suis satisfait de l’offre merci pour tout je recommande fortement à tout les nouveaux permis c’est facile et efficace les prix sont abordables merci </t>
  </si>
  <si>
    <t>15/10/2021</t>
  </si>
  <si>
    <t>dferandes-115960</t>
  </si>
  <si>
    <t xml:space="preserve">Le service remboursement est une catastrophe absolue 
Cela fait 2 mois et demi et 3 appels et j’attends un simple remboursement d’où mon mécontentement 
A fuir ! </t>
  </si>
  <si>
    <t>04/06/2021</t>
  </si>
  <si>
    <t>khedi-102477</t>
  </si>
  <si>
    <t>Cliente depuis plus de 10 ans pour une assurance voiture eurofil
mécontente du prix payé aucune récompense fidélité 
informations erronées données par la personne qui appelle pour vendre assurance habitation aucun sens commercial</t>
  </si>
  <si>
    <t>babouchka-97165</t>
  </si>
  <si>
    <t xml:space="preserve">Conseiller dispo et réponse rapide 
Prix : Assez cher pour une couverture d'assurer pas top (+ de 83€ pour tiers) avec un bonus de 1.
Assurance remorquage au top (petit + j'ai pu choisir le garage où je souhaitais envoyé la voiture) personnel au tel compréhensifs 
Pas eu de remboursement de leur part, Ne peux pas m'exprimer
</t>
  </si>
  <si>
    <t>08/09/2020</t>
  </si>
  <si>
    <t>titite66-82183</t>
  </si>
  <si>
    <t>Dommage qu'on ne peut pas mettre 0 étoiles au niveau de la relation client ! Au départ, une simple panne de voiture et au final 1 an et de mi de galère (assistance en dessous de tout, voiture inutilisable etc, et au final victime d'abus de faiblesse) ! Aucune aide, aucune solution, personnel arrogant et méprisant. Je suis handicapée et j'ai tout perdu. Merci AXA !</t>
  </si>
  <si>
    <t>shila-59725</t>
  </si>
  <si>
    <t>Pour des renseignements il est très difficile d'obtenir un interlocuteur attentif, qui dévie toujours la question à laquelle aucune réponse n'est apportée. Je ne recommande pas du tout cette compagnie qui fait du dumping à la première échéance et en cas d'accident il est très difficile d'obtenir réparation</t>
  </si>
  <si>
    <t>15/12/2017</t>
  </si>
  <si>
    <t>mme-alves--139329</t>
  </si>
  <si>
    <t xml:space="preserve">Assureur Injoignable, mon dossier date depuis Février 2021 pour un dégât des eaux, qui en plus concerne la copropriété, vers qui ils peuvent se retourner.
A ce jour alors que les contres Expertises ont eu lieu en Juin, toujours rien aucun remboursement, aucun retour, aucun échange, aucune pièce  vers l'extranet.
Comment la Société Général peut elle se contenter de faire signé des contrats à ses clients et ensuite dire que eux même n'arrivent pas à les joindre et ne peuvent rien faire ?
Comment est ce possible en 2021 en France ? 
Eloignez vous de cet Assureur le plus vite possible ! </t>
  </si>
  <si>
    <t>10/11/2021</t>
  </si>
  <si>
    <t>jo36-76285</t>
  </si>
  <si>
    <t>J ai déménagé.   Mes contrats souscrits ne sont pas concernés.  3 eur de frais d avenant pour une ligne informatique.   Beaucoup trop cher et aucune info préalable sur ces frais</t>
  </si>
  <si>
    <t>27/05/2019</t>
  </si>
  <si>
    <t>alicou-m-125024</t>
  </si>
  <si>
    <t xml:space="preserve">Pour le moment je suis satisfait du service ainsi que de mon interlocuteur.
j ATTENDS DE VOIR dans le temps afin de voir si le service clientéle et vraiment efficace et compétent </t>
  </si>
  <si>
    <t>j-c-113177</t>
  </si>
  <si>
    <t xml:space="preserve">Hier, samedi 8 mai 2021, jour férié, panne au milieu de la forêt, supposé avoir une assistance depannage, 0km de surcroit, mais non, ne rêvons pas trop non plus, 0 depannage! Bravo l'incompétence, avec des arguments du genre "mais c'est jour ferié donc à votre charge" puis "par ailleurs d'où vous êtes à votre garage il y a 22km et au dessus des 20km il y a un surcout" alors meme qu'en Campagne TOUT est à PLUS DE 20KM! DONC je DÉCONSEILLE VIVEMENT AXA pour les gens habitant LA CAMPAGNE!! INCROYABLE mais vrai, pour ne pas dépenser des centaines d'€uros j'ai du ME DEPANNER SEUL, heuresement mon seul jour de repos..cela m'ayant pris la journée entière.
CONCLUSION &gt; FUYEZ ce conglomérat!!
Par ailleurs, ils "remboursent" ce qu'ils doivent DES MOIS après, lorsqu'on se dit qu'ils ne paieront finalement jamais, et miracle!
Non vraiment, entre leur service et leur investissement dans les armes à fragmentation, lucrative certes puisque ces armes sont interdites par la convention de Genève, être chez AXA est comparable à faire un tour en ENFER! Que ce soit pour le depannage comme pour leur service Juridique qui n'est rien de moins qu'une autre entreprise qu'Axa... on atteind le fond.
Cordialement et pour tous ceux désirant s'assurer d'etre bien assuré avant de signer un contrat avec le diable, FUYEZ voyons! </t>
  </si>
  <si>
    <t>09/05/2021</t>
  </si>
  <si>
    <t>jean-francois--b-125437</t>
  </si>
  <si>
    <t>Je suis très satisfait du service très simple et rapide et pas très onéreux et même par téléphone très aimable et gentil à l’écoute vraiment aucun soucis merci AMV</t>
  </si>
  <si>
    <t>thibault-h-107639</t>
  </si>
  <si>
    <t>Je suis satisfait du service proposé et je le recommande fortement. Écoute et réactif merci à vous, cependant peut être une recommandation c'est de voir ou revoir les prix pour être encore plus compétitif que vos concourant.</t>
  </si>
  <si>
    <t>mickael-e-125954</t>
  </si>
  <si>
    <t xml:space="preserve">Très bien tout est simple la souscription et les prix de l’assurance sont très correspondants à notre budget et les informations sont claires un seul bémol il faut avancer 2 cotisations pour souscrire </t>
  </si>
  <si>
    <t>tic-tac-108034</t>
  </si>
  <si>
    <t xml:space="preserve">Pour l'instant je suis satisfait de l'assurance O'poil j'ai envoyé la semaine dernière les frais pour les deux petits chats et une chaîne que j'ai les remboursements m'ont été fait ce jeudi
</t>
  </si>
  <si>
    <t>Assur O'Poil</t>
  </si>
  <si>
    <t>difulu-w-138263</t>
  </si>
  <si>
    <t>Très satisfait des prix et des propositions. Accueil téléphonique très agréable, sympathique et très clair. 
Je recommanderais a mon entourage c'est sur.</t>
  </si>
  <si>
    <t>loulou-105488</t>
  </si>
  <si>
    <t xml:space="preserve">Je ne recommande pas du tout très insatisfaite assurance scolaire pour enfants il faut payer en plus service comptable qui ne fait pas la remontée informatique du paiement réalisé par carte bancaire on vous annonce par téléphone qu'il faut payer de nouveau et que "vous êtes en retard" et de surcroît on vous facture des frais de retard suite à rejet de prélèvement plus de 8 euros pour 1 jours régularisé qui plus est par carte bancaire on vous annonce après que vous exigez l'extrait comptable qu'on vous l'envoi puis vous ne recevez rien si ce n'est que vous perdez vos journées au téléphone et c'est sans compter les propos absolument désastreux de certains conseillers qui vous parlent comme si vous étiez le pire cas social de l'année </t>
  </si>
  <si>
    <t>jpe-137487</t>
  </si>
  <si>
    <t>Rapport qualité prix raisonnable, contacts et démarches faciles, recherche sur le site AMV ludique, prise en charges et réponses aux demandes immédiates.</t>
  </si>
  <si>
    <t>nicky-62465</t>
  </si>
  <si>
    <t>Quelle DECEPTION!!! Ne soyez jamais victime d'un vol avec effraction. Les justificatifs et preuves que vous fournirez ne seront jamais pris en considération. En revanche, vous ne susciterez de la part des gestionnaires que de la compassion. Quelle ironie de penser que la fidélisation de la clientèle - je suis sociétaire depuis PLUS de 45 ans - est LA préoccupation du groupe Maif. 
Choisissez une assurance ou une mutuelle qui respecte les termes du contrat.</t>
  </si>
  <si>
    <t>19/03/2018</t>
  </si>
  <si>
    <t>laurent-g-117641</t>
  </si>
  <si>
    <t>Les prix sont correct certes mes les services ne sont pas au rendez vous.
Un camion perd une barre de fer devant moi sur l'autoroute, je passe dessus et j'y laisse au minimum une roue : vous êtes en dessous de 50 km de votre domicile (43) et c'est une creuvaison... Ensuite on arrive a me dire que c'est une perte de contrôle de mon véhicule. Tout ai fait pour que vous soyez en faute. Sans parler du ton pris au téléphone par certains opérateurs. Je précise que je suis en formule tout risque leasing...</t>
  </si>
  <si>
    <t>20/06/2021</t>
  </si>
  <si>
    <t>aure-54886</t>
  </si>
  <si>
    <t>Je commence à paniquer ! Je n'ai pas ma carte verte définitive et je vais bientôt rouler sans celle-ci ! Ils me demandent un relevé d'information (déjà envoyé 1 fois) avec date de résiliation de mon ancien contrat, ce que ne fournit pas mon ancien assureur ! et tout le monde est injoignable !
Donc quelle est la solution ? Rouler sans assurance ? Aller voir ailleurs et perdre mon versement ? Le stress ! Mon contrat au cas-où : 1080162637</t>
  </si>
  <si>
    <t>ghyslaine03-69875</t>
  </si>
  <si>
    <t>A fuir Placement  proposé par une conseillère en assurance vie pour transfomer mon livret en euro perte argent malgré 30 euro placé chaque mois  merci pour les 250 euro de perte en 1 an je ne suis pas satisfait des services  on ose dire c est votre faute .Impossible de consulter mon compte on me réponds que voulez vous qu on y fasse cliente depuis 11 ans je suis deçue et compte partir</t>
  </si>
  <si>
    <t>jl-51721</t>
  </si>
  <si>
    <t xml:space="preserve">Mauvais courtier d'assurance Mauvais service clients Allianz aucune réponse aux questions .Allianz siège plus cher que le courtier une honte  </t>
  </si>
  <si>
    <t>vcouchet-53098</t>
  </si>
  <si>
    <t>bonjour MR Couchet dossier 247024
j'ai eu un devis que j'ai accepté et depuis 6 semaines j'essais de fournir les nombreuses pièces demandée . il en manque toujours une . les 30 jours sont passés il me redemande de payer , ils ont tous les documents mais envois pas le certificat définitif . on est obliger d'appeler un numéro surtaxé, j'explique mon problem, ils nous font attendre minimum 4 minutes et me dise qu'ils vont me rappeler ce qu'il ne font jamais . j'en suis a me demander si je me fait pas avoir .</t>
  </si>
  <si>
    <t>bylk-89919</t>
  </si>
  <si>
    <t>bonjour a cause de cette prevoyance A2GR la mondiale je rencontre des difficulter financiere agios etc ils devait traiter mon dossier comme par hasard c un arret de travail de 33 jour indemniter qui s eleverai a 1250 euro d apres leur dire conversation j ai enregistrer il ont oublier de traiter mon dossier comme par hasard montant plus elever ils ont transfere mon dossier au service de gestion delai d attente 4 mois minimum j ai des saisi sur salaire des huissier a payer tout les mois et pour arreter ces frais bancaire et faire attendre le huisser je suis dans l obligation de saisir un avocat et nous irons au tribunal meme si c est long y aura des dommage et interets et je les prouverai avec les lettre de huissier voila j ai rencontrer un avocat si ya des gens interesser il m a dit si nous fesont des recours collectifs le dossier passera rapidement j ai deja 7 personnes qui ont accepter le recours collectifs si ds personnes sont interesser veuiller me contacter a mon courriel   bessasoso@gmail.com</t>
  </si>
  <si>
    <t>25/05/2020</t>
  </si>
  <si>
    <t>kevin-e-105374</t>
  </si>
  <si>
    <t xml:space="preserve">tout me convient franchement je suis super content de direct assurance  je recommande fortement cette compagnie d'assurance .
les prix sont tres interessant et l'application tres facile d'acces bref au top </t>
  </si>
  <si>
    <t>mateli-121417</t>
  </si>
  <si>
    <t>Je me demande s'il ne s'agit pas d'une pseudo assurance . Adhérente depuis le 1er janvier 2021 je n'ai toujours reçu AUCUN REMBOURSEMENT de simples consultations chez mon généraliste déclaré.  Au bout de 6 mois je viens de recevoir ma carte officielle d'adhérente...
J'ai envoyé x mails et x fois tous les justificatifs nécessaires et décomptes sécurité sociale; peine perdue je n'ai aucune réponse. Par contre mon prélèvement mensuel, lui, est bien effectif.
En conclusion, fuyez cette mutuelle si vous ne voulez pas vous faire avoir. Moi aussi j'attends impatiemment le délai légal pour résilier et faire opposition aux prélèvements</t>
  </si>
  <si>
    <t>28/06/2021</t>
  </si>
  <si>
    <t>francis-c-107835</t>
  </si>
  <si>
    <t>je ne suis pas du tout satisfait cela fait plus d'une année que l'on ma indiquer un accident sur mon relevé d'information , accident non en tord avec Deli de fuite de l'autre chauffeur  ou je devait payer une franchise que je ne pouvez pas assumer financièrement a ma demande aucune réparation a était faite , pourtant on me l'indique toujours sur mon relevé d'information , même après les démarche nécessaires  avec document qui mon était remise par eux même ou je les dégage de la responsabilité et ou je prend tout en charge et n'engagerait aucune poursuite , toujours des promesse qui vont rectifier LEUR  erreur et toujours rien de fais pour ma part les prix ok ,  le reste 0</t>
  </si>
  <si>
    <t>country-92385</t>
  </si>
  <si>
    <t xml:space="preserve">quand on demande un rachat total ou partiel ils ne traitent pas la demande ils ne reçoivent pas par mail les documents demandés LOL
Je suis cliente depuis 2006 j'ai perdu de l'argent avec leurs placements boursiers faits par des incompétents ,si bien que je suis passée en épargne simple et là on ne peu même en disposer come on veut .Autant laisser cette épargne sur un livret qui lui est accessible </t>
  </si>
  <si>
    <t>26/06/2020</t>
  </si>
  <si>
    <t>eliam1-51334</t>
  </si>
  <si>
    <t xml:space="preserve">Suite à un sinistre non responsable en date du 21/06/2018,je transmets l'ensemble indiquant l'accident ne m'est pas imputable. En conclusion, je suis non responsable. Voulant faire accélérer la situation, je demande par mail, l'adresse d'un garage agréé mais je n'ai eu aucune réponse malgré des relances téléphoniques multiples. Il me propose donc de trouver un garage pour expertise photos mais suite à plusieurs relances, un expert fait un chiffre 6 mois plus tard. Comme je suis un assuré au tiers, l'expertise n'est que conservatoire et l'indemnisation est subordonnée au recours engagé à la partie adverse. Je me pose donc la question de savoir à quoi peut servir une assurance si elle est incapable de subrogée à une autre identifiée. Merci de votre réponse. </t>
  </si>
  <si>
    <t>alifriqui-y-124798</t>
  </si>
  <si>
    <t xml:space="preserve">Je suis plutot satisfait de cette assurance malgré que le prix est trop excessif, le service clients au téléphone n'est pas toujours présent et la qualité de lappele est plutôt correcte </t>
  </si>
  <si>
    <t>anthony-g-134032</t>
  </si>
  <si>
    <t xml:space="preserve">Les garanties sont bien expliquées, tout est très clair et les prix sont très correct. Je recommande. 
Pour la suite, on sait toujours ce que vaut vraiment une assurance quand on en a besoin, j'espère ne pas y en avoir recours =) </t>
  </si>
  <si>
    <t>stephanie-r-135180</t>
  </si>
  <si>
    <t xml:space="preserve">Je vient d e souscrire à une mutuelle pour moi et ma famille et L'inscription a été simple et rapide et les prix sont tout à fait correct j'ai été contactée tout de suite pour savoir exactement mes besoin service client au top 
</t>
  </si>
  <si>
    <t>zephyra-64453</t>
  </si>
  <si>
    <t>Satisfaite de cette mutuelle pour les remboursements et le suivi du contrat</t>
  </si>
  <si>
    <t>04/06/2018</t>
  </si>
  <si>
    <t>yoni-c-127650</t>
  </si>
  <si>
    <t xml:space="preserve">Je suis satisfait le prix me convient pour les services demander j’ai déjà assurer un véhicule chez vous et je n’es jamais eu de problème alors je reste chez direct assurance </t>
  </si>
  <si>
    <t>michel-r-127822</t>
  </si>
  <si>
    <t xml:space="preserve">TRES BON SERVICE EN LIGNE
tout est tres correct je suis content de votre assurance jai toujours ete assure chez vous tout est nickelje conseille a tous les motards detre assure chez vous </t>
  </si>
  <si>
    <t>mk9-77003</t>
  </si>
  <si>
    <t xml:space="preserve">Ce sont des vendeurs de sommeil incompétent et méprisant, ne tienne pas leurs engagements, enfete on avec eux on paie une assurance pour le chien et on doit ce payé nous même les frais veto je suis dans le milieu canin je leur ai amené plein de client jamais 1euro rien aucune reconnaissance et j'ai passé plus de 2 ans chez eux </t>
  </si>
  <si>
    <t>21/06/2019</t>
  </si>
  <si>
    <t>domnantes44-49516</t>
  </si>
  <si>
    <t>AXA a essayer de me faire prendre de la responsabilité dans un sinistre et après contestation il s avère que c'était faux. De plus AXA m'a appliqué un malus contrairement à un courrier reçu disant que mon bonus 50% était acquis a vie</t>
  </si>
  <si>
    <t>24/11/2016</t>
  </si>
  <si>
    <t>nathalie-m-130031</t>
  </si>
  <si>
    <t>Pour l'instant, les prix sont dans les prix marché, donc c'est à l'usage, si j'ai besoin de faire appel à vos services que je pourrai comparer.
Cependant, j'espère bien ne jamais avoir besoin de vos services !!</t>
  </si>
  <si>
    <t>bobmayer-60773</t>
  </si>
  <si>
    <t xml:space="preserve">il sont les top des mutuelles en France </t>
  </si>
  <si>
    <t>bigjen-70651</t>
  </si>
  <si>
    <t xml:space="preserve">J'ai souscrit en 2012 lors de ma prise de retraite:
en 2019 je vais subir une augmentation de +66.5% par rapport à 2012 , à couverture constante si ce n'est que j'ai vieilli de 7 ans , donc  c'est très très loin de l'indice ANDAM du ministète de la santé.
Cherchons l'erreur ; 
pour la seule année 2019 le taux ANDAM est de +2.5% et CEGEMA augmente de +7.1%.
Bizarre bizarre!!!!
</t>
  </si>
  <si>
    <t>27/01/2019</t>
  </si>
  <si>
    <t>sabrina-99614</t>
  </si>
  <si>
    <t xml:space="preserve">Assurance inutile, ils ne sont pas du tout professionnels et n'ont aucun suivi clients c'est honteux avec toute l'argent qu'on leur donne chaque année. </t>
  </si>
  <si>
    <t>04/11/2020</t>
  </si>
  <si>
    <t>emre-t-138758</t>
  </si>
  <si>
    <t>on verra avec le temps pour linstant je peux rien dire. jesperque cest mieux que smatis parceque chez eux il ne remboursent rien du tout. ça va etre mon premier expr</t>
  </si>
  <si>
    <t>philippe-i-127571</t>
  </si>
  <si>
    <t xml:space="preserve">je suis satisfait du service. Cependant, le tarif d'assurance me concernant est trop élevé étant donné que je suis "bon conducteur" (jamais d'accidents responsables en moto comme en auto depuis l'obtention de mes permis), le tout en prenant compte de mon âge et de mon expérience de conduite. </t>
  </si>
  <si>
    <t>tal-60526</t>
  </si>
  <si>
    <t>Difficilement joignable
Ne tient pas aux promesses</t>
  </si>
  <si>
    <t>ssole-60370</t>
  </si>
  <si>
    <t>Bonjour, je souhaite partager ma déception. Mon mari et moi avons un bonus de 0.50 et étions fidèles à la maif depuis de nombreuses années. il y a 2 mois, nous avons eu un dommage concernant notre véhicule. Nous l'avons , après avoir signalé l'incident à la maif, déposée chez leur carrossier partenaire. Celui-ci nous avait dit que la voiture serait réparée au bout d'1 semaine. Malheureusement, 2 mois après, nous n'avons toujours pas notre voiture et toutes les semaines, le carrossier nous promet que tt sera réparé la semaine d'après. nous avons envoyé 1 recommandé accusé réception à la MAIF et aucune nouvelle de l'assurance (non respect règlementation). au final, nous payons l'assurance sans avoir la jouissance de notre voiture alors que réglementairement, nous ne devons pas payer pour un service non rendu.</t>
  </si>
  <si>
    <t>11/01/2018</t>
  </si>
  <si>
    <t>christelle-94001</t>
  </si>
  <si>
    <t>Je suis satisfaite du service proposé et vous êtes assez rapide . des prix pas trop élevée pour tout type de clients....à voir si tout se passe bien!’</t>
  </si>
  <si>
    <t>13/07/2020</t>
  </si>
  <si>
    <t>telmat-a-116095</t>
  </si>
  <si>
    <t xml:space="preserve">Je suis très satisfait du service et de la rapidité d’exécution à l’écoute et très réactif merci à Vo et bonne continuation à toutes l’équipe je recommanderais à mes proches </t>
  </si>
  <si>
    <t>lalegerie-f-128728</t>
  </si>
  <si>
    <t>Pro, rapide, sans critères idiots comme la plupart des assurances classiques qui vous pénalisent excessivement au bout de 30 ans de conduite, à cause d'une interruption les 3 dernières années !  Je recommande !</t>
  </si>
  <si>
    <t>johndoe-85835</t>
  </si>
  <si>
    <t>Résiliation abusive pour pièces manquantes 1 an après la souscription, service client minable. piéce demandée 10j avant la fin du contrat autant dire que si vous êtes débordé où à l'étranger vous serez résilié en cas de pièce manquante. Impossible de retrouver une assurance correcte après inscription à l'AGIRA par Peyrac. A fuir, payez un peu plus et prenez une vraie assurance.</t>
  </si>
  <si>
    <t>alex-66539</t>
  </si>
  <si>
    <t>Trop d'erreurs de gestion, mauvaise adresse sur le courrier Hamon qui m'a valu des prélèvements à tord et une réclamation sur mon ancien assureur, une proposition Tarifaire validée de manière douteuse, un relevé d'information juridiquement conforme à un véhicule que je ne possède pas, des mails envoyé mais traités un prestataire qui ne fait pas son travail...</t>
  </si>
  <si>
    <t>nab-127777</t>
  </si>
  <si>
    <t>Je suis satisfait du service le site est très bien expliqué tout est clair c'est rapide et efficace je conseille et très bon tarif pour les assurances</t>
  </si>
  <si>
    <t>didi34-70001</t>
  </si>
  <si>
    <t>malgré un jugement axa réponds pas et ne paye pas voilà la politique de axa assurance</t>
  </si>
  <si>
    <t>dylan-l-125534</t>
  </si>
  <si>
    <t>simple, pratique , intuitif, le site nous conduit facilement vers la signature du contrat tout en nous laissant le temps de lire clairement les documents</t>
  </si>
  <si>
    <t>stephane-v-106766</t>
  </si>
  <si>
    <t>pour le moment aucun sinistre donc , pour le moment content, il faudra si un jour j'ai un sinistre; question tarif c'est pas trop mal. perso j ai l'habitation et deux voitures</t>
  </si>
  <si>
    <t>sandrine--k-103651</t>
  </si>
  <si>
    <t>Bonjour,
Je suis intérimaire depuis le 01/01/2020, l assurance  prévoyance  étant obligatoire  par mon entreprise. Je n'ai pas eu d autres choix que d accepter le prélèvement  de mes cotisations sur mon bulletin de  salaire. Récemment lors d'une mission en m a arrêté  pour un congé  pathologique  de maternité et  par la suite  je suis directement  entrer en congé maternité.  J ai envoyé  mon dossier depuis le 2 septembre 2020.  A maintes reprises je leur appelé  pour connaître l etat d evolution de mon dossier. Ils me disait de patienter. Que les délais de traitement serai long ( environ 3 mois) . J ai patienter jusqu'au 8 décembre.  En leur appelant.l assurance me dit que mon dossier envoyé  par courrier ne figurait pas. Puis que non envoyé  avec un numéro de suivi ou recommandé.  Je décide alors  de leur envoyé mon dossier à nouveau via mon espace en ligne . Après maintes reprises d appel téléphonique. Je constate le 1 /02/2021 un règlement sur toute la période de mon congé pathologique de seulement 2.06 euros. Pour le congé maternité, je perçois un montant de 42,67 euros pour la période du 2/08/2020 au 04/12/2020. Ainsi donc, vous comprendrez que par leur calcul mes indemnisations journalières seraient de 0,35 centimes. C est une folie, tout en sachant que j'ai effectuer 938,93 heures de travailler pour un cumul de salaire avoisinant  à 12000. Si 1/360 eme des salaires de 12 mois correspond  à une indemnité  journalière d' approximativement 0,35 centimes. C est franchement prendre les gens pour des imbéciles,vu la somme qu'on nous retire chaque mois sur notre bulletin de salaire.  Je leur ai demander leur service de contentieux ou réclamation, la dame m a répondu qu il n en n ont  pas. C est le service gestion des finances qui me contactera dans 1 voire 5 mois !!!!!!C se foutre de la gu*** des gens. 
Une assurance  à fuir absolument.  Passer le message  à vos collègues de travail, si celle-ci est obligatoire. Vraiment très déçu, par le mépris auquel j ai eu droit.</t>
  </si>
  <si>
    <t>tony-b-129807</t>
  </si>
  <si>
    <t>Le prix est correct le site est facile a prendre en main maintenant comme toute assurance reste a voir la prestation en cas de sinistre, c'est la qu'on s'aperçoit de son efficacité</t>
  </si>
  <si>
    <t>tired-95892</t>
  </si>
  <si>
    <t>C'est tout bonnement une catastrophe...
Le conseiller AXA m'a vendu un tout autre service.
La communication est inexistante hormis avec votre conseillé qui , de toute façon, n'a aucun pouvoir de décision, ni ne peut influer sur le traitement de votre dossier.
AXA met tout en oeuvre pour retarder le paiement de vos indemnités journalières en cas d'arrêt de travail et demande en permanence exactement les mêmes documents (vraiment toujours les mêmes) J'en suis a trois rdv chez le médecin pour lui faire remplir ce document et il me le réclame encore. Bien entendu, il a fallu que je prenne un rdv téléphonique avec un e conseiller soit trois ou quatre jours d'attente pour un rdv pour apprendre qu'il manquait encore ce document. Si je n'avais pas pris les devants, la situation serait rester tel quel... 
J'ai vraiment l'impression d'être pris pour un imbécile par AXA et je suis ,ce jour , dans les avis des concurrents. En bref, si vous souhaitez régler une assurance pour ds brun es, alors vous serez exactement au bon endroit. Par contre si vous souhaitez une vrai couverture en cas de nécessité, alors je ne peux que vous encourager a choisir un autre prestataire car AXA n'est absolument pas a la hauteur.</t>
  </si>
  <si>
    <t>04/08/2020</t>
  </si>
  <si>
    <t>chocolat-117012</t>
  </si>
  <si>
    <t>À toute l équipe et Responsable de Génération vous êtes au Top ?? et très professionnelle à l écoute et soutien  un grand merci  à toute l équipe de générations un grand bravo ????????????</t>
  </si>
  <si>
    <t>edmond-l-117826</t>
  </si>
  <si>
    <t>mal conseillé sur l'assurance de mon appartement qui est vide depuis deux ans, donc payé plus cher pour rien, sauf pour vous...
mal conseillé sur l'assurance de mon appartement qui est vide depuis deux ans, donc payé plus cher pour rien, sauf pour vous...</t>
  </si>
  <si>
    <t>alain-v-109997</t>
  </si>
  <si>
    <t xml:space="preserve">je viens de souscrire.
c'est au pied du mur que l'on voit le maçon (ou l'assurance !) en espérant ne pas en avoir besoin ...
Pour le tarif c'est correct donc quatre étroites.
</t>
  </si>
  <si>
    <t>decuaxa2017-57253</t>
  </si>
  <si>
    <t>A la lecture des différents posts, je confirme : pour prendre l'argent, Axa est très performant, par contre pour ce qui est de la gestion des sinistres, c'est une catastrophe.
Leur but étant de vous noyer dans le temps et vous décourager, en vous rabachant  "c'est pas moi, c'est mon collègue qui...", mais à un moment donné, il faut assumer!
Suite à mon affaire de Juin dernier, je suis en train de créer un blog, et bientôt lancer une page Facebook (avec mes 200000 contacts, il y en a  certainement quelques uns chez AXA)
Je communiquerais les infos bientôt via tous les canaux possibles....</t>
  </si>
  <si>
    <t>11/09/2017</t>
  </si>
  <si>
    <t>sandra-d-122231</t>
  </si>
  <si>
    <t xml:space="preserve">Prix excessifs  par rapport à d'autres compagnies et le service laisse à désirer . Je reste uniquement car d'autres compagnies me refuse car j'ai été victime d'un sinistre mais je partirai dès que je le pourrait </t>
  </si>
  <si>
    <t>jean-no33-99081</t>
  </si>
  <si>
    <t>Le seul a assurer une moto sportive à un prix étudié. En cas de sinistre le règlement du dossier est très rapide. Pourrait faire mieux en faveur des bons conducteurs.</t>
  </si>
  <si>
    <t>22/10/2020</t>
  </si>
  <si>
    <t>heron-m-125246</t>
  </si>
  <si>
    <t>Frais de dossier un peu excessif en assurance auto tout risques ainsi que les franchises mais prix corrects en mensuel pour un automobiliste mal usé .</t>
  </si>
  <si>
    <t>adrienpa-70994</t>
  </si>
  <si>
    <t xml:space="preserve">Suite à accident dont je n'étais pas responsable, la police a établis un triplicata que j'ai transféré à Euroassurance pour qu'ils se rapprochent du commissariat afin de déterminer les responsabilités (la poice a clairement établi que je n'étais pas responsable). 
Après 2 mois, je reçois un mail m'informant que le constat à l'amiable, que je n'ai pas signé, de l'autre conducteur impliqué, détermine que la responsabilité est partagée... et que donc on ne me rembourse qu'à moitié les dommages et que j'aurais dorénavant un malus... Comment cela est-il possible ? Je compte porter mon cas devant la justice. </t>
  </si>
  <si>
    <t>blumbelle-77579</t>
  </si>
  <si>
    <t xml:space="preserve">Bonjour depuis plusieurs semaines déjà j envoi plusieurs mails et tel  au sujet d un remboursement rente  pas de nouvelles de ce remboursement on me dit tout le temps on est en attente du logiciel permettant le remboursement on se moque de moi </t>
  </si>
  <si>
    <t>12/07/2019</t>
  </si>
  <si>
    <t>grumelon-j-117792</t>
  </si>
  <si>
    <t xml:space="preserve">je suis satisfait j'ai juste pas compris pourquoi pour le même véhicule sur quelque jour le prix a change de près de 150Euros par Ans ? devis no2283481011 j'etais a 547.56/ans et la je suis passer a 700Euros par ans </t>
  </si>
  <si>
    <t>dame-j-135291</t>
  </si>
  <si>
    <t>Excellent service très professionnel. Accueil téléphonique et niveau de renseignements en réponse aux questions parfait. Facilité d'exécution grâce à une service informatisé performant.</t>
  </si>
  <si>
    <t>julys57-62666</t>
  </si>
  <si>
    <t xml:space="preserve">Bonjour,
cela fait un an que j'ai souscrit à cette assurance et pour le moment... je n'ai aucune mauvaise surprise et j'en suis entièrement satisfaite. Je suis un peu intriguée par les commentaires négatifs concernant l'inscription à cette assurance. Mon devis n'a pas changé avec le prix final... c'est clair que si vous cachiez des sinistres... il ne faut pas s'étonner d'une hausse de prix sur le tarif final! Puis un contrat se remplit avec temps et réflexion, non "à l'arrache". Le délai de prise en charge de mon dossier a été relativement rapide et le service client un vrai guide dans mes nouvelles démarches. J'ai gagné pratiquement 50% du prix de mon ancienne assurance pour des garanties supérieures (avant pratiquement 110€ par mois, maintenant même pas 50€...).
Pour ce qui est du reste (changement de situation, sinistre etc...), je ne peux en parler car cela ne m'est pas arrivé (et j'espère que cela n'arrivera pas).
Le seul point négatif que je peux relever à mon niveau est que l'olivier assurance ne reste qu'une plateforme internet - c'est un point négatif indépendant des agents car ce concept est bien expliqué (il y a des gens qui ne semblent pas le comprendre) donc oui, ce n'est pas toujours facile de communiquer. Ce serait peut-être judicieux que cette assurance essaye de placer des représentants dans différentes villes. Avec le télétravail maintenant, il y aurait beaucoup de choses à faire pour améliorer le service de ce côté là... 
Cela dit, il y a une grille de référence présentant les heures idéales auxquelles les joindre et j'ai toujours obtenu une réponse à mes requêtes.
Je viens d'envoyer une réclamation portant sur ma carte verte (l'ancienne se termine le 07.04.2018) et je n'ai toujours pas la nouvelle (je ne sais si c'est normal). J'en ai absolument besoin... je vais voir si le service est toujours aussi réactif.
Si un jour j'ai un litige avec eux, je n'hésiterais pas à revenir ici pour communiquer mon expérience. </t>
  </si>
  <si>
    <t>mathieu-b-106864</t>
  </si>
  <si>
    <t>satisfait du service, je souhaiterais toutefois un avantage plus important pour parrainer les membres de ma famille, 40% serait bien et me rendrais 100% satisfait</t>
  </si>
  <si>
    <t>jb-102797</t>
  </si>
  <si>
    <t>service téléphonique toujours courtois et efficace .,mais depuis l'association à santéclair les choses se sont un peu détériorées , à mon sens.tout était beaucoup plus simple lorsque vous étiez les seuls intervenants  .</t>
  </si>
  <si>
    <t>luc-47361</t>
  </si>
  <si>
    <t xml:space="preserve">la maif résilie sans prévenir les contrats de ses adhérents de longue date : sans mail, sans appel téléphonique, sans courrier: grave préjudice et mise en danger  des personnes </t>
  </si>
  <si>
    <t>keko-49881</t>
  </si>
  <si>
    <t>Mutuelle sérieuse (remboursement sous 15j en cas de sinistre). Personnel qualifié. Tarifs compétitifs dans l'ensemble.</t>
  </si>
  <si>
    <t>frederic-j-108591</t>
  </si>
  <si>
    <t>Je suis satisfait du tarif mais en cette situation exceptionnelle, vous auriez put faire un effort pour ne pas l'augmenter cette année vu que l'on a peu roulé</t>
  </si>
  <si>
    <t>kevin-c-127244</t>
  </si>
  <si>
    <t>Je suis satisfais des tarifs proposés de plus, grâce au parrainage, nous pouvons bénéficier d'un autre bonus pour notre assurance mutuelle. Cordialement.</t>
  </si>
  <si>
    <t>aazdoud-71872</t>
  </si>
  <si>
    <t xml:space="preserve">Assurance CACI est une vraie machine à générer du cash.
Ils ne sont là que prélever sur les comptes des clients </t>
  </si>
  <si>
    <t>LCL</t>
  </si>
  <si>
    <t>albert-137183</t>
  </si>
  <si>
    <t>J'ai eu pour interlocutrice Khadidiatou. Patiente, sereine souriante et efficace !
Un exemple. C'est parfois assez rare. Mais là, je dois dire que mon dossier a été bien suivi.</t>
  </si>
  <si>
    <t>johann-b-128607</t>
  </si>
  <si>
    <t xml:space="preserve">Je n’ai pas été satisfait du tout :
1- des échanges avec aucunes propositions de solution ayant conduit à la rupture de mon contrat après 1 mois d’engagement
2- de la prise en charge pour passer de mon ancien contrat d’assurance avec Direct Assurance vers mon nouveau contrat. 
Pour le reste, je suis pour le moment satisfait (prix, application). </t>
  </si>
  <si>
    <t>giovanni-29n-102137</t>
  </si>
  <si>
    <t>Très satisfait de la prestation, des tarifs ultra compétitif par rapport à ces escrocs de banquier.... ! Un agent général disponible dès que j'en ai besoin et qui répond au coup de téléphone ! Bien pratique d'avoir un intermédiaire qui s'occupe de moi !</t>
  </si>
  <si>
    <t>42express-103075</t>
  </si>
  <si>
    <t xml:space="preserve">services nul réponse inadapté jamais la même réponse 
ne répond jamais au mail une heures d attente pour les avoir au téléphone
vraiment rien a foutre de leurs client . 
desolant de voir ca  </t>
  </si>
  <si>
    <t>22/01/2021</t>
  </si>
  <si>
    <t>alj-74610</t>
  </si>
  <si>
    <t xml:space="preserve">MON AVIS: ZERO POINTE
En  Morbihan un Agen Général  &amp; sa femme - car ils dévissent en duo-  qui deviennent "enragés" dès qu'on veut les quitter. 
Mais après 10 années chez eux, mes lettres de résiliation pour l'habitation et le véhicule étaient devenues indispensables. Depuis, je compte tous les jours des entorses à la législation des assurances, entorses que je vais faire constater par un homme de loi afin d'être certaine que j'ai raison pour aller devant le Tribunal d'Instance. 
1-	Assurances : l'inscription d'accident non responsable enfin punie !
(3 565 vues) - 14 septembre 2017 / 2 commentaires
Par La rédaction
A l'occasion d'un jugement rendu par le Tribunal d'instance de Grasse (06) le 11 juillet dernier, l'inscription d'un sinistre non responsable au dossier de la victime par son assureur a été officiellement dénoncée comme illégale… Et condamnée comme il se doit. Les automobilistes ayant subi le double préjudice de l'accident et de la notification de celui-ci dans leur relevé d'information ont donc désormais les armes pour ne plus se laisser faire. 
2-	mon  relevé d'information note des "pets" sur des parkings et 1 pare-brise, or,  un jugement rendu par le tribunal d'instance de Grasse le 11/07/2017 a déclaré comme illégal l'inscription sur le relevé d'informations d'un sinistre non responsable. Ce jugement fait jurisprudence.
JO du 02/09/1983- Annexe A121-1 du Code des Assurances 
Article 6 : Ne sont pas à prendre en considération, pour l'application d'une majoration, les sinistres ayant engagé totalement la responsabilité d'un tiers.
Article 7 :  « Lorsque le sinistre est survenu à un véhicule en stationnement par le fait d'un tiers non identifié……. Ou lorsque le sinistre met en jeu uniquement l'une des garanties suivantes : vol, incendie, bris de glace, il n'est appliqué ni majoration, ni réduction pour l'année au cours de laquelle ce sinistre est survenu.
J'ai un bonus à 50% depuis l'année 2000
En 2019, l'assureur a fait passer à la trappe toutes ces années de bonus en déclarant : « coefficient  de bonus appliqué à la dernière échéance annuelle du 01/03/2019 : 0.50% » ;. Donc,  18 ANS de bonus effacés à tort pour un accrochage où je ne suis responsable qu'à 50%,
3-	 J'ai subi une augmentation du prix de  mon assurance de 37%
4-	Mon nouvel assureur s'est basé sur le relevé d'informations qui n'est pas conforme.
5-	L'assureur demande le courrier de mon bailleur quand on lui demande une attestation d'assurance. J'ai refusé. 
</t>
  </si>
  <si>
    <t>05/01/2021</t>
  </si>
  <si>
    <t>liberty-67342</t>
  </si>
  <si>
    <t>Très déçue de la GMF. Première fois que l'on me reproche d'avoir plusieurs à mon nom...Les personnes ne sont pas du tout agréables au téléphone. Les prix sont excessifs comparés aux garanties attendues qui sont nulles.</t>
  </si>
  <si>
    <t>04/10/2018</t>
  </si>
  <si>
    <t>annadestin-104237</t>
  </si>
  <si>
    <t>Ma satisfaction est totale concernant cette mutuelle auquel le j'adhère depuis 21 ans. Le service et la garantie sont d'une grande qualité.
Je la recommande à tout fonctionnaire de police!</t>
  </si>
  <si>
    <t>16/02/2021</t>
  </si>
  <si>
    <t>samantha-f-128250</t>
  </si>
  <si>
    <t xml:space="preserve">Je suis satisfaite ,
devis rapide et prix correct ,
Guide sur la meilleure version à prendre, ce qui aide bien. 
Devrais proposer peut être une option réparation dans le tout risque </t>
  </si>
  <si>
    <t>lara-104641</t>
  </si>
  <si>
    <t>Une Honte, ils ne préviennent pas quand le contrat se termine et ensuite refusent de rembourser ls frais. 
S'ils prévenaient, peut être pourrions-nous prendre des dispositions pour ne pas payer plein pot nos frais médicaux.
HONTEUX. SCANDALEUX</t>
  </si>
  <si>
    <t>23/02/2021</t>
  </si>
  <si>
    <t>nala95-100114</t>
  </si>
  <si>
    <t>Bonjour,
Je laisse un avis défavorable pour le non respect du geste commercial qui m'a été accordé il y a 1 an et je suis toujours en attente des 60 euros qu'ils me doivent. J'appelle constamment pour réclamer mon dû mais en vain, on me réponds "on va vous rappeler ou vous allez recevoir le virement dans 3 mois" vous êtes gentil mais ça fait 1 an jour pour jour que j'attends mon remboursement. Ils arrêtent pas de me balader mais un moment donner c'est un non respect envers leur client</t>
  </si>
  <si>
    <t>15/11/2020</t>
  </si>
  <si>
    <t>didier-g-108620</t>
  </si>
  <si>
    <t xml:space="preserve">Dans l'ensemble, c'est correct. 
En attente de devis pour comparer. En habitation direct assurance encore 
trop cher. 
Je pense que niveau tarif peut mieux faire. 
Cordialement </t>
  </si>
  <si>
    <t>bady703-49299</t>
  </si>
  <si>
    <t>Completement nul! j'attends un virement de Swisslife depuis Juliet 2016, et its trouvent toujours une excuse pour ne pas me payer!!!                                                                                                                                                      ..</t>
  </si>
  <si>
    <t>17/11/2016</t>
  </si>
  <si>
    <t>nono-131241</t>
  </si>
  <si>
    <t xml:space="preserve">Ils m'ont laissé tombé sous prétexte que j'ai eu 2 sinistres non responsable!! Et que c'est inscrit dans les petites lignes du contrat.
(Il fallait le savoir)
</t>
  </si>
  <si>
    <t>porsche997s-76961</t>
  </si>
  <si>
    <t>Qui arrive à joindre une personne à la Mutuelle ? on tombe que sur des répondeurs que ce soit au siège ou en province</t>
  </si>
  <si>
    <t>barbodoo-56534</t>
  </si>
  <si>
    <t>Un bon début qui fini mal</t>
  </si>
  <si>
    <t>07/08/2017</t>
  </si>
  <si>
    <t>stephane-g-105408</t>
  </si>
  <si>
    <t xml:space="preserve">Bonjour,
Je vous remercie pour votre retour.
Je vous informe que je viens d'effectuer le paiement de ma cotisation du mois de mars par carte bancaire.
En revanche, je tiens à vous faire part de mon mécontentement quant à cet incident qui n'est en aucun cas de mon fait.
Il s'avère que mon n° IBAN a été modifié. Et qu'il n'a pu être modifié que de votre côté car le numéro renseigné est impossible à valider du côté utilisateur car erroné ! En tant qu'informaticien de métier il est fort probable qu'une manipulation sur vos bases de données ait été effectuée.
Il serait de bon ton, de vous assurer du bon fonctionnement de votre site Internet avant de « menacer » les clients de suspension de contrat !
Je suis client chez Direct Assurance depuis toujours, je n'ai jamais eu d'incident de paiement. Vos services m'ont jusqu'ici toujours apporté satisfaction mais je suis fortement déçu d'une telle considération d'autant plus que l'erreur se situe de votre côté !!!
Cordialement,
Stéphane Guiraud
</t>
  </si>
  <si>
    <t>ms-69367</t>
  </si>
  <si>
    <t>A fuir !!! suite à un accident non-responsable, j'ai du batailler pour que le dossier avance, pour joindre les personnes etc</t>
  </si>
  <si>
    <t>26/12/2018</t>
  </si>
  <si>
    <t>driss-l-112438</t>
  </si>
  <si>
    <t>Personne très agréable au téléphone. Je recommanderai votre assurance aux autres utilisateurs de deux roues. Merci pour votre écoute.
Bien cordialement.
Lasmak Driss</t>
  </si>
  <si>
    <t>camille-f-114303</t>
  </si>
  <si>
    <t xml:space="preserve">Je suis satisfait du service, j'ai reçu les documents rapidement que ce soit le boitier ou la carte verte. Concernant le prix il et résonnable je n'est pas encore pue tester you drive pour les reduction </t>
  </si>
  <si>
    <t>patrice-h-110132</t>
  </si>
  <si>
    <t>Les prix ne me conviennent pas pour mon deuxième véhicule, malgré que je suis un client depuis années. Aucun geste commercial. On considère le client comme un simple numéro.</t>
  </si>
  <si>
    <t>gerard-123463</t>
  </si>
  <si>
    <t xml:space="preserve">Ce matin j'ai contacté ma mutuelle MGP,
Myriam la conseillère qui m'a répondu m'a donné les renseignements que je désirais avec beaucoup de professionnalisme et de gentillesse.
Cette personne fait honneur à son service.
    Bien cordialement.
                   G.K. </t>
  </si>
  <si>
    <t>elodie95-88644</t>
  </si>
  <si>
    <t>5 années assurer chez eux aucun défaut de paiement 2 sinistres non responsables et ce matin au réveil je m'aperçois qu'il m'on résilié sans en être informée au préalable comme la lois l'oblige. Travaillant en EHPAD cela me porte préjudice surtout en cette période de confinement.</t>
  </si>
  <si>
    <t>02/04/2020</t>
  </si>
  <si>
    <t>valerie-85893</t>
  </si>
  <si>
    <t xml:space="preserve">Étant assurée TOUT RISQUE, je peut vous dire Nul nul nul nul nul !!!!! Ils vous résilient au bout de 2 à 3 sinistre même si vous n'êtes pas en tord !! Ils se permettent de vous mettre en plus de sa sur liste rouge histoire que aucunes autre assurance vous prenne !! J'aimais était en tord et je me retrouve résiliée sans aucunes raisons valables. Assurance a éviter au maximum !!!!! Il n'ont jamais respecté leur assurées et ils ne les respecteront jamais !!!! Laisser les gens dans un pétrin pareille il y a que la Matmut capable de faire cela. Si vous vous assurez chez eux votre assurance ne vous servira à rien du tour. Merci aurevoir </t>
  </si>
  <si>
    <t>14/01/2020</t>
  </si>
  <si>
    <t>badice-56851</t>
  </si>
  <si>
    <t xml:space="preserve">Du grand n'importe quoi ! 
Une fois souscrit et payer 3 mois de cotisations ainsi que frais de dossier .... Le cauchemar commence ... demande de papier incessant toujours plus encore plus et des documents bidons des choses inutiles ! Et hop résiliation surprise ... mis au courant bien après. .. petit remboursement du sois disant trop perçu qui équivaut à moins d un quart de ce que j ai payer . Pour être finalement assurer 3 semaines . Je suis outrée. Et en colère de perdre de l argent du temps .... ! Le service client est déplorable on dirait qu il n y connaisse rien et répéte un protocole quelques soit la situation  . 
Quand on est en difficulté à joindre les deux bouts et que pour être honnête on banque en assurance et qu on fait pas de vacances car il valait mieux payer l assurance c est toute une famille avec des enfants qui se sent pris au piège. </t>
  </si>
  <si>
    <t>24/08/2017</t>
  </si>
  <si>
    <t>sylvie-d-122324</t>
  </si>
  <si>
    <t>Je suis très satisfait d'avoir pris une assurance et je lé recommandé a 100% ayant fait un comparatif je vous ai choisi car vous êtes dans le top3 du comparatif</t>
  </si>
  <si>
    <t>girbouille-77126</t>
  </si>
  <si>
    <t>bien servie par  l assureur et par le courtier et bien compris</t>
  </si>
  <si>
    <t>26/06/2019</t>
  </si>
  <si>
    <t>amnous-54536</t>
  </si>
  <si>
    <t>nul service client lamentable vous raccroche au nez des que vous vous enerver car ils ne font pas leur travail.</t>
  </si>
  <si>
    <t>09/05/2017</t>
  </si>
  <si>
    <t>kaderkanache-68589</t>
  </si>
  <si>
    <t>c'est n'est pas une bonne companie ne sont pas bon avec les  les clients ils essayent faire rentré de l'argent a la caisse  par tous les  tous les moyens je ne les conseille a personne j'etais client chez eux depuis plus de 5 ans j'ai jamais etais content avec eux ils trouve toujour les petites betes pour encaissé de l'argent aux   clients surtout quand ont achate une voiture a l'etranger et on assure la voiture chez eux  ils savent que pour avoir la carte grise ca prend du temps parceque la voitrure etrangere pour deposé le dossier et faire la carte grise en france ca prend du temps eux ils donne un delais trés cours pourque la perssone assuré n'aurras pas le temps pour recevoir la carte crise et la envoyer a eux eux ils  profite l'occasion de résilié la personne en encaisse les 3 mois payé et la duré assuré meme pas 1 mois donc faites attention</t>
  </si>
  <si>
    <t>sekou-s-128105</t>
  </si>
  <si>
    <t xml:space="preserve">Non rapport qualité prix  . 
Je suis satisfait du contrat qui m est proposé. 
Bonne couverture lorsqu'on est en tous risques.  Je recommande vivement </t>
  </si>
  <si>
    <t>charlie-105389</t>
  </si>
  <si>
    <t xml:space="preserve">Suivi de dossiers rigoureux et sans faille. 
Efficace.
Personnel aimable, disponible et à l écoute. Très réactif et de bons conseils. 
A recommander. </t>
  </si>
  <si>
    <t>marco-60197</t>
  </si>
  <si>
    <t>Une proche a été avisée par la MGP, 8 ans1/2 après le décès d’un oncle, qu’elle, et donc en principe moi et mes cousin(e)s, étions bénéficiaires d’une ASSURANCE DÉCÈS qu’il avait souscrite.
Ensuite, une vraie galère !
On a beau faire des recherches et leur envoyer toutes les pièces qu’ils demandent, il reste un livret de famille de l’oncle introuvable si longtemps après (pas d'enfant, les proches tous décédés et une dame ayant atteint le stade Alzheimer).
La MGP possèdent des enquêteurs et des généalogiques auxquels ils font manifestement peu appel.
Au téléphone il y a barrage filtrant très puissant dont le rôle consiste manifestement à dégager les importuns.
Impossible d’avoir un humain s’occupant vraiment du dossier (cela m’est arrivé une seule fois).
Si vous devez avoir des rapports avec eux ne "dialoguez" que par LETTRE RECOMMANDÉE.
Impossible de savoir quel est le MONTANT exact du capital GLOBAL (si on savait la somme dérisoire on laisserait tomber...).
Impossible pour la quasi totalité des neveux et nièces de savoir S’ILS SONT MÊME BÉNÉFICIAIRES.
Les 10 ans arrivant la somme va donc prendre la direction de la Caisse des dépôts et consignations...</t>
  </si>
  <si>
    <t>05/01/2018</t>
  </si>
  <si>
    <t>yaya-63440</t>
  </si>
  <si>
    <t>ras.................................................................................</t>
  </si>
  <si>
    <t>20/04/2018</t>
  </si>
  <si>
    <t>toulabo-k-115673</t>
  </si>
  <si>
    <t>La digitalisation de la procédure de la souscription est une satisfaction totale. Le prix est vraiment accessible voire acceptable pour les garanties souscrites Merci</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</si>
</sst>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IFERROR(__xludf.DUMMYFUNCTION("GOOGLETRANSLATE(C2,""fr"",""en"")"),"If you want to be taken for a squash, or a simple milk cow then subscribe to this insurance, you will not be disappointed, incompetence and lack of seriousness are their characteristics. Strichy a rectangular concrete terminal, my gearbox dropped. At the "&amp;"end of this period of time, I recalled and they answered me, we did not have your phone number to reach you, we put you in relation with the convenience store, this one answers me I am in Montpellier, I said to myself: it's a joke and no.I work, I no long"&amp;"er had time to wait and a neighbor came to help me shift the car that bothered on the road. I reminded a few days Later to reiterate my request which could finally succeed. I called my insurance to ask for what will happen if I made this pass in a claim. "&amp;"They replied: you will have a penalty, you will have that the franchise to pay From 270 euros, there will be an expert who will pass. I said OK. Of course, I receive the garage quote, 2,700 euros to pay, including only 1900 euros for the gearbox knowing t"&amp;"hat the car is worth 3000 euros and Ho Surprise, the expert to apply a dilapidation rate on the gearbox 50%. Which means that everything else is at my expense, I tell him but wait, you do not take into account the clutch kit, the expert answers me no, for"&amp;" me it is useless to change it. Ask: why does the garage in these cases change it? His answer, I give it to you in a thousand: in fact, it is the garage which is responsible for the latest reparation and if it breaks in a week, they do not want Not to be "&amp;"the faulty. I ask him a second question: the gearbox you are going to put in the place, it is in gold? He answers no, these are the prices ... Put me for a nigude too, I A watched the prices and the garage take a margin of 700 euros. In addition, I know t"&amp;"hat it is forbidden to apply a dilapidated on a part to be repaired, and you will not take me for a fool by providing me as an excuse , this is the fault of the expert knowing that you work together. In addition, on my contract, I subscribed to any risk. "&amp;"I think we will see each other well Étit because I don't intend to stay there, the paperwork it knows me soon.")</f>
        <v>If you want to be taken for a squash, or a simple milk cow then subscribe to this insurance, you will not be disappointed, incompetence and lack of seriousness are their characteristics. Strichy a rectangular concrete terminal, my gearbox dropped. At the end of this period of time, I recalled and they answered me, we did not have your phone number to reach you, we put you in relation with the convenience store, this one answers me I am in Montpellier, I said to myself: it's a joke and no.I work, I no longer had time to wait and a neighbor came to help me shift the car that bothered on the road. I reminded a few days Later to reiterate my request which could finally succeed. I called my insurance to ask for what will happen if I made this pass in a claim. They replied: you will have a penalty, you will have that the franchise to pay From 270 euros, there will be an expert who will pass. I said OK. Of course, I receive the garage quote, 2,700 euros to pay, including only 1900 euros for the gearbox knowing that the car is worth 3000 euros and Ho Surprise, the expert to apply a dilapidation rate on the gearbox 50%. Which means that everything else is at my expense, I tell him but wait, you do not take into account the clutch kit, the expert answers me no, for me it is useless to change it. Ask: why does the garage in these cases change it? His answer, I give it to you in a thousand: in fact, it is the garage which is responsible for the latest reparation and if it breaks in a week, they do not want Not to be the faulty. I ask him a second question: the gearbox you are going to put in the place, it is in gold? He answers no, these are the prices ... Put me for a nigude too, I A watched the prices and the garage take a margin of 700 euros. In addition, I know that it is forbidden to apply a dilapidated on a part to be repaired, and you will not take me for a fool by providing me as an excuse , this is the fault of the expert knowing that you work together. In addition, on my contract, I subscribed to any risk. I think we will see each other well Étit because I don't intend to stay there, the paperwork it knows me soon.</v>
      </c>
    </row>
    <row r="3">
      <c r="A3" s="2">
        <v>1.0</v>
      </c>
      <c r="B3" s="2" t="s">
        <v>18</v>
      </c>
      <c r="C3" s="2" t="s">
        <v>19</v>
      </c>
      <c r="D3" s="2" t="s">
        <v>20</v>
      </c>
      <c r="E3" s="2" t="s">
        <v>21</v>
      </c>
      <c r="F3" s="2" t="s">
        <v>15</v>
      </c>
      <c r="G3" s="2" t="s">
        <v>22</v>
      </c>
      <c r="H3" s="2" t="s">
        <v>23</v>
      </c>
      <c r="I3" s="2" t="str">
        <f>IFERROR(__xludf.DUMMYFUNCTION("GOOGLETRANSLATE(C3,""fr"",""en"")"),"do not respond to the phone
Customer area does not work
paid phone
Personal on accounts even after termination
I am sorry
It’s null from null
")</f>
        <v>do not respond to the phone
Customer area does not work
paid phone
Personal on accounts even after termination
I am sorry
It’s null from null
</v>
      </c>
    </row>
    <row r="4">
      <c r="A4" s="2">
        <v>4.0</v>
      </c>
      <c r="B4" s="2" t="s">
        <v>24</v>
      </c>
      <c r="C4" s="2" t="s">
        <v>25</v>
      </c>
      <c r="D4" s="2" t="s">
        <v>26</v>
      </c>
      <c r="E4" s="2" t="s">
        <v>14</v>
      </c>
      <c r="F4" s="2" t="s">
        <v>15</v>
      </c>
      <c r="G4" s="2" t="s">
        <v>27</v>
      </c>
      <c r="H4" s="2" t="s">
        <v>28</v>
      </c>
      <c r="I4" s="2" t="str">
        <f>IFERROR(__xludf.DUMMYFUNCTION("GOOGLETRANSLATE(C4,""fr"",""en"")"),"I am satisfied with the price and services, the process is fast. The fact that you can terminate for me is pleasant. The options are reasonable.")</f>
        <v>I am satisfied with the price and services, the process is fast. The fact that you can terminate for me is pleasant. The options are reasonable.</v>
      </c>
    </row>
    <row r="5">
      <c r="A5" s="2">
        <v>5.0</v>
      </c>
      <c r="B5" s="2" t="s">
        <v>29</v>
      </c>
      <c r="C5" s="2" t="s">
        <v>30</v>
      </c>
      <c r="D5" s="2" t="s">
        <v>31</v>
      </c>
      <c r="E5" s="2" t="s">
        <v>32</v>
      </c>
      <c r="F5" s="2" t="s">
        <v>15</v>
      </c>
      <c r="G5" s="2" t="s">
        <v>33</v>
      </c>
      <c r="H5" s="2" t="s">
        <v>34</v>
      </c>
      <c r="I5" s="2" t="str">
        <f>IFERROR(__xludf.DUMMYFUNCTION("GOOGLETRANSLATE(C5,""fr"",""en"")"),". Practical and reactive to establish quotes
To see if I have to put my guarantees into play!
R")</f>
        <v>. Practical and reactive to establish quotes
To see if I have to put my guarantees into play!
R</v>
      </c>
    </row>
    <row r="6">
      <c r="A6" s="2">
        <v>5.0</v>
      </c>
      <c r="B6" s="2" t="s">
        <v>35</v>
      </c>
      <c r="C6" s="2" t="s">
        <v>36</v>
      </c>
      <c r="D6" s="2" t="s">
        <v>37</v>
      </c>
      <c r="E6" s="2" t="s">
        <v>38</v>
      </c>
      <c r="F6" s="2" t="s">
        <v>15</v>
      </c>
      <c r="G6" s="2" t="s">
        <v>39</v>
      </c>
      <c r="H6" s="2" t="s">
        <v>28</v>
      </c>
      <c r="I6" s="2" t="str">
        <f>IFERROR(__xludf.DUMMYFUNCTION("GOOGLETRANSLATE(C6,""fr"",""en"")"),"Quite easy to use easy and quick use recommend by already customers at home attractive price on the other hand the green card I would have liked it immediately and not a certificate and wait 30 days")</f>
        <v>Quite easy to use easy and quick use recommend by already customers at home attractive price on the other hand the green card I would have liked it immediately and not a certificate and wait 30 days</v>
      </c>
    </row>
    <row r="7">
      <c r="A7" s="2">
        <v>1.0</v>
      </c>
      <c r="B7" s="2" t="s">
        <v>40</v>
      </c>
      <c r="C7" s="2" t="s">
        <v>41</v>
      </c>
      <c r="D7" s="2" t="s">
        <v>42</v>
      </c>
      <c r="E7" s="2" t="s">
        <v>43</v>
      </c>
      <c r="F7" s="2" t="s">
        <v>15</v>
      </c>
      <c r="G7" s="2" t="s">
        <v>44</v>
      </c>
      <c r="H7" s="2" t="s">
        <v>45</v>
      </c>
      <c r="I7" s="2" t="str">
        <f>IFERROR(__xludf.DUMMYFUNCTION("GOOGLETRANSLATE(C7,""fr"",""en"")"),"I have been with Allianz for 10 years and I will terminate my life insurance. The accounts are not clear and the interests posters each year are not reported on my totalite balance ... In addition, request an explanation from his advisor Nothing .. the sa"&amp;"me knows nothing about it ... Avoid !!!!")</f>
        <v>I have been with Allianz for 10 years and I will terminate my life insurance. The accounts are not clear and the interests posters each year are not reported on my totalite balance ... In addition, request an explanation from his advisor Nothing .. the same knows nothing about it ... Avoid !!!!</v>
      </c>
    </row>
    <row r="8">
      <c r="A8" s="2">
        <v>1.0</v>
      </c>
      <c r="B8" s="2" t="s">
        <v>46</v>
      </c>
      <c r="C8" s="2" t="s">
        <v>47</v>
      </c>
      <c r="D8" s="2" t="s">
        <v>48</v>
      </c>
      <c r="E8" s="2" t="s">
        <v>21</v>
      </c>
      <c r="F8" s="2" t="s">
        <v>15</v>
      </c>
      <c r="G8" s="2" t="s">
        <v>49</v>
      </c>
      <c r="H8" s="2" t="s">
        <v>50</v>
      </c>
      <c r="I8" s="2" t="str">
        <f>IFERROR(__xludf.DUMMYFUNCTION("GOOGLETRANSLATE(C8,""fr"",""en"")"),"Difficult to have them on the phone, send invoice of 200 euros on December 24, 2019 Toujour Pasremboursée. plans to terminate")</f>
        <v>Difficult to have them on the phone, send invoice of 200 euros on December 24, 2019 Toujour Pasremboursée. plans to terminate</v>
      </c>
    </row>
    <row r="9">
      <c r="A9" s="2">
        <v>4.0</v>
      </c>
      <c r="B9" s="2" t="s">
        <v>51</v>
      </c>
      <c r="C9" s="2" t="s">
        <v>52</v>
      </c>
      <c r="D9" s="2" t="s">
        <v>53</v>
      </c>
      <c r="E9" s="2" t="s">
        <v>14</v>
      </c>
      <c r="F9" s="2" t="s">
        <v>15</v>
      </c>
      <c r="G9" s="2" t="s">
        <v>54</v>
      </c>
      <c r="H9" s="2" t="s">
        <v>54</v>
      </c>
      <c r="I9" s="2" t="str">
        <f>IFERROR(__xludf.DUMMYFUNCTION("GOOGLETRANSLATE(C9,""fr"",""en"")"),"I had a breakdown on a highway area at Cap d'Agde on July 14, I was towed in 15 minutes, and then repatriated to Marseille by taxi. The assistance of the maaf was very friendly and attentive to my requests so a big thank you really so I recommend.")</f>
        <v>I had a breakdown on a highway area at Cap d'Agde on July 14, I was towed in 15 minutes, and then repatriated to Marseille by taxi. The assistance of the maaf was very friendly and attentive to my requests so a big thank you really so I recommend.</v>
      </c>
    </row>
    <row r="10">
      <c r="A10" s="2">
        <v>5.0</v>
      </c>
      <c r="B10" s="2" t="s">
        <v>55</v>
      </c>
      <c r="C10" s="2" t="s">
        <v>56</v>
      </c>
      <c r="D10" s="2" t="s">
        <v>57</v>
      </c>
      <c r="E10" s="2" t="s">
        <v>14</v>
      </c>
      <c r="F10" s="2" t="s">
        <v>15</v>
      </c>
      <c r="G10" s="2" t="s">
        <v>58</v>
      </c>
      <c r="H10" s="2" t="s">
        <v>34</v>
      </c>
      <c r="I10" s="2" t="str">
        <f>IFERROR(__xludf.DUMMYFUNCTION("GOOGLETRANSLATE(C10,""fr"",""en"")"),"Insurance which takes into account all the possibilities of a contract according to the applicant, his needs, his obligations and without forgetting history (compulsory to report as stipulated in the insurance code)
Insurance that ""discusses"" with his "&amp;"client, which is rare these days!
I advise")</f>
        <v>Insurance which takes into account all the possibilities of a contract according to the applicant, his needs, his obligations and without forgetting history (compulsory to report as stipulated in the insurance code)
Insurance that "discusses" with his client, which is rare these days!
I advise</v>
      </c>
    </row>
    <row r="11">
      <c r="A11" s="2">
        <v>1.0</v>
      </c>
      <c r="B11" s="2" t="s">
        <v>59</v>
      </c>
      <c r="C11" s="2" t="s">
        <v>60</v>
      </c>
      <c r="D11" s="2" t="s">
        <v>61</v>
      </c>
      <c r="E11" s="2" t="s">
        <v>43</v>
      </c>
      <c r="F11" s="2" t="s">
        <v>15</v>
      </c>
      <c r="G11" s="2" t="s">
        <v>62</v>
      </c>
      <c r="H11" s="2" t="s">
        <v>63</v>
      </c>
      <c r="I11" s="2" t="str">
        <f>IFERROR(__xludf.DUMMYFUNCTION("GOOGLETRANSLATE(C11,""fr"",""en"")"),"My uncle has died for almost a year. He had subscribed 3 life insurance: Maaf, CNP and Swisslife almost 6 months ago that the first 2 paid the money returning to the heirs therefore zero bla-bla. Swisslife the great blah-blah is the only language they mas"&amp;"ter well, only their name is very clean.")</f>
        <v>My uncle has died for almost a year. He had subscribed 3 life insurance: Maaf, CNP and Swisslife almost 6 months ago that the first 2 paid the money returning to the heirs therefore zero bla-bla. Swisslife the great blah-blah is the only language they master well, only their name is very clean.</v>
      </c>
    </row>
    <row r="12">
      <c r="A12" s="2">
        <v>1.0</v>
      </c>
      <c r="B12" s="2" t="s">
        <v>64</v>
      </c>
      <c r="C12" s="2" t="s">
        <v>65</v>
      </c>
      <c r="D12" s="2" t="s">
        <v>53</v>
      </c>
      <c r="E12" s="2" t="s">
        <v>14</v>
      </c>
      <c r="F12" s="2" t="s">
        <v>15</v>
      </c>
      <c r="G12" s="2" t="s">
        <v>66</v>
      </c>
      <c r="H12" s="2" t="s">
        <v>23</v>
      </c>
      <c r="I12" s="2" t="str">
        <f>IFERROR(__xludf.DUMMYFUNCTION("GOOGLETRANSLATE(C12,""fr"",""en"")"),"Do not want to ensure young drivers who are not interesting for them. On the other hand, a person like me with 50% bonus no worries. There would not be a problem ... insurers forget their primary role to ensure us. But they prefer the minimum risk of coll"&amp;"ecting and avoiding paying ... Nice mentality.")</f>
        <v>Do not want to ensure young drivers who are not interesting for them. On the other hand, a person like me with 50% bonus no worries. There would not be a problem ... insurers forget their primary role to ensure us. But they prefer the minimum risk of collecting and avoiding paying ... Nice mentality.</v>
      </c>
    </row>
    <row r="13">
      <c r="A13" s="2">
        <v>5.0</v>
      </c>
      <c r="B13" s="2" t="s">
        <v>67</v>
      </c>
      <c r="C13" s="2" t="s">
        <v>68</v>
      </c>
      <c r="D13" s="2" t="s">
        <v>69</v>
      </c>
      <c r="E13" s="2" t="s">
        <v>21</v>
      </c>
      <c r="F13" s="2" t="s">
        <v>15</v>
      </c>
      <c r="G13" s="2" t="s">
        <v>70</v>
      </c>
      <c r="H13" s="2" t="s">
        <v>70</v>
      </c>
      <c r="I13" s="2" t="str">
        <f>IFERROR(__xludf.DUMMYFUNCTION("GOOGLETRANSLATE(C13,""fr"",""en"")"),"I am very satisfied with the services of Santiane who advised me as it was necessary and found the best mutual I needed")</f>
        <v>I am very satisfied with the services of Santiane who advised me as it was necessary and found the best mutual I needed</v>
      </c>
    </row>
    <row r="14">
      <c r="A14" s="2">
        <v>3.0</v>
      </c>
      <c r="B14" s="2" t="s">
        <v>71</v>
      </c>
      <c r="C14" s="2" t="s">
        <v>72</v>
      </c>
      <c r="D14" s="2" t="s">
        <v>57</v>
      </c>
      <c r="E14" s="2" t="s">
        <v>14</v>
      </c>
      <c r="F14" s="2" t="s">
        <v>15</v>
      </c>
      <c r="G14" s="2" t="s">
        <v>73</v>
      </c>
      <c r="H14" s="2" t="s">
        <v>74</v>
      </c>
      <c r="I14" s="2" t="str">
        <f>IFERROR(__xludf.DUMMYFUNCTION("GOOGLETRANSLATE(C14,""fr"",""en"")"),"I am quite satisfied. The prices are average, the services are average, the value for money is satisfactory, it is very easy to be able to take this insurance, which is a positive point.")</f>
        <v>I am quite satisfied. The prices are average, the services are average, the value for money is satisfactory, it is very easy to be able to take this insurance, which is a positive point.</v>
      </c>
    </row>
    <row r="15">
      <c r="A15" s="2">
        <v>5.0</v>
      </c>
      <c r="B15" s="2" t="s">
        <v>75</v>
      </c>
      <c r="C15" s="2" t="s">
        <v>76</v>
      </c>
      <c r="D15" s="2" t="s">
        <v>26</v>
      </c>
      <c r="E15" s="2" t="s">
        <v>14</v>
      </c>
      <c r="F15" s="2" t="s">
        <v>15</v>
      </c>
      <c r="G15" s="2" t="s">
        <v>77</v>
      </c>
      <c r="H15" s="2" t="s">
        <v>34</v>
      </c>
      <c r="I15" s="2" t="str">
        <f>IFERROR(__xludf.DUMMYFUNCTION("GOOGLETRANSLATE(C15,""fr"",""en"")"),"Prices suit me, simple to understand, service at my convenience, I would advise you to other insured people, I hope to be happy with your services")</f>
        <v>Prices suit me, simple to understand, service at my convenience, I would advise you to other insured people, I hope to be happy with your services</v>
      </c>
    </row>
    <row r="16">
      <c r="A16" s="2">
        <v>4.0</v>
      </c>
      <c r="B16" s="2" t="s">
        <v>78</v>
      </c>
      <c r="C16" s="2" t="s">
        <v>79</v>
      </c>
      <c r="D16" s="2" t="s">
        <v>26</v>
      </c>
      <c r="E16" s="2" t="s">
        <v>14</v>
      </c>
      <c r="F16" s="2" t="s">
        <v>15</v>
      </c>
      <c r="G16" s="2" t="s">
        <v>80</v>
      </c>
      <c r="H16" s="2" t="s">
        <v>81</v>
      </c>
      <c r="I16" s="2" t="str">
        <f>IFERROR(__xludf.DUMMYFUNCTION("GOOGLETRANSLATE(C16,""fr"",""en"")"),"Good performance
Good website
Good responsiveness
Interesting prices
I recommend this insurance
I will come back to consult for my next purchases")</f>
        <v>Good performance
Good website
Good responsiveness
Interesting prices
I recommend this insurance
I will come back to consult for my next purchases</v>
      </c>
    </row>
    <row r="17">
      <c r="A17" s="2">
        <v>3.0</v>
      </c>
      <c r="B17" s="2" t="s">
        <v>82</v>
      </c>
      <c r="C17" s="2" t="s">
        <v>83</v>
      </c>
      <c r="D17" s="2" t="s">
        <v>84</v>
      </c>
      <c r="E17" s="2" t="s">
        <v>14</v>
      </c>
      <c r="F17" s="2" t="s">
        <v>15</v>
      </c>
      <c r="G17" s="2" t="s">
        <v>85</v>
      </c>
      <c r="H17" s="2" t="s">
        <v>86</v>
      </c>
      <c r="I17" s="2" t="str">
        <f>IFERROR(__xludf.DUMMYFUNCTION("GOOGLETRANSLATE(C17,""fr"",""en"")"),"Ensured since 90s or even more. Error of the advisor who recorded a sinister degat waters when I asked her for the contact details of a company to change a tile. I am reclaimed a franchise because of a partner company which simply stuck a tile and inflate"&amp;"d its bill to more than 500 euros. Yet no sinister file creates. A depot of complaints for the repression of the fraud will be done soon. The MAIF preferred to listen to a not recommendable partner than a soccer person who was fooled. Justice will decide "&amp;"but evil is done. MAIF paid the business without listening to us. Make you don't declaration or call by phone. inexperienced advisers. What a shame. This gives a bad image of the maif.")</f>
        <v>Ensured since 90s or even more. Error of the advisor who recorded a sinister degat waters when I asked her for the contact details of a company to change a tile. I am reclaimed a franchise because of a partner company which simply stuck a tile and inflated its bill to more than 500 euros. Yet no sinister file creates. A depot of complaints for the repression of the fraud will be done soon. The MAIF preferred to listen to a not recommendable partner than a soccer person who was fooled. Justice will decide but evil is done. MAIF paid the business without listening to us. Make you don't declaration or call by phone. inexperienced advisers. What a shame. This gives a bad image of the maif.</v>
      </c>
    </row>
    <row r="18">
      <c r="A18" s="2">
        <v>2.0</v>
      </c>
      <c r="B18" s="2" t="s">
        <v>87</v>
      </c>
      <c r="C18" s="2" t="s">
        <v>88</v>
      </c>
      <c r="D18" s="2" t="s">
        <v>53</v>
      </c>
      <c r="E18" s="2" t="s">
        <v>14</v>
      </c>
      <c r="F18" s="2" t="s">
        <v>15</v>
      </c>
      <c r="G18" s="2" t="s">
        <v>89</v>
      </c>
      <c r="H18" s="2" t="s">
        <v>90</v>
      </c>
      <c r="I18" s="2" t="str">
        <f>IFERROR(__xludf.DUMMYFUNCTION("GOOGLETRANSLATE(C18,""fr"",""en"")"),"No compliance with the insured in the event of a dispute The insured has no right to speak about reimbursement or compensation The expert is king and never having a dispute with a person being in the same insurance knows how to say the maaf because it wan"&amp;"ts to say that he will make economics on repairs even if your responsibility does not have engaged")</f>
        <v>No compliance with the insured in the event of a dispute The insured has no right to speak about reimbursement or compensation The expert is king and never having a dispute with a person being in the same insurance knows how to say the maaf because it wants to say that he will make economics on repairs even if your responsibility does not have engaged</v>
      </c>
    </row>
    <row r="19">
      <c r="A19" s="2">
        <v>4.0</v>
      </c>
      <c r="B19" s="2" t="s">
        <v>91</v>
      </c>
      <c r="C19" s="2" t="s">
        <v>92</v>
      </c>
      <c r="D19" s="2" t="s">
        <v>48</v>
      </c>
      <c r="E19" s="2" t="s">
        <v>21</v>
      </c>
      <c r="F19" s="2" t="s">
        <v>15</v>
      </c>
      <c r="G19" s="2" t="s">
        <v>93</v>
      </c>
      <c r="H19" s="2" t="s">
        <v>94</v>
      </c>
      <c r="I19" s="2" t="str">
        <f>IFERROR(__xludf.DUMMYFUNCTION("GOOGLETRANSLATE(C19,""fr"",""en"")"),"I was well received by phone well informed he
 are nice")</f>
        <v>I was well received by phone well informed he
 are nice</v>
      </c>
    </row>
    <row r="20">
      <c r="A20" s="2">
        <v>5.0</v>
      </c>
      <c r="B20" s="2" t="s">
        <v>95</v>
      </c>
      <c r="C20" s="2" t="s">
        <v>96</v>
      </c>
      <c r="D20" s="2" t="s">
        <v>26</v>
      </c>
      <c r="E20" s="2" t="s">
        <v>14</v>
      </c>
      <c r="F20" s="2" t="s">
        <v>15</v>
      </c>
      <c r="G20" s="2" t="s">
        <v>97</v>
      </c>
      <c r="H20" s="2" t="s">
        <v>28</v>
      </c>
      <c r="I20" s="2" t="str">
        <f>IFERROR(__xludf.DUMMYFUNCTION("GOOGLETRANSLATE(C20,""fr"",""en"")"),"I am satisfied with the price and the service thank you very much for car insurance and proud to be with you and to have good insurance good day
")</f>
        <v>I am satisfied with the price and the service thank you very much for car insurance and proud to be with you and to have good insurance good day
</v>
      </c>
    </row>
    <row r="21" ht="15.75" customHeight="1">
      <c r="A21" s="2">
        <v>5.0</v>
      </c>
      <c r="B21" s="2" t="s">
        <v>98</v>
      </c>
      <c r="C21" s="2" t="s">
        <v>99</v>
      </c>
      <c r="D21" s="2" t="s">
        <v>26</v>
      </c>
      <c r="E21" s="2" t="s">
        <v>14</v>
      </c>
      <c r="F21" s="2" t="s">
        <v>15</v>
      </c>
      <c r="G21" s="2" t="s">
        <v>100</v>
      </c>
      <c r="H21" s="2" t="s">
        <v>28</v>
      </c>
      <c r="I21" s="2" t="str">
        <f>IFERROR(__xludf.DUMMYFUNCTION("GOOGLETRANSLATE(C21,""fr"",""en"")"),"Very good a shame not to succeed in having an advisor by phone easily but the price is attractive. To be seen in the event of a problem if the responsiveness is there.")</f>
        <v>Very good a shame not to succeed in having an advisor by phone easily but the price is attractive. To be seen in the event of a problem if the responsiveness is there.</v>
      </c>
    </row>
    <row r="22" ht="15.75" customHeight="1">
      <c r="A22" s="2">
        <v>5.0</v>
      </c>
      <c r="B22" s="2" t="s">
        <v>101</v>
      </c>
      <c r="C22" s="2" t="s">
        <v>102</v>
      </c>
      <c r="D22" s="2" t="s">
        <v>103</v>
      </c>
      <c r="E22" s="2" t="s">
        <v>104</v>
      </c>
      <c r="F22" s="2" t="s">
        <v>15</v>
      </c>
      <c r="G22" s="2" t="s">
        <v>105</v>
      </c>
      <c r="H22" s="2" t="s">
        <v>106</v>
      </c>
      <c r="I22" s="2" t="str">
        <f>IFERROR(__xludf.DUMMYFUNCTION("GOOGLETRANSLATE(C22,""fr"",""en"")"),"I do not understand the previous remarks! Maybe there are differences depending on the region? In Brittany, agency and telephone advisers are always very competent and pleasant! I was lowered my contributions without my asking for anything because they no"&amp;" longer corresponded to my current situation! I have been at La Macif for 29 years and, unfortunately, I was able to test a lot of their services: house fire, responsible and non-responsible car accidents, traffic accident for my daughter, PC degradation "&amp;"Lycée for my son, civil liability author or victim, Sue Caravan's hail, intentional stripes on minivan ... and I certainly forget! The Macif has always been perfect, very responsive and attentive! No loss of bonuses for our accident by being responsible f"&amp;"or ""seniority""! For nothing in the world I will not change insurance!")</f>
        <v>I do not understand the previous remarks! Maybe there are differences depending on the region? In Brittany, agency and telephone advisers are always very competent and pleasant! I was lowered my contributions without my asking for anything because they no longer corresponded to my current situation! I have been at La Macif for 29 years and, unfortunately, I was able to test a lot of their services: house fire, responsible and non-responsible car accidents, traffic accident for my daughter, PC degradation Lycée for my son, civil liability author or victim, Sue Caravan's hail, intentional stripes on minivan ... and I certainly forget! The Macif has always been perfect, very responsive and attentive! No loss of bonuses for our accident by being responsible for "seniority"! For nothing in the world I will not change insurance!</v>
      </c>
    </row>
    <row r="23" ht="15.75" customHeight="1">
      <c r="A23" s="2">
        <v>1.0</v>
      </c>
      <c r="B23" s="2" t="s">
        <v>107</v>
      </c>
      <c r="C23" s="2" t="s">
        <v>108</v>
      </c>
      <c r="D23" s="2" t="s">
        <v>103</v>
      </c>
      <c r="E23" s="2" t="s">
        <v>109</v>
      </c>
      <c r="F23" s="2" t="s">
        <v>15</v>
      </c>
      <c r="G23" s="2" t="s">
        <v>110</v>
      </c>
      <c r="H23" s="2" t="s">
        <v>111</v>
      </c>
      <c r="I23" s="2" t="str">
        <f>IFERROR(__xludf.DUMMYFUNCTION("GOOGLETRANSLATE(C23,""fr"",""en"")"),"I have never seen that !!! Impossible to have reliable information on my body loss file that has been going on since ...... 11 months !!!
I am an incompetent service stroll in incompetent service and one of their advisor drew me out of the nose by tellin"&amp;"g me to go elsewhere if I was not satisfied with their services. This is what I did by entrusting the claim file to a lawyer who told me in passing that the Macif was challenging in conflicts with their members !!! ?? ....
To flee without any moderation "&amp;"!!!")</f>
        <v>I have never seen that !!! Impossible to have reliable information on my body loss file that has been going on since ...... 11 months !!!
I am an incompetent service stroll in incompetent service and one of their advisor drew me out of the nose by telling me to go elsewhere if I was not satisfied with their services. This is what I did by entrusting the claim file to a lawyer who told me in passing that the Macif was challenging in conflicts with their members !!! ?? ....
To flee without any moderation !!!</v>
      </c>
    </row>
    <row r="24" ht="15.75" customHeight="1">
      <c r="A24" s="2">
        <v>5.0</v>
      </c>
      <c r="B24" s="2" t="s">
        <v>112</v>
      </c>
      <c r="C24" s="2" t="s">
        <v>113</v>
      </c>
      <c r="D24" s="2" t="s">
        <v>57</v>
      </c>
      <c r="E24" s="2" t="s">
        <v>14</v>
      </c>
      <c r="F24" s="2" t="s">
        <v>15</v>
      </c>
      <c r="G24" s="2" t="s">
        <v>114</v>
      </c>
      <c r="H24" s="2" t="s">
        <v>115</v>
      </c>
      <c r="I24" s="2" t="str">
        <f>IFERROR(__xludf.DUMMYFUNCTION("GOOGLETRANSLATE(C24,""fr"",""en"")"),"Nothing to say. Perfect service, always had kind and attentive advisers")</f>
        <v>Nothing to say. Perfect service, always had kind and attentive advisers</v>
      </c>
    </row>
    <row r="25" ht="15.75" customHeight="1">
      <c r="A25" s="2">
        <v>5.0</v>
      </c>
      <c r="B25" s="2" t="s">
        <v>116</v>
      </c>
      <c r="C25" s="2" t="s">
        <v>117</v>
      </c>
      <c r="D25" s="2" t="s">
        <v>57</v>
      </c>
      <c r="E25" s="2" t="s">
        <v>14</v>
      </c>
      <c r="F25" s="2" t="s">
        <v>15</v>
      </c>
      <c r="G25" s="2" t="s">
        <v>118</v>
      </c>
      <c r="H25" s="2" t="s">
        <v>81</v>
      </c>
      <c r="I25" s="2" t="str">
        <f>IFERROR(__xludf.DUMMYFUNCTION("GOOGLETRANSLATE(C25,""fr"",""en"")"),"I am really satisfied with the service and the unbeatable price.
I have several vehicles insured at the Olivier Insurance
All my recommendations with my colleagues also appreciate it
Cheer??")</f>
        <v>I am really satisfied with the service and the unbeatable price.
I have several vehicles insured at the Olivier Insurance
All my recommendations with my colleagues also appreciate it
Cheer??</v>
      </c>
    </row>
    <row r="26" ht="15.75" customHeight="1">
      <c r="A26" s="2">
        <v>5.0</v>
      </c>
      <c r="B26" s="2" t="s">
        <v>119</v>
      </c>
      <c r="C26" s="2" t="s">
        <v>120</v>
      </c>
      <c r="D26" s="2" t="s">
        <v>26</v>
      </c>
      <c r="E26" s="2" t="s">
        <v>14</v>
      </c>
      <c r="F26" s="2" t="s">
        <v>15</v>
      </c>
      <c r="G26" s="2" t="s">
        <v>121</v>
      </c>
      <c r="H26" s="2" t="s">
        <v>122</v>
      </c>
      <c r="I26" s="2" t="str">
        <f>IFERROR(__xludf.DUMMYFUNCTION("GOOGLETRANSLATE(C26,""fr"",""en"")"),"I am satisfied with the price and the seriousness of the person I had on the phone.
I will come back to you for other contracts.
Thank you and see you soon  .
")</f>
        <v>I am satisfied with the price and the seriousness of the person I had on the phone.
I will come back to you for other contracts.
Thank you and see you soon  .
</v>
      </c>
    </row>
    <row r="27" ht="15.75" customHeight="1">
      <c r="A27" s="2">
        <v>1.0</v>
      </c>
      <c r="B27" s="2" t="s">
        <v>123</v>
      </c>
      <c r="C27" s="2" t="s">
        <v>124</v>
      </c>
      <c r="D27" s="2" t="s">
        <v>125</v>
      </c>
      <c r="E27" s="2" t="s">
        <v>43</v>
      </c>
      <c r="F27" s="2" t="s">
        <v>15</v>
      </c>
      <c r="G27" s="2" t="s">
        <v>126</v>
      </c>
      <c r="H27" s="2" t="s">
        <v>126</v>
      </c>
      <c r="I27" s="2" t="str">
        <f>IFERROR(__xludf.DUMMYFUNCTION("GOOGLETRANSLATE(C27,""fr"",""en"")"),"Company to be avoided absolutely, I confirm ... platform abroad, no response to calls, no collection of checks for my investments ... In short, they do not respect the contract clauses. Everything is done for you attract in the meshes of the net at the su"&amp;"bscription, a real trap for (future) old customers ...")</f>
        <v>Company to be avoided absolutely, I confirm ... platform abroad, no response to calls, no collection of checks for my investments ... In short, they do not respect the contract clauses. Everything is done for you attract in the meshes of the net at the subscription, a real trap for (future) old customers ...</v>
      </c>
    </row>
    <row r="28" ht="15.75" customHeight="1">
      <c r="A28" s="2">
        <v>2.0</v>
      </c>
      <c r="B28" s="2" t="s">
        <v>127</v>
      </c>
      <c r="C28" s="2" t="s">
        <v>128</v>
      </c>
      <c r="D28" s="2" t="s">
        <v>57</v>
      </c>
      <c r="E28" s="2" t="s">
        <v>14</v>
      </c>
      <c r="F28" s="2" t="s">
        <v>15</v>
      </c>
      <c r="G28" s="2" t="s">
        <v>129</v>
      </c>
      <c r="H28" s="2" t="s">
        <v>122</v>
      </c>
      <c r="I28" s="2" t="str">
        <f>IFERROR(__xludf.DUMMYFUNCTION("GOOGLETRANSLATE(C28,""fr"",""en"")"),"hello
Make sure for a young driver is always very expensive
Understanding the many criteria to define the accuracy of the profile to ensure the vehicle and its driver remains complicated to understand
with thanks
Mr Chauvet")</f>
        <v>hello
Make sure for a young driver is always very expensive
Understanding the many criteria to define the accuracy of the profile to ensure the vehicle and its driver remains complicated to understand
with thanks
Mr Chauvet</v>
      </c>
    </row>
    <row r="29" ht="15.75" customHeight="1">
      <c r="A29" s="2">
        <v>1.0</v>
      </c>
      <c r="B29" s="2" t="s">
        <v>130</v>
      </c>
      <c r="C29" s="2" t="s">
        <v>131</v>
      </c>
      <c r="D29" s="2" t="s">
        <v>103</v>
      </c>
      <c r="E29" s="2" t="s">
        <v>104</v>
      </c>
      <c r="F29" s="2" t="s">
        <v>15</v>
      </c>
      <c r="G29" s="2" t="s">
        <v>132</v>
      </c>
      <c r="H29" s="2" t="s">
        <v>86</v>
      </c>
      <c r="I29" s="2" t="str">
        <f>IFERROR(__xludf.DUMMYFUNCTION("GOOGLETRANSLATE(C29,""fr"",""en"")"),"Our home insurance is the Macif Torcy. We had a burglary attempt on November 15, the window and the shutter engine were broken. To start, the breakdown service came 8 p.m. after the flight without explanation for the delay, we have to tinker with a waitin"&amp;"g security ourselves! When the convenience store has finally arrived, he pierced the frame of the window which was not at all damaged and did not secure the shutter! No seriousness, no communication ... Only the window could have been secured and it would"&amp;" have avoided having to replace the frame in addition to the glass and the engine! Then comes the expertise 25 days later ... following which we had no information! Only a check without explanation, without reports, without quotes, without anything, was s"&amp;"ent to us! A check for a derisory sum compared to the work to be carried out, representing 50% of all the quotes requested for the repair of the work. We asked for the intervention of the mediator, we will not let ourselves be done !!!")</f>
        <v>Our home insurance is the Macif Torcy. We had a burglary attempt on November 15, the window and the shutter engine were broken. To start, the breakdown service came 8 p.m. after the flight without explanation for the delay, we have to tinker with a waiting security ourselves! When the convenience store has finally arrived, he pierced the frame of the window which was not at all damaged and did not secure the shutter! No seriousness, no communication ... Only the window could have been secured and it would have avoided having to replace the frame in addition to the glass and the engine! Then comes the expertise 25 days later ... following which we had no information! Only a check without explanation, without reports, without quotes, without anything, was sent to us! A check for a derisory sum compared to the work to be carried out, representing 50% of all the quotes requested for the repair of the work. We asked for the intervention of the mediator, we will not let ourselves be done !!!</v>
      </c>
    </row>
    <row r="30" ht="15.75" customHeight="1">
      <c r="A30" s="2">
        <v>2.0</v>
      </c>
      <c r="B30" s="2" t="s">
        <v>133</v>
      </c>
      <c r="C30" s="2" t="s">
        <v>134</v>
      </c>
      <c r="D30" s="2" t="s">
        <v>53</v>
      </c>
      <c r="E30" s="2" t="s">
        <v>14</v>
      </c>
      <c r="F30" s="2" t="s">
        <v>15</v>
      </c>
      <c r="G30" s="2" t="s">
        <v>135</v>
      </c>
      <c r="H30" s="2" t="s">
        <v>136</v>
      </c>
      <c r="I30" s="2" t="str">
        <f>IFERROR(__xludf.DUMMYFUNCTION("GOOGLETRANSLATE(C30,""fr"",""en"")"),"If you are a professional and you want to provide a company vehicle do not choose the MAAF. They are incompetent to advise pros and companies. We realize today that the contract signed with them is unsuitable because it does not cover us properly in the e"&amp;"vent of a claim. We called their customer service 3 times and had 3 different versions. Ditto with the director of the agency Maaf de Nogent sur Oise who shows lightness and incompetence in the remarks made, without ever having confirmation in writing.")</f>
        <v>If you are a professional and you want to provide a company vehicle do not choose the MAAF. They are incompetent to advise pros and companies. We realize today that the contract signed with them is unsuitable because it does not cover us properly in the event of a claim. We called their customer service 3 times and had 3 different versions. Ditto with the director of the agency Maaf de Nogent sur Oise who shows lightness and incompetence in the remarks made, without ever having confirmation in writing.</v>
      </c>
    </row>
    <row r="31" ht="15.75" customHeight="1">
      <c r="A31" s="2">
        <v>5.0</v>
      </c>
      <c r="B31" s="2" t="s">
        <v>137</v>
      </c>
      <c r="C31" s="2" t="s">
        <v>138</v>
      </c>
      <c r="D31" s="2" t="s">
        <v>57</v>
      </c>
      <c r="E31" s="2" t="s">
        <v>14</v>
      </c>
      <c r="F31" s="2" t="s">
        <v>15</v>
      </c>
      <c r="G31" s="2" t="s">
        <v>139</v>
      </c>
      <c r="H31" s="2" t="s">
        <v>140</v>
      </c>
      <c r="I31" s="2" t="str">
        <f>IFERROR(__xludf.DUMMYFUNCTION("GOOGLETRANSLATE(C31,""fr"",""en"")"),"The perfect price perfect customer service I am not at all disappointed to be allowed your insured I would recommend you without problem and with great pleasure")</f>
        <v>The perfect price perfect customer service I am not at all disappointed to be allowed your insured I would recommend you without problem and with great pleasure</v>
      </c>
    </row>
    <row r="32" ht="15.75" customHeight="1">
      <c r="A32" s="2">
        <v>2.0</v>
      </c>
      <c r="B32" s="2" t="s">
        <v>141</v>
      </c>
      <c r="C32" s="2" t="s">
        <v>142</v>
      </c>
      <c r="D32" s="2" t="s">
        <v>143</v>
      </c>
      <c r="E32" s="2" t="s">
        <v>109</v>
      </c>
      <c r="F32" s="2" t="s">
        <v>15</v>
      </c>
      <c r="G32" s="2" t="s">
        <v>144</v>
      </c>
      <c r="H32" s="2" t="s">
        <v>145</v>
      </c>
      <c r="I32" s="2" t="str">
        <f>IFERROR(__xludf.DUMMYFUNCTION("GOOGLETRANSLATE(C32,""fr"",""en"")"),"CNP: an insurer with a very ""special"" vision of customer relations. I ask questions on the phone on my retirement savings contract, and I am told that we cannot answer me, because I have to make a written request by email, which I do, but 3 months later"&amp;" .... no answer! So I write, by registeredment, to be sure. 2 months later, still no answer!
@ the CNP: respond to a holder of more than € 17,000 in your accounts, is that not part of the ""minimum union""?")</f>
        <v>CNP: an insurer with a very "special" vision of customer relations. I ask questions on the phone on my retirement savings contract, and I am told that we cannot answer me, because I have to make a written request by email, which I do, but 3 months later .... no answer! So I write, by registeredment, to be sure. 2 months later, still no answer!
@ the CNP: respond to a holder of more than € 17,000 in your accounts, is that not part of the "minimum union"?</v>
      </c>
    </row>
    <row r="33" ht="15.75" customHeight="1">
      <c r="A33" s="2">
        <v>4.0</v>
      </c>
      <c r="B33" s="2" t="s">
        <v>146</v>
      </c>
      <c r="C33" s="2" t="s">
        <v>147</v>
      </c>
      <c r="D33" s="2" t="s">
        <v>37</v>
      </c>
      <c r="E33" s="2" t="s">
        <v>38</v>
      </c>
      <c r="F33" s="2" t="s">
        <v>15</v>
      </c>
      <c r="G33" s="2" t="s">
        <v>148</v>
      </c>
      <c r="H33" s="2" t="s">
        <v>149</v>
      </c>
      <c r="I33" s="2" t="str">
        <f>IFERROR(__xludf.DUMMYFUNCTION("GOOGLETRANSLATE(C33,""fr"",""en"")"),"Insurer with correct prices and a good level of warranty. The customer area deserves that more info can be transmitted in a digital way and therefore less paper exchange.")</f>
        <v>Insurer with correct prices and a good level of warranty. The customer area deserves that more info can be transmitted in a digital way and therefore less paper exchange.</v>
      </c>
    </row>
    <row r="34" ht="15.75" customHeight="1">
      <c r="A34" s="2">
        <v>5.0</v>
      </c>
      <c r="B34" s="2" t="s">
        <v>150</v>
      </c>
      <c r="C34" s="2" t="s">
        <v>151</v>
      </c>
      <c r="D34" s="2" t="s">
        <v>152</v>
      </c>
      <c r="E34" s="2" t="s">
        <v>21</v>
      </c>
      <c r="F34" s="2" t="s">
        <v>15</v>
      </c>
      <c r="G34" s="2" t="s">
        <v>153</v>
      </c>
      <c r="H34" s="2" t="s">
        <v>34</v>
      </c>
      <c r="I34" s="2" t="str">
        <f>IFERROR(__xludf.DUMMYFUNCTION("GOOGLETRANSLATE(C34,""fr"",""en"")"),"I am very satisfied with the services and particularly concerning the. Management and speed of processing of requests.
The telephone reception is always very pleasant and the interlocutors are always listening.
I recommend.")</f>
        <v>I am very satisfied with the services and particularly concerning the. Management and speed of processing of requests.
The telephone reception is always very pleasant and the interlocutors are always listening.
I recommend.</v>
      </c>
    </row>
    <row r="35" ht="15.75" customHeight="1">
      <c r="A35" s="2">
        <v>3.0</v>
      </c>
      <c r="B35" s="2" t="s">
        <v>154</v>
      </c>
      <c r="C35" s="2" t="s">
        <v>155</v>
      </c>
      <c r="D35" s="2" t="s">
        <v>26</v>
      </c>
      <c r="E35" s="2" t="s">
        <v>14</v>
      </c>
      <c r="F35" s="2" t="s">
        <v>15</v>
      </c>
      <c r="G35" s="2" t="s">
        <v>156</v>
      </c>
      <c r="H35" s="2" t="s">
        <v>157</v>
      </c>
      <c r="I35" s="2" t="str">
        <f>IFERROR(__xludf.DUMMYFUNCTION("GOOGLETRANSLATE(C35,""fr"",""en"")"),"Incompetent! Ensuring any risk I had a non -responsible accident the towed car and after 2 weeks my car is still not in the approved garage that I had chosen, I think they don't even know where it is! My contract with assistance 0km it's been 2 weeks sinc"&amp;"e I am on foot with my baby and to work I have to ask my colleagues to come and get me and get me. A scandal this insurance. In addition, I want to make me pay for guarding fees!")</f>
        <v>Incompetent! Ensuring any risk I had a non -responsible accident the towed car and after 2 weeks my car is still not in the approved garage that I had chosen, I think they don't even know where it is! My contract with assistance 0km it's been 2 weeks since I am on foot with my baby and to work I have to ask my colleagues to come and get me and get me. A scandal this insurance. In addition, I want to make me pay for guarding fees!</v>
      </c>
    </row>
    <row r="36" ht="15.75" customHeight="1">
      <c r="A36" s="2">
        <v>1.0</v>
      </c>
      <c r="B36" s="2" t="s">
        <v>158</v>
      </c>
      <c r="C36" s="2" t="s">
        <v>159</v>
      </c>
      <c r="D36" s="2" t="s">
        <v>26</v>
      </c>
      <c r="E36" s="2" t="s">
        <v>14</v>
      </c>
      <c r="F36" s="2" t="s">
        <v>15</v>
      </c>
      <c r="G36" s="2" t="s">
        <v>160</v>
      </c>
      <c r="H36" s="2" t="s">
        <v>161</v>
      </c>
      <c r="I36" s="2" t="str">
        <f>IFERROR(__xludf.DUMMYFUNCTION("GOOGLETRANSLATE(C36,""fr"",""en"")"),"I was terminated because they never received my permit, that I sent dozens of times on the personal space, I was reimbursed for a few euros for the form, and the customer service took from top to start at the end of the call ....")</f>
        <v>I was terminated because they never received my permit, that I sent dozens of times on the personal space, I was reimbursed for a few euros for the form, and the customer service took from top to start at the end of the call ....</v>
      </c>
    </row>
    <row r="37" ht="15.75" customHeight="1">
      <c r="A37" s="2">
        <v>1.0</v>
      </c>
      <c r="B37" s="2" t="s">
        <v>162</v>
      </c>
      <c r="C37" s="2" t="s">
        <v>163</v>
      </c>
      <c r="D37" s="2" t="s">
        <v>164</v>
      </c>
      <c r="E37" s="2" t="s">
        <v>32</v>
      </c>
      <c r="F37" s="2" t="s">
        <v>15</v>
      </c>
      <c r="G37" s="2" t="s">
        <v>165</v>
      </c>
      <c r="H37" s="2" t="s">
        <v>166</v>
      </c>
      <c r="I37" s="2" t="str">
        <f>IFERROR(__xludf.DUMMYFUNCTION("GOOGLETRANSLATE(C37,""fr"",""en"")"),"I have been unemployed for 2 years and having all the necessary supporting documents, Cardif reimbursed me that 2 months.
Why this relentlessness?
Always an excuse, the last covid of course ...
Before the email address was not the same one wonders what"&amp;" the file number is for and so on")</f>
        <v>I have been unemployed for 2 years and having all the necessary supporting documents, Cardif reimbursed me that 2 months.
Why this relentlessness?
Always an excuse, the last covid of course ...
Before the email address was not the same one wonders what the file number is for and so on</v>
      </c>
    </row>
    <row r="38" ht="15.75" customHeight="1">
      <c r="A38" s="2">
        <v>1.0</v>
      </c>
      <c r="B38" s="2" t="s">
        <v>167</v>
      </c>
      <c r="C38" s="2" t="s">
        <v>168</v>
      </c>
      <c r="D38" s="2" t="s">
        <v>84</v>
      </c>
      <c r="E38" s="2" t="s">
        <v>14</v>
      </c>
      <c r="F38" s="2" t="s">
        <v>15</v>
      </c>
      <c r="G38" s="2" t="s">
        <v>169</v>
      </c>
      <c r="H38" s="2" t="s">
        <v>122</v>
      </c>
      <c r="I38" s="2" t="str">
        <f>IFERROR(__xludf.DUMMYFUNCTION("GOOGLETRANSLATE(C38,""fr"",""en"")"),"After a disaster 2 months after still no news from the expert after several stimulus no payment nothing I strongly advise against he refuses to ensure my new vehicles in addition while sinister which is not my fault and no penalties!")</f>
        <v>After a disaster 2 months after still no news from the expert after several stimulus no payment nothing I strongly advise against he refuses to ensure my new vehicles in addition while sinister which is not my fault and no penalties!</v>
      </c>
    </row>
    <row r="39" ht="15.75" customHeight="1">
      <c r="A39" s="2">
        <v>1.0</v>
      </c>
      <c r="B39" s="2" t="s">
        <v>170</v>
      </c>
      <c r="C39" s="2" t="s">
        <v>171</v>
      </c>
      <c r="D39" s="2" t="s">
        <v>42</v>
      </c>
      <c r="E39" s="2" t="s">
        <v>104</v>
      </c>
      <c r="F39" s="2" t="s">
        <v>15</v>
      </c>
      <c r="G39" s="2" t="s">
        <v>172</v>
      </c>
      <c r="H39" s="2" t="s">
        <v>173</v>
      </c>
      <c r="I39" s="2" t="str">
        <f>IFERROR(__xludf.DUMMYFUNCTION("GOOGLETRANSLATE(C39,""fr"",""en"")"),"There is nothing price for me in my burglary because it was 15 years ago when I signed my little closed contract was not checked !!!!!!")</f>
        <v>There is nothing price for me in my burglary because it was 15 years ago when I signed my little closed contract was not checked !!!!!!</v>
      </c>
    </row>
    <row r="40" ht="15.75" customHeight="1">
      <c r="A40" s="2">
        <v>1.0</v>
      </c>
      <c r="B40" s="2" t="s">
        <v>174</v>
      </c>
      <c r="C40" s="2" t="s">
        <v>175</v>
      </c>
      <c r="D40" s="2" t="s">
        <v>26</v>
      </c>
      <c r="E40" s="2" t="s">
        <v>14</v>
      </c>
      <c r="F40" s="2" t="s">
        <v>15</v>
      </c>
      <c r="G40" s="2" t="s">
        <v>176</v>
      </c>
      <c r="H40" s="2" t="s">
        <v>34</v>
      </c>
      <c r="I40" s="2" t="str">
        <f>IFERROR(__xludf.DUMMYFUNCTION("GOOGLETRANSLATE(C40,""fr"",""en"")"),"I am not satisfied by the increase for the year 2021? Increase in my 2021 insurance of € 273.50 spent at € 257.50 5.30% increase (for what reason?)
It was said to be an increase in 2021")</f>
        <v>I am not satisfied by the increase for the year 2021? Increase in my 2021 insurance of € 273.50 spent at € 257.50 5.30% increase (for what reason?)
It was said to be an increase in 2021</v>
      </c>
    </row>
    <row r="41" ht="15.75" customHeight="1">
      <c r="A41" s="2">
        <v>1.0</v>
      </c>
      <c r="B41" s="2" t="s">
        <v>177</v>
      </c>
      <c r="C41" s="2" t="s">
        <v>178</v>
      </c>
      <c r="D41" s="2" t="s">
        <v>26</v>
      </c>
      <c r="E41" s="2" t="s">
        <v>104</v>
      </c>
      <c r="F41" s="2" t="s">
        <v>15</v>
      </c>
      <c r="G41" s="2" t="s">
        <v>176</v>
      </c>
      <c r="H41" s="2" t="s">
        <v>34</v>
      </c>
      <c r="I41" s="2" t="str">
        <f>IFERROR(__xludf.DUMMYFUNCTION("GOOGLETRANSLATE(C41,""fr"",""en"")"),"Hello,
I am very disappointed with Direct Insurance No professionalism and lack of experience.
I do not recommend direct insurance.
Julie or Julien from Morocco.")</f>
        <v>Hello,
I am very disappointed with Direct Insurance No professionalism and lack of experience.
I do not recommend direct insurance.
Julie or Julien from Morocco.</v>
      </c>
    </row>
    <row r="42" ht="15.75" customHeight="1">
      <c r="A42" s="2">
        <v>3.0</v>
      </c>
      <c r="B42" s="2" t="s">
        <v>179</v>
      </c>
      <c r="C42" s="2" t="s">
        <v>180</v>
      </c>
      <c r="D42" s="2" t="s">
        <v>181</v>
      </c>
      <c r="E42" s="2" t="s">
        <v>21</v>
      </c>
      <c r="F42" s="2" t="s">
        <v>15</v>
      </c>
      <c r="G42" s="2" t="s">
        <v>182</v>
      </c>
      <c r="H42" s="2" t="s">
        <v>149</v>
      </c>
      <c r="I42" s="2" t="str">
        <f>IFERROR(__xludf.DUMMYFUNCTION("GOOGLETRANSLATE(C42,""fr"",""en"")"),"Morning
I am on the expectation of the goodwill of the medical committee for my son who left for ûn ân in the USA. For insurance in the first euro. Expat Student because beware the crystal studies ex officio excludes treatments related to previous pathol"&amp;"ogies ..... on the other hand the expat requires a medical questionnaire and .... April excludes easily. Communication remains slow and not in Tôujours with return I deplore it. This is a insurance contract therefore of a risk of a risk taking for the ins"&amp;"urer but also for the insured? To be continued")</f>
        <v>Morning
I am on the expectation of the goodwill of the medical committee for my son who left for ûn ân in the USA. For insurance in the first euro. Expat Student because beware the crystal studies ex officio excludes treatments related to previous pathologies ..... on the other hand the expat requires a medical questionnaire and .... April excludes easily. Communication remains slow and not in Tôujours with return I deplore it. This is a insurance contract therefore of a risk of a risk taking for the insurer but also for the insured? To be continued</v>
      </c>
    </row>
    <row r="43" ht="15.75" customHeight="1">
      <c r="A43" s="2">
        <v>4.0</v>
      </c>
      <c r="B43" s="2" t="s">
        <v>183</v>
      </c>
      <c r="C43" s="2" t="s">
        <v>184</v>
      </c>
      <c r="D43" s="2" t="s">
        <v>57</v>
      </c>
      <c r="E43" s="2" t="s">
        <v>14</v>
      </c>
      <c r="F43" s="2" t="s">
        <v>15</v>
      </c>
      <c r="G43" s="2" t="s">
        <v>185</v>
      </c>
      <c r="H43" s="2" t="s">
        <v>185</v>
      </c>
      <c r="I43" s="2" t="str">
        <f>IFERROR(__xludf.DUMMYFUNCTION("GOOGLETRANSLATE(C43,""fr"",""en"")"),"I am satisfied with the offer
I am satisfied with the price offered by insurance
I am delighted to finally be able to find insurance that can agree to insure my car")</f>
        <v>I am satisfied with the offer
I am satisfied with the price offered by insurance
I am delighted to finally be able to find insurance that can agree to insure my car</v>
      </c>
    </row>
    <row r="44" ht="15.75" customHeight="1">
      <c r="A44" s="2">
        <v>2.0</v>
      </c>
      <c r="B44" s="2" t="s">
        <v>186</v>
      </c>
      <c r="C44" s="2" t="s">
        <v>187</v>
      </c>
      <c r="D44" s="2" t="s">
        <v>188</v>
      </c>
      <c r="E44" s="2" t="s">
        <v>14</v>
      </c>
      <c r="F44" s="2" t="s">
        <v>15</v>
      </c>
      <c r="G44" s="2" t="s">
        <v>189</v>
      </c>
      <c r="H44" s="2" t="s">
        <v>28</v>
      </c>
      <c r="I44" s="2" t="str">
        <f>IFERROR(__xludf.DUMMYFUNCTION("GOOGLETRANSLATE(C44,""fr"",""en"")"),"When the expert says false declaration therefore the damage not taken care of in full. I take stock in an office with recent plans and photos, I realize that I assure a hard swimming pool for an above ground (there too, I was forced my hand, I do not know"&amp;" in what circumstances) . However, I was not taken care of all the damage (while the so-called false declaration was therefore for the benefit of insurance !!!) ... and if it was the only time, c 'is always the same refusal to always pay for a reason in g"&amp;"eneral not even valid.
Above all, do not look for the leak (under the tiles) by yourself which causes water damage, because not supported in this case.
On car accident (work accident), I had to involve a specialized firm (between the GMF and the State, "&amp;"my employer, it was better). There, I was compensated for my injuries.
For the car, private ras, repaired car, nothing to pay.")</f>
        <v>When the expert says false declaration therefore the damage not taken care of in full. I take stock in an office with recent plans and photos, I realize that I assure a hard swimming pool for an above ground (there too, I was forced my hand, I do not know in what circumstances) . However, I was not taken care of all the damage (while the so-called false declaration was therefore for the benefit of insurance !!!) ... and if it was the only time, c 'is always the same refusal to always pay for a reason in general not even valid.
Above all, do not look for the leak (under the tiles) by yourself which causes water damage, because not supported in this case.
On car accident (work accident), I had to involve a specialized firm (between the GMF and the State, my employer, it was better). There, I was compensated for my injuries.
For the car, private ras, repaired car, nothing to pay.</v>
      </c>
    </row>
    <row r="45" ht="15.75" customHeight="1">
      <c r="A45" s="2">
        <v>3.0</v>
      </c>
      <c r="B45" s="2" t="s">
        <v>190</v>
      </c>
      <c r="C45" s="2" t="s">
        <v>191</v>
      </c>
      <c r="D45" s="2" t="s">
        <v>192</v>
      </c>
      <c r="E45" s="2" t="s">
        <v>21</v>
      </c>
      <c r="F45" s="2" t="s">
        <v>15</v>
      </c>
      <c r="G45" s="2" t="s">
        <v>193</v>
      </c>
      <c r="H45" s="2" t="s">
        <v>194</v>
      </c>
      <c r="I45" s="2" t="str">
        <f>IFERROR(__xludf.DUMMYFUNCTION("GOOGLETRANSLATE(C45,""fr"",""en"")"),"Worse mutual that I knew, chipot for care, reimbursement error. I look forward to my termination date.
")</f>
        <v>Worse mutual that I knew, chipot for care, reimbursement error. I look forward to my termination date.
</v>
      </c>
    </row>
    <row r="46" ht="15.75" customHeight="1">
      <c r="A46" s="2">
        <v>1.0</v>
      </c>
      <c r="B46" s="2" t="s">
        <v>195</v>
      </c>
      <c r="C46" s="2" t="s">
        <v>196</v>
      </c>
      <c r="D46" s="2" t="s">
        <v>84</v>
      </c>
      <c r="E46" s="2" t="s">
        <v>104</v>
      </c>
      <c r="F46" s="2" t="s">
        <v>15</v>
      </c>
      <c r="G46" s="2" t="s">
        <v>197</v>
      </c>
      <c r="H46" s="2" t="s">
        <v>166</v>
      </c>
      <c r="I46" s="2" t="str">
        <f>IFERROR(__xludf.DUMMYFUNCTION("GOOGLETRANSLATE(C46,""fr"",""en"")"),"This company is in permanent decay, I must systematically zap when I find myself faced with one of its pubs; they are lapposed their speech. Go to court and my contracts are already elsewhere.")</f>
        <v>This company is in permanent decay, I must systematically zap when I find myself faced with one of its pubs; they are lapposed their speech. Go to court and my contracts are already elsewhere.</v>
      </c>
    </row>
    <row r="47" ht="15.75" customHeight="1">
      <c r="A47" s="2">
        <v>5.0</v>
      </c>
      <c r="B47" s="2" t="s">
        <v>198</v>
      </c>
      <c r="C47" s="2" t="s">
        <v>199</v>
      </c>
      <c r="D47" s="2" t="s">
        <v>48</v>
      </c>
      <c r="E47" s="2" t="s">
        <v>21</v>
      </c>
      <c r="F47" s="2" t="s">
        <v>15</v>
      </c>
      <c r="G47" s="2" t="s">
        <v>200</v>
      </c>
      <c r="H47" s="2" t="s">
        <v>201</v>
      </c>
      <c r="I47" s="2" t="str">
        <f>IFERROR(__xludf.DUMMYFUNCTION("GOOGLETRANSLATE(C47,""fr"",""en"")"),"The information given is clear
Good welcome .
Nadège explains things very clearly;
Previously I was at MGEN. Unable to contact the departmental delegation;
After comparing the services, I chose to leave this mutual")</f>
        <v>The information given is clear
Good welcome .
Nadège explains things very clearly;
Previously I was at MGEN. Unable to contact the departmental delegation;
After comparing the services, I chose to leave this mutual</v>
      </c>
    </row>
    <row r="48" ht="15.75" customHeight="1">
      <c r="A48" s="2">
        <v>4.0</v>
      </c>
      <c r="B48" s="2" t="s">
        <v>202</v>
      </c>
      <c r="C48" s="2" t="s">
        <v>203</v>
      </c>
      <c r="D48" s="2" t="s">
        <v>26</v>
      </c>
      <c r="E48" s="2" t="s">
        <v>14</v>
      </c>
      <c r="F48" s="2" t="s">
        <v>15</v>
      </c>
      <c r="G48" s="2" t="s">
        <v>204</v>
      </c>
      <c r="H48" s="2" t="s">
        <v>90</v>
      </c>
      <c r="I48" s="2" t="str">
        <f>IFERROR(__xludf.DUMMYFUNCTION("GOOGLETRANSLATE(C48,""fr"",""en"")"),"I am satisfied with the service. Little comments to emphasize.
It's been a few years since I have been a customer at Direct Insurance to ensure my vehicle and I intend to continue for a while.")</f>
        <v>I am satisfied with the service. Little comments to emphasize.
It's been a few years since I have been a customer at Direct Insurance to ensure my vehicle and I intend to continue for a while.</v>
      </c>
    </row>
    <row r="49" ht="15.75" customHeight="1">
      <c r="A49" s="2">
        <v>4.0</v>
      </c>
      <c r="B49" s="2" t="s">
        <v>205</v>
      </c>
      <c r="C49" s="2" t="s">
        <v>206</v>
      </c>
      <c r="D49" s="2" t="s">
        <v>31</v>
      </c>
      <c r="E49" s="2" t="s">
        <v>32</v>
      </c>
      <c r="F49" s="2" t="s">
        <v>15</v>
      </c>
      <c r="G49" s="2" t="s">
        <v>207</v>
      </c>
      <c r="H49" s="2" t="s">
        <v>208</v>
      </c>
      <c r="I49" s="2" t="str">
        <f>IFERROR(__xludf.DUMMYFUNCTION("GOOGLETRANSLATE(C49,""fr"",""en"")"),"The service is easy to use. The service is quick to implement. The service is simple to understand and practical. Everything is done without problem.")</f>
        <v>The service is easy to use. The service is quick to implement. The service is simple to understand and practical. Everything is done without problem.</v>
      </c>
    </row>
    <row r="50" ht="15.75" customHeight="1">
      <c r="A50" s="2">
        <v>1.0</v>
      </c>
      <c r="B50" s="2" t="s">
        <v>209</v>
      </c>
      <c r="C50" s="2" t="s">
        <v>210</v>
      </c>
      <c r="D50" s="2" t="s">
        <v>211</v>
      </c>
      <c r="E50" s="2" t="s">
        <v>212</v>
      </c>
      <c r="F50" s="2" t="s">
        <v>15</v>
      </c>
      <c r="G50" s="2" t="s">
        <v>213</v>
      </c>
      <c r="H50" s="2" t="s">
        <v>214</v>
      </c>
      <c r="I50" s="2" t="str">
        <f>IFERROR(__xludf.DUMMYFUNCTION("GOOGLETRANSLATE(C50,""fr"",""en"")"),"To flee, increase contributions without reason, refuses terminations, which forces the customer to pay 1 year more a service that is not suitable, or advises you to change your owner's animal to be able to terminate, which I find more than ashamed")</f>
        <v>To flee, increase contributions without reason, refuses terminations, which forces the customer to pay 1 year more a service that is not suitable, or advises you to change your owner's animal to be able to terminate, which I find more than ashamed</v>
      </c>
    </row>
    <row r="51" ht="15.75" customHeight="1">
      <c r="A51" s="2">
        <v>1.0</v>
      </c>
      <c r="B51" s="2" t="s">
        <v>215</v>
      </c>
      <c r="C51" s="2" t="s">
        <v>216</v>
      </c>
      <c r="D51" s="2" t="s">
        <v>192</v>
      </c>
      <c r="E51" s="2" t="s">
        <v>21</v>
      </c>
      <c r="F51" s="2" t="s">
        <v>15</v>
      </c>
      <c r="G51" s="2" t="s">
        <v>217</v>
      </c>
      <c r="H51" s="2" t="s">
        <v>218</v>
      </c>
      <c r="I51" s="2" t="str">
        <f>IFERROR(__xludf.DUMMYFUNCTION("GOOGLETRANSLATE(C51,""fr"",""en"")"),"Zero pointed")</f>
        <v>Zero pointed</v>
      </c>
    </row>
    <row r="52" ht="15.75" customHeight="1">
      <c r="A52" s="2">
        <v>5.0</v>
      </c>
      <c r="B52" s="2" t="s">
        <v>219</v>
      </c>
      <c r="C52" s="2" t="s">
        <v>220</v>
      </c>
      <c r="D52" s="2" t="s">
        <v>69</v>
      </c>
      <c r="E52" s="2" t="s">
        <v>21</v>
      </c>
      <c r="F52" s="2" t="s">
        <v>15</v>
      </c>
      <c r="G52" s="2" t="s">
        <v>221</v>
      </c>
      <c r="H52" s="2" t="s">
        <v>28</v>
      </c>
      <c r="I52" s="2" t="str">
        <f>IFERROR(__xludf.DUMMYFUNCTION("GOOGLETRANSLATE(C52,""fr"",""en"")"),"Very satisfied, I called for a concern for connection to my space and Lissa kindly and patiently guided me step by step. Now everything is ok.")</f>
        <v>Very satisfied, I called for a concern for connection to my space and Lissa kindly and patiently guided me step by step. Now everything is ok.</v>
      </c>
    </row>
    <row r="53" ht="15.75" customHeight="1">
      <c r="A53" s="2">
        <v>5.0</v>
      </c>
      <c r="B53" s="2" t="s">
        <v>222</v>
      </c>
      <c r="C53" s="2" t="s">
        <v>223</v>
      </c>
      <c r="D53" s="2" t="s">
        <v>57</v>
      </c>
      <c r="E53" s="2" t="s">
        <v>14</v>
      </c>
      <c r="F53" s="2" t="s">
        <v>15</v>
      </c>
      <c r="G53" s="2" t="s">
        <v>224</v>
      </c>
      <c r="H53" s="2" t="s">
        <v>81</v>
      </c>
      <c r="I53" s="2" t="str">
        <f>IFERROR(__xludf.DUMMYFUNCTION("GOOGLETRANSLATE(C53,""fr"",""en"")"),"I discover this insurance and I am very satisfied with this new subscription
The advisor was very professional and very pleasant
I RECOMMEND")</f>
        <v>I discover this insurance and I am very satisfied with this new subscription
The advisor was very professional and very pleasant
I RECOMMEND</v>
      </c>
    </row>
    <row r="54" ht="15.75" customHeight="1">
      <c r="A54" s="2">
        <v>2.0</v>
      </c>
      <c r="B54" s="2" t="s">
        <v>225</v>
      </c>
      <c r="C54" s="2" t="s">
        <v>226</v>
      </c>
      <c r="D54" s="2" t="s">
        <v>26</v>
      </c>
      <c r="E54" s="2" t="s">
        <v>14</v>
      </c>
      <c r="F54" s="2" t="s">
        <v>15</v>
      </c>
      <c r="G54" s="2" t="s">
        <v>227</v>
      </c>
      <c r="H54" s="2" t="s">
        <v>228</v>
      </c>
      <c r="I54" s="2" t="str">
        <f>IFERROR(__xludf.DUMMYFUNCTION("GOOGLETRANSLATE(C54,""fr"",""en"")"),"I broke down in Switzerland. The tow truck to come 3 to coming, however, we were 10km from the border. The car remained in the closer garage, they did not want to repatriate it to Lyon on the pretext that it is that for recent cars. To go get the car, he "&amp;"reserved a taxi for 13 hours that did not happen, suddenly I called them, second taxi arrived at 1:49 p.m. and I had to recover my ticket until 1:58 p.m. otherwise it will be automatically canceled , in short a hassle.")</f>
        <v>I broke down in Switzerland. The tow truck to come 3 to coming, however, we were 10km from the border. The car remained in the closer garage, they did not want to repatriate it to Lyon on the pretext that it is that for recent cars. To go get the car, he reserved a taxi for 13 hours that did not happen, suddenly I called them, second taxi arrived at 1:49 p.m. and I had to recover my ticket until 1:58 p.m. otherwise it will be automatically canceled , in short a hassle.</v>
      </c>
    </row>
    <row r="55" ht="15.75" customHeight="1">
      <c r="A55" s="2">
        <v>3.0</v>
      </c>
      <c r="B55" s="2" t="s">
        <v>229</v>
      </c>
      <c r="C55" s="2" t="s">
        <v>230</v>
      </c>
      <c r="D55" s="2" t="s">
        <v>26</v>
      </c>
      <c r="E55" s="2" t="s">
        <v>14</v>
      </c>
      <c r="F55" s="2" t="s">
        <v>15</v>
      </c>
      <c r="G55" s="2" t="s">
        <v>231</v>
      </c>
      <c r="H55" s="2" t="s">
        <v>122</v>
      </c>
      <c r="I55" s="2" t="str">
        <f>IFERROR(__xludf.DUMMYFUNCTION("GOOGLETRANSLATE(C55,""fr"",""en"")"),"I am very satisfied with the service
Very good responsiveness
Clear and precise advice
By cons I find the price very high, given my penalty bonus.
")</f>
        <v>I am very satisfied with the service
Very good responsiveness
Clear and precise advice
By cons I find the price very high, given my penalty bonus.
</v>
      </c>
    </row>
    <row r="56" ht="15.75" customHeight="1">
      <c r="A56" s="2">
        <v>4.0</v>
      </c>
      <c r="B56" s="2" t="s">
        <v>232</v>
      </c>
      <c r="C56" s="2" t="s">
        <v>233</v>
      </c>
      <c r="D56" s="2" t="s">
        <v>26</v>
      </c>
      <c r="E56" s="2" t="s">
        <v>14</v>
      </c>
      <c r="F56" s="2" t="s">
        <v>15</v>
      </c>
      <c r="G56" s="2" t="s">
        <v>234</v>
      </c>
      <c r="H56" s="2" t="s">
        <v>34</v>
      </c>
      <c r="I56" s="2" t="str">
        <f>IFERROR(__xludf.DUMMYFUNCTION("GOOGLETRANSLATE(C56,""fr"",""en"")"),"The price suits me and Direct Insurance is part of the company which offers an unbeatable price.
I have not yet been dealing with advisor and I hope they will be at the top")</f>
        <v>The price suits me and Direct Insurance is part of the company which offers an unbeatable price.
I have not yet been dealing with advisor and I hope they will be at the top</v>
      </c>
    </row>
    <row r="57" ht="15.75" customHeight="1">
      <c r="A57" s="2">
        <v>3.0</v>
      </c>
      <c r="B57" s="2" t="s">
        <v>235</v>
      </c>
      <c r="C57" s="2" t="s">
        <v>236</v>
      </c>
      <c r="D57" s="2" t="s">
        <v>26</v>
      </c>
      <c r="E57" s="2" t="s">
        <v>14</v>
      </c>
      <c r="F57" s="2" t="s">
        <v>15</v>
      </c>
      <c r="G57" s="2" t="s">
        <v>237</v>
      </c>
      <c r="H57" s="2" t="s">
        <v>166</v>
      </c>
      <c r="I57" s="2" t="str">
        <f>IFERROR(__xludf.DUMMYFUNCTION("GOOGLETRANSLATE(C57,""fr"",""en"")"),"I am satisfied with the service. The price suits me. I recommend this direct insurance insurance to my entourage if there are interesting sponsorship offers.")</f>
        <v>I am satisfied with the service. The price suits me. I recommend this direct insurance insurance to my entourage if there are interesting sponsorship offers.</v>
      </c>
    </row>
    <row r="58" ht="15.75" customHeight="1">
      <c r="A58" s="2">
        <v>5.0</v>
      </c>
      <c r="B58" s="2" t="s">
        <v>238</v>
      </c>
      <c r="C58" s="2" t="s">
        <v>239</v>
      </c>
      <c r="D58" s="2" t="s">
        <v>57</v>
      </c>
      <c r="E58" s="2" t="s">
        <v>14</v>
      </c>
      <c r="F58" s="2" t="s">
        <v>15</v>
      </c>
      <c r="G58" s="2" t="s">
        <v>176</v>
      </c>
      <c r="H58" s="2" t="s">
        <v>34</v>
      </c>
      <c r="I58" s="2" t="str">
        <f>IFERROR(__xludf.DUMMYFUNCTION("GOOGLETRANSLATE(C58,""fr"",""en"")"),"Very easy subscription, very very competitive rates. The website is very clear. The reception of documents (provosory or final) is very fast.")</f>
        <v>Very easy subscription, very very competitive rates. The website is very clear. The reception of documents (provosory or final) is very fast.</v>
      </c>
    </row>
    <row r="59" ht="15.75" customHeight="1">
      <c r="A59" s="2">
        <v>3.0</v>
      </c>
      <c r="B59" s="2" t="s">
        <v>240</v>
      </c>
      <c r="C59" s="2" t="s">
        <v>241</v>
      </c>
      <c r="D59" s="2" t="s">
        <v>57</v>
      </c>
      <c r="E59" s="2" t="s">
        <v>14</v>
      </c>
      <c r="F59" s="2" t="s">
        <v>15</v>
      </c>
      <c r="G59" s="2" t="s">
        <v>242</v>
      </c>
      <c r="H59" s="2" t="s">
        <v>81</v>
      </c>
      <c r="I59" s="2" t="str">
        <f>IFERROR(__xludf.DUMMYFUNCTION("GOOGLETRANSLATE(C59,""fr"",""en"")"),"A can disappointed with the process concerning a car registered in WW, I could not take out the desired formula and guarantees on the first day.
The vehicle from a concession is a shame to have to contact you to do the process.")</f>
        <v>A can disappointed with the process concerning a car registered in WW, I could not take out the desired formula and guarantees on the first day.
The vehicle from a concession is a shame to have to contact you to do the process.</v>
      </c>
    </row>
    <row r="60" ht="15.75" customHeight="1">
      <c r="A60" s="2">
        <v>5.0</v>
      </c>
      <c r="B60" s="2" t="s">
        <v>243</v>
      </c>
      <c r="C60" s="2" t="s">
        <v>244</v>
      </c>
      <c r="D60" s="2" t="s">
        <v>57</v>
      </c>
      <c r="E60" s="2" t="s">
        <v>14</v>
      </c>
      <c r="F60" s="2" t="s">
        <v>15</v>
      </c>
      <c r="G60" s="2" t="s">
        <v>204</v>
      </c>
      <c r="H60" s="2" t="s">
        <v>90</v>
      </c>
      <c r="I60" s="2" t="str">
        <f>IFERROR(__xludf.DUMMYFUNCTION("GOOGLETRANSLATE(C60,""fr"",""en"")"),"The price suits me I am satisfied with the service management of my request
The sympathetic and professional advisor she explained everything from A to Z")</f>
        <v>The price suits me I am satisfied with the service management of my request
The sympathetic and professional advisor she explained everything from A to Z</v>
      </c>
    </row>
    <row r="61" ht="15.75" customHeight="1">
      <c r="A61" s="2">
        <v>4.0</v>
      </c>
      <c r="B61" s="2" t="s">
        <v>245</v>
      </c>
      <c r="C61" s="2" t="s">
        <v>246</v>
      </c>
      <c r="D61" s="2" t="s">
        <v>188</v>
      </c>
      <c r="E61" s="2" t="s">
        <v>14</v>
      </c>
      <c r="F61" s="2" t="s">
        <v>15</v>
      </c>
      <c r="G61" s="2" t="s">
        <v>247</v>
      </c>
      <c r="H61" s="2" t="s">
        <v>90</v>
      </c>
      <c r="I61" s="2" t="str">
        <f>IFERROR(__xludf.DUMMYFUNCTION("GOOGLETRANSLATE(C61,""fr"",""en"")"),"Satisfied with the services offered.
Auto insurance subscription form complicated to fill out on the site but perfect advisor assistance. Thank you")</f>
        <v>Satisfied with the services offered.
Auto insurance subscription form complicated to fill out on the site but perfect advisor assistance. Thank you</v>
      </c>
    </row>
    <row r="62" ht="15.75" customHeight="1">
      <c r="A62" s="2">
        <v>2.0</v>
      </c>
      <c r="B62" s="2" t="s">
        <v>248</v>
      </c>
      <c r="C62" s="2" t="s">
        <v>249</v>
      </c>
      <c r="D62" s="2" t="s">
        <v>250</v>
      </c>
      <c r="E62" s="2" t="s">
        <v>21</v>
      </c>
      <c r="F62" s="2" t="s">
        <v>15</v>
      </c>
      <c r="G62" s="2" t="s">
        <v>251</v>
      </c>
      <c r="H62" s="2" t="s">
        <v>252</v>
      </c>
      <c r="I62" s="2" t="str">
        <f>IFERROR(__xludf.DUMMYFUNCTION("GOOGLETRANSLATE(C62,""fr"",""en"")"),"8,800 euros in dentist invoice Harmonie only dealt with half the TV transmission of the SS result of the race they reimbursed me less than the SS, ie 1000 euros instead of around 4000 euros all the documents were sent but they ask An additional processing"&amp;" deadline for 20 to 30 days.")</f>
        <v>8,800 euros in dentist invoice Harmonie only dealt with half the TV transmission of the SS result of the race they reimbursed me less than the SS, ie 1000 euros instead of around 4000 euros all the documents were sent but they ask An additional processing deadline for 20 to 30 days.</v>
      </c>
    </row>
    <row r="63" ht="15.75" customHeight="1">
      <c r="A63" s="2">
        <v>5.0</v>
      </c>
      <c r="B63" s="2" t="s">
        <v>253</v>
      </c>
      <c r="C63" s="2" t="s">
        <v>254</v>
      </c>
      <c r="D63" s="2" t="s">
        <v>37</v>
      </c>
      <c r="E63" s="2" t="s">
        <v>38</v>
      </c>
      <c r="F63" s="2" t="s">
        <v>15</v>
      </c>
      <c r="G63" s="2" t="s">
        <v>224</v>
      </c>
      <c r="H63" s="2" t="s">
        <v>81</v>
      </c>
      <c r="I63" s="2" t="str">
        <f>IFERROR(__xludf.DUMMYFUNCTION("GOOGLETRANSLATE(C63,""fr"",""en"")"),"Simple, efficient, inexpensive. 5/5
Listening advisor who takes the time with customers. No waiting on the phone, really satisfied from start to finish.")</f>
        <v>Simple, efficient, inexpensive. 5/5
Listening advisor who takes the time with customers. No waiting on the phone, really satisfied from start to finish.</v>
      </c>
    </row>
    <row r="64" ht="15.75" customHeight="1">
      <c r="A64" s="2">
        <v>3.0</v>
      </c>
      <c r="B64" s="2" t="s">
        <v>255</v>
      </c>
      <c r="C64" s="2" t="s">
        <v>256</v>
      </c>
      <c r="D64" s="2" t="s">
        <v>188</v>
      </c>
      <c r="E64" s="2" t="s">
        <v>14</v>
      </c>
      <c r="F64" s="2" t="s">
        <v>15</v>
      </c>
      <c r="G64" s="2" t="s">
        <v>257</v>
      </c>
      <c r="H64" s="2" t="s">
        <v>157</v>
      </c>
      <c r="I64" s="2" t="str">
        <f>IFERROR(__xludf.DUMMYFUNCTION("GOOGLETRANSLATE(C64,""fr"",""en"")"),"I was fired as a dog Dela GMF Chambery after 40 years of self -insurance continuation responsible for accident I signed with Gan Chambery with takeover of my 50 bonus / I think he only wants to have customers who place money")</f>
        <v>I was fired as a dog Dela GMF Chambery after 40 years of self -insurance continuation responsible for accident I signed with Gan Chambery with takeover of my 50 bonus / I think he only wants to have customers who place money</v>
      </c>
    </row>
    <row r="65" ht="15.75" customHeight="1">
      <c r="A65" s="2">
        <v>4.0</v>
      </c>
      <c r="B65" s="2" t="s">
        <v>258</v>
      </c>
      <c r="C65" s="2" t="s">
        <v>259</v>
      </c>
      <c r="D65" s="2" t="s">
        <v>57</v>
      </c>
      <c r="E65" s="2" t="s">
        <v>14</v>
      </c>
      <c r="F65" s="2" t="s">
        <v>15</v>
      </c>
      <c r="G65" s="2" t="s">
        <v>74</v>
      </c>
      <c r="H65" s="2" t="s">
        <v>74</v>
      </c>
      <c r="I65" s="2" t="str">
        <f>IFERROR(__xludf.DUMMYFUNCTION("GOOGLETRANSLATE(C65,""fr"",""en"")"),"Serious, listening and caring operators.
Services with very good value for money compared to other insurances.
")</f>
        <v>Serious, listening and caring operators.
Services with very good value for money compared to other insurances.
</v>
      </c>
    </row>
    <row r="66" ht="15.75" customHeight="1">
      <c r="A66" s="2">
        <v>1.0</v>
      </c>
      <c r="B66" s="2" t="s">
        <v>260</v>
      </c>
      <c r="C66" s="2" t="s">
        <v>261</v>
      </c>
      <c r="D66" s="2" t="s">
        <v>262</v>
      </c>
      <c r="E66" s="2" t="s">
        <v>104</v>
      </c>
      <c r="F66" s="2" t="s">
        <v>15</v>
      </c>
      <c r="G66" s="2" t="s">
        <v>263</v>
      </c>
      <c r="H66" s="2" t="s">
        <v>81</v>
      </c>
      <c r="I66" s="2" t="str">
        <f>IFERROR(__xludf.DUMMYFUNCTION("GOOGLETRANSLATE(C66,""fr"",""en"")"),"Housing insurance too expensive I have terminated my contract but Axa does not want to refund the too perceived.ma new insurance is below 100euro the date AI on 12/01/2021 for AXA I do not recommend this insurance")</f>
        <v>Housing insurance too expensive I have terminated my contract but Axa does not want to refund the too perceived.ma new insurance is below 100euro the date AI on 12/01/2021 for AXA I do not recommend this insurance</v>
      </c>
    </row>
    <row r="67" ht="15.75" customHeight="1">
      <c r="A67" s="2">
        <v>1.0</v>
      </c>
      <c r="B67" s="2" t="s">
        <v>264</v>
      </c>
      <c r="C67" s="2" t="s">
        <v>265</v>
      </c>
      <c r="D67" s="2" t="s">
        <v>266</v>
      </c>
      <c r="E67" s="2" t="s">
        <v>212</v>
      </c>
      <c r="F67" s="2" t="s">
        <v>15</v>
      </c>
      <c r="G67" s="2" t="s">
        <v>267</v>
      </c>
      <c r="H67" s="2" t="s">
        <v>23</v>
      </c>
      <c r="I67" s="2" t="str">
        <f>IFERROR(__xludf.DUMMYFUNCTION("GOOGLETRANSLATE(C67,""fr"",""en"")"),"I think the bank must already do its banker work.
For dog insurance of the big one yes yes obligation of history of the dog after signature of the contract of course in addition he does not reimburse much, before I was at health vert real insurance of re"&amp;"imbursements in 24 hours, with 100%care.
Mutual credit a lot of mail to have nothing I terminate my contract at the end of the year.")</f>
        <v>I think the bank must already do its banker work.
For dog insurance of the big one yes yes obligation of history of the dog after signature of the contract of course in addition he does not reimburse much, before I was at health vert real insurance of reimbursements in 24 hours, with 100%care.
Mutual credit a lot of mail to have nothing I terminate my contract at the end of the year.</v>
      </c>
    </row>
    <row r="68" ht="15.75" customHeight="1">
      <c r="A68" s="2">
        <v>4.0</v>
      </c>
      <c r="B68" s="2" t="s">
        <v>268</v>
      </c>
      <c r="C68" s="2" t="s">
        <v>269</v>
      </c>
      <c r="D68" s="2" t="s">
        <v>26</v>
      </c>
      <c r="E68" s="2" t="s">
        <v>14</v>
      </c>
      <c r="F68" s="2" t="s">
        <v>15</v>
      </c>
      <c r="G68" s="2" t="s">
        <v>270</v>
      </c>
      <c r="H68" s="2" t="s">
        <v>81</v>
      </c>
      <c r="I68" s="2" t="str">
        <f>IFERROR(__xludf.DUMMYFUNCTION("GOOGLETRANSLATE(C68,""fr"",""en"")"),"I am satisfied with online services, fast and simple to do. High prices for young drivers.
Quotes are quick to do, everything is well explained.")</f>
        <v>I am satisfied with online services, fast and simple to do. High prices for young drivers.
Quotes are quick to do, everything is well explained.</v>
      </c>
    </row>
    <row r="69" ht="15.75" customHeight="1">
      <c r="A69" s="2">
        <v>2.0</v>
      </c>
      <c r="B69" s="2" t="s">
        <v>271</v>
      </c>
      <c r="C69" s="2" t="s">
        <v>272</v>
      </c>
      <c r="D69" s="2" t="s">
        <v>57</v>
      </c>
      <c r="E69" s="2" t="s">
        <v>14</v>
      </c>
      <c r="F69" s="2" t="s">
        <v>15</v>
      </c>
      <c r="G69" s="2" t="s">
        <v>273</v>
      </c>
      <c r="H69" s="2" t="s">
        <v>111</v>
      </c>
      <c r="I69" s="2" t="str">
        <f>IFERROR(__xludf.DUMMYFUNCTION("GOOGLETRANSLATE(C69,""fr"",""en"")"),"Hello I have a big problem I did several quotes with you I tried to pay twice this weekend following the quote but your site displayed me that payments do not pass that I had to contact my bank and out of surprise You have taken me twice 103 euros is it p"&amp;"ossible to cancel the samples please because it puts me in financial concerns I always intend to insure my car at home but following a twist my current car insurance owes me 220 euros can you reimburse me these 2 samples which suddenly are due to an error"&amp;" of your site and which I switch to your home in 2 and a half months. If no arrangement is done I will be forced to head to a consumer association for winning")</f>
        <v>Hello I have a big problem I did several quotes with you I tried to pay twice this weekend following the quote but your site displayed me that payments do not pass that I had to contact my bank and out of surprise You have taken me twice 103 euros is it possible to cancel the samples please because it puts me in financial concerns I always intend to insure my car at home but following a twist my current car insurance owes me 220 euros can you reimburse me these 2 samples which suddenly are due to an error of your site and which I switch to your home in 2 and a half months. If no arrangement is done I will be forced to head to a consumer association for winning</v>
      </c>
    </row>
    <row r="70" ht="15.75" customHeight="1">
      <c r="A70" s="2">
        <v>5.0</v>
      </c>
      <c r="B70" s="2" t="s">
        <v>274</v>
      </c>
      <c r="C70" s="2" t="s">
        <v>275</v>
      </c>
      <c r="D70" s="2" t="s">
        <v>26</v>
      </c>
      <c r="E70" s="2" t="s">
        <v>14</v>
      </c>
      <c r="F70" s="2" t="s">
        <v>15</v>
      </c>
      <c r="G70" s="2" t="s">
        <v>276</v>
      </c>
      <c r="H70" s="2" t="s">
        <v>81</v>
      </c>
      <c r="I70" s="2" t="str">
        <f>IFERROR(__xludf.DUMMYFUNCTION("GOOGLETRANSLATE(C70,""fr"",""en"")"),"I am satisfied with service and prices and the warranty, I advise you to change at the very least, and take advantage of the prices at your choice, more the ease of finding your dream of tranquility.")</f>
        <v>I am satisfied with service and prices and the warranty, I advise you to change at the very least, and take advantage of the prices at your choice, more the ease of finding your dream of tranquility.</v>
      </c>
    </row>
    <row r="71" ht="15.75" customHeight="1">
      <c r="A71" s="2">
        <v>3.0</v>
      </c>
      <c r="B71" s="2" t="s">
        <v>277</v>
      </c>
      <c r="C71" s="2" t="s">
        <v>278</v>
      </c>
      <c r="D71" s="2" t="s">
        <v>69</v>
      </c>
      <c r="E71" s="2" t="s">
        <v>21</v>
      </c>
      <c r="F71" s="2" t="s">
        <v>15</v>
      </c>
      <c r="G71" s="2" t="s">
        <v>279</v>
      </c>
      <c r="H71" s="2" t="s">
        <v>122</v>
      </c>
      <c r="I71" s="2" t="str">
        <f>IFERROR(__xludf.DUMMYFUNCTION("GOOGLETRANSLATE(C71,""fr"",""en"")"),"Beyond my difficulty in joining services with important waiting times and returns beyond online advisers not necessarily explicit, I am satisfied with the advisers I have had online in recent days and in particular Lamia that I 'I had on the last call. Th"&amp;"e exchange was of good quality and the responses provided.
The difficulty lies rather from what is happening afterwards with technicians' letters (can be too technical and not adapted to a reading of a neophyte person)")</f>
        <v>Beyond my difficulty in joining services with important waiting times and returns beyond online advisers not necessarily explicit, I am satisfied with the advisers I have had online in recent days and in particular Lamia that I 'I had on the last call. The exchange was of good quality and the responses provided.
The difficulty lies rather from what is happening afterwards with technicians' letters (can be too technical and not adapted to a reading of a neophyte person)</v>
      </c>
    </row>
    <row r="72" ht="15.75" customHeight="1">
      <c r="A72" s="2">
        <v>4.0</v>
      </c>
      <c r="B72" s="2" t="s">
        <v>280</v>
      </c>
      <c r="C72" s="2" t="s">
        <v>281</v>
      </c>
      <c r="D72" s="2" t="s">
        <v>26</v>
      </c>
      <c r="E72" s="2" t="s">
        <v>14</v>
      </c>
      <c r="F72" s="2" t="s">
        <v>15</v>
      </c>
      <c r="G72" s="2" t="s">
        <v>282</v>
      </c>
      <c r="H72" s="2" t="s">
        <v>28</v>
      </c>
      <c r="I72" s="2" t="str">
        <f>IFERROR(__xludf.DUMMYFUNCTION("GOOGLETRANSLATE(C72,""fr"",""en"")"),"I am satisfied with the service. I find the site very easy to use I will recommend you to those around me without problem. The prices are very competitive
Cordially.
")</f>
        <v>I am satisfied with the service. I find the site very easy to use I will recommend you to those around me without problem. The prices are very competitive
Cordially.
</v>
      </c>
    </row>
    <row r="73" ht="15.75" customHeight="1">
      <c r="A73" s="2">
        <v>5.0</v>
      </c>
      <c r="B73" s="2" t="s">
        <v>283</v>
      </c>
      <c r="C73" s="2" t="s">
        <v>284</v>
      </c>
      <c r="D73" s="2" t="s">
        <v>31</v>
      </c>
      <c r="E73" s="2" t="s">
        <v>32</v>
      </c>
      <c r="F73" s="2" t="s">
        <v>15</v>
      </c>
      <c r="G73" s="2" t="s">
        <v>285</v>
      </c>
      <c r="H73" s="2" t="s">
        <v>28</v>
      </c>
      <c r="I73" s="2" t="str">
        <f>IFERROR(__xludf.DUMMYFUNCTION("GOOGLETRANSLATE(C73,""fr"",""en"")"),"Simple, practical and financially very advantageous!
Very good follow -up of the file, listening advisers, effective.
Membership made without incident.
Perfect!")</f>
        <v>Simple, practical and financially very advantageous!
Very good follow -up of the file, listening advisers, effective.
Membership made without incident.
Perfect!</v>
      </c>
    </row>
    <row r="74" ht="15.75" customHeight="1">
      <c r="A74" s="2">
        <v>3.0</v>
      </c>
      <c r="B74" s="2" t="s">
        <v>286</v>
      </c>
      <c r="C74" s="2" t="s">
        <v>287</v>
      </c>
      <c r="D74" s="2" t="s">
        <v>143</v>
      </c>
      <c r="E74" s="2" t="s">
        <v>109</v>
      </c>
      <c r="F74" s="2" t="s">
        <v>15</v>
      </c>
      <c r="G74" s="2" t="s">
        <v>288</v>
      </c>
      <c r="H74" s="2" t="s">
        <v>218</v>
      </c>
      <c r="I74" s="2" t="str">
        <f>IFERROR(__xludf.DUMMYFUNCTION("GOOGLETRANSLATE(C74,""fr"",""en"")"),"Very very unhappy advised which to make you signed contracts are very responsive but once you claim your rights are liars and incompetent.")</f>
        <v>Very very unhappy advised which to make you signed contracts are very responsive but once you claim your rights are liars and incompetent.</v>
      </c>
    </row>
    <row r="75" ht="15.75" customHeight="1">
      <c r="A75" s="2">
        <v>1.0</v>
      </c>
      <c r="B75" s="2" t="s">
        <v>289</v>
      </c>
      <c r="C75" s="2" t="s">
        <v>290</v>
      </c>
      <c r="D75" s="2" t="s">
        <v>291</v>
      </c>
      <c r="E75" s="2" t="s">
        <v>109</v>
      </c>
      <c r="F75" s="2" t="s">
        <v>15</v>
      </c>
      <c r="G75" s="2" t="s">
        <v>292</v>
      </c>
      <c r="H75" s="2" t="s">
        <v>145</v>
      </c>
      <c r="I75" s="2" t="str">
        <f>IFERROR(__xludf.DUMMYFUNCTION("GOOGLETRANSLATE(C75,""fr"",""en"")"),"It has been 3 weeks now that this ""pension"" ignores me, quite simply because I fulfill all the conditions to benefit from an additional daily allowances and disability.
It's inhuman, they know that I am in need but they ignore all the documents I send "&amp;"them!
I think I sued them so that they do their work ...")</f>
        <v>It has been 3 weeks now that this "pension" ignores me, quite simply because I fulfill all the conditions to benefit from an additional daily allowances and disability.
It's inhuman, they know that I am in need but they ignore all the documents I send them!
I think I sued them so that they do their work ...</v>
      </c>
    </row>
    <row r="76" ht="15.75" customHeight="1">
      <c r="A76" s="2">
        <v>5.0</v>
      </c>
      <c r="B76" s="2" t="s">
        <v>293</v>
      </c>
      <c r="C76" s="2" t="s">
        <v>294</v>
      </c>
      <c r="D76" s="2" t="s">
        <v>188</v>
      </c>
      <c r="E76" s="2" t="s">
        <v>14</v>
      </c>
      <c r="F76" s="2" t="s">
        <v>15</v>
      </c>
      <c r="G76" s="2" t="s">
        <v>295</v>
      </c>
      <c r="H76" s="2" t="s">
        <v>28</v>
      </c>
      <c r="I76" s="2" t="str">
        <f>IFERROR(__xludf.DUMMYFUNCTION("GOOGLETRANSLATE(C76,""fr"",""en"")"),"I am very satisfied with the quality of the interview, by service offers as well as by the efficiency of the advisor who took care of me on the phone.")</f>
        <v>I am very satisfied with the quality of the interview, by service offers as well as by the efficiency of the advisor who took care of me on the phone.</v>
      </c>
    </row>
    <row r="77" ht="15.75" customHeight="1">
      <c r="A77" s="2">
        <v>1.0</v>
      </c>
      <c r="B77" s="2" t="s">
        <v>296</v>
      </c>
      <c r="C77" s="2" t="s">
        <v>297</v>
      </c>
      <c r="D77" s="2" t="s">
        <v>298</v>
      </c>
      <c r="E77" s="2" t="s">
        <v>38</v>
      </c>
      <c r="F77" s="2" t="s">
        <v>15</v>
      </c>
      <c r="G77" s="2" t="s">
        <v>299</v>
      </c>
      <c r="H77" s="2" t="s">
        <v>63</v>
      </c>
      <c r="I77" s="2" t="str">
        <f>IFERROR(__xludf.DUMMYFUNCTION("GOOGLETRANSLATE(C77,""fr"",""en"")"),"To follow up on my comment left on Titou's advice, I just had a ""standard letter"" by email, telling me that they took the trouble to contact me by phone to discuss my dissatisfaction (!!! ). Which is completely false and I am not afraid to deal with the"&amp;"m ""liars"". I still do not approve of the 15% increase in my bonus 2021, having rolled very little in 2020 for the causes that everyone has known, no claim for many years and with 50% of bonuses, it's more than hard to swallow ...
I will not recommend t"&amp;"his ""mutual"" which says ""biker"" and I will quickly disengage myself from home.")</f>
        <v>To follow up on my comment left on Titou's advice, I just had a "standard letter" by email, telling me that they took the trouble to contact me by phone to discuss my dissatisfaction (!!! ). Which is completely false and I am not afraid to deal with them "liars". I still do not approve of the 15% increase in my bonus 2021, having rolled very little in 2020 for the causes that everyone has known, no claim for many years and with 50% of bonuses, it's more than hard to swallow ...
I will not recommend this "mutual" which says "biker" and I will quickly disengage myself from home.</v>
      </c>
    </row>
    <row r="78" ht="15.75" customHeight="1">
      <c r="A78" s="2">
        <v>5.0</v>
      </c>
      <c r="B78" s="2" t="s">
        <v>300</v>
      </c>
      <c r="C78" s="2" t="s">
        <v>301</v>
      </c>
      <c r="D78" s="2" t="s">
        <v>57</v>
      </c>
      <c r="E78" s="2" t="s">
        <v>14</v>
      </c>
      <c r="F78" s="2" t="s">
        <v>15</v>
      </c>
      <c r="G78" s="2" t="s">
        <v>302</v>
      </c>
      <c r="H78" s="2" t="s">
        <v>28</v>
      </c>
      <c r="I78" s="2" t="str">
        <f>IFERROR(__xludf.DUMMYFUNCTION("GOOGLETRANSLATE(C78,""fr"",""en"")"),"Super insurance, I recommend the Olivier Insurance for their competitive price. Very interesting offer for a young license, pleasant and listening customer service.")</f>
        <v>Super insurance, I recommend the Olivier Insurance for their competitive price. Very interesting offer for a young license, pleasant and listening customer service.</v>
      </c>
    </row>
    <row r="79" ht="15.75" customHeight="1">
      <c r="A79" s="2">
        <v>5.0</v>
      </c>
      <c r="B79" s="2" t="s">
        <v>303</v>
      </c>
      <c r="C79" s="2" t="s">
        <v>304</v>
      </c>
      <c r="D79" s="2" t="s">
        <v>305</v>
      </c>
      <c r="E79" s="2" t="s">
        <v>38</v>
      </c>
      <c r="F79" s="2" t="s">
        <v>15</v>
      </c>
      <c r="G79" s="2" t="s">
        <v>242</v>
      </c>
      <c r="H79" s="2" t="s">
        <v>81</v>
      </c>
      <c r="I79" s="2" t="str">
        <f>IFERROR(__xludf.DUMMYFUNCTION("GOOGLETRANSLATE(C79,""fr"",""en"")"),"Competitive transaction and price
I'm waiting to see the guarantees and I recommend Aprilmoto
While waiting to receive my green card to stick it on the motorcycle
")</f>
        <v>Competitive transaction and price
I'm waiting to see the guarantees and I recommend Aprilmoto
While waiting to receive my green card to stick it on the motorcycle
</v>
      </c>
    </row>
    <row r="80" ht="15.75" customHeight="1">
      <c r="A80" s="2">
        <v>1.0</v>
      </c>
      <c r="B80" s="2" t="s">
        <v>306</v>
      </c>
      <c r="C80" s="2" t="s">
        <v>307</v>
      </c>
      <c r="D80" s="2" t="s">
        <v>250</v>
      </c>
      <c r="E80" s="2" t="s">
        <v>21</v>
      </c>
      <c r="F80" s="2" t="s">
        <v>15</v>
      </c>
      <c r="G80" s="2" t="s">
        <v>308</v>
      </c>
      <c r="H80" s="2" t="s">
        <v>157</v>
      </c>
      <c r="I80" s="2" t="str">
        <f>IFERROR(__xludf.DUMMYFUNCTION("GOOGLETRANSLATE(C80,""fr"",""en"")"),"Two months, 3 telephone calls and 2 installments in agency, I have my card but not my wife who must have surgery.")</f>
        <v>Two months, 3 telephone calls and 2 installments in agency, I have my card but not my wife who must have surgery.</v>
      </c>
    </row>
    <row r="81" ht="15.75" customHeight="1">
      <c r="A81" s="2">
        <v>4.0</v>
      </c>
      <c r="B81" s="2" t="s">
        <v>309</v>
      </c>
      <c r="C81" s="2" t="s">
        <v>310</v>
      </c>
      <c r="D81" s="2" t="s">
        <v>13</v>
      </c>
      <c r="E81" s="2" t="s">
        <v>14</v>
      </c>
      <c r="F81" s="2" t="s">
        <v>15</v>
      </c>
      <c r="G81" s="2" t="s">
        <v>311</v>
      </c>
      <c r="H81" s="2" t="s">
        <v>312</v>
      </c>
      <c r="I81" s="2" t="str">
        <f>IFERROR(__xludf.DUMMYFUNCTION("GOOGLETRANSLATE(C81,""fr"",""en"")"),"My concern is the price !!! My wife also insured at Pacifica was injustment to go and put her vehicle in expertise 10km from the house to arrange these insurance people ... and I am not telling you the increase in prices that followed !! ! I think I chang"&amp;"e our two insurer car insurance, (like our other insurances elsewhere: too expensive!)")</f>
        <v>My concern is the price !!! My wife also insured at Pacifica was injustment to go and put her vehicle in expertise 10km from the house to arrange these insurance people ... and I am not telling you the increase in prices that followed !! ! I think I change our two insurer car insurance, (like our other insurances elsewhere: too expensive!)</v>
      </c>
    </row>
    <row r="82" ht="15.75" customHeight="1">
      <c r="A82" s="2">
        <v>2.0</v>
      </c>
      <c r="B82" s="2" t="s">
        <v>313</v>
      </c>
      <c r="C82" s="2" t="s">
        <v>314</v>
      </c>
      <c r="D82" s="2" t="s">
        <v>315</v>
      </c>
      <c r="E82" s="2" t="s">
        <v>14</v>
      </c>
      <c r="F82" s="2" t="s">
        <v>15</v>
      </c>
      <c r="G82" s="2" t="s">
        <v>316</v>
      </c>
      <c r="H82" s="2" t="s">
        <v>194</v>
      </c>
      <c r="I82" s="2" t="str">
        <f>IFERROR(__xludf.DUMMYFUNCTION("GOOGLETRANSLATE(C82,""fr"",""en"")"),"Insurance taken last night, it is impossible to connect to sign the insurance contract (after provisional payment of 79 euros) or to obtain access for opening files for the creation of the password. asked me to buy a new computer because their customers h"&amp;"ad no worries in this area. Annulation of the contract with a reimbursement check ... at home, they do not return to the amount on card ... It's like that and not otherwise ... Bravo for the reception ... We had planned 4 vehicles to insure ... luckily th"&amp;"is happens on the first try ...")</f>
        <v>Insurance taken last night, it is impossible to connect to sign the insurance contract (after provisional payment of 79 euros) or to obtain access for opening files for the creation of the password. asked me to buy a new computer because their customers had no worries in this area. Annulation of the contract with a reimbursement check ... at home, they do not return to the amount on card ... It's like that and not otherwise ... Bravo for the reception ... We had planned 4 vehicles to insure ... luckily this happens on the first try ...</v>
      </c>
    </row>
    <row r="83" ht="15.75" customHeight="1">
      <c r="A83" s="2">
        <v>4.0</v>
      </c>
      <c r="B83" s="2" t="s">
        <v>317</v>
      </c>
      <c r="C83" s="2" t="s">
        <v>318</v>
      </c>
      <c r="D83" s="2" t="s">
        <v>305</v>
      </c>
      <c r="E83" s="2" t="s">
        <v>38</v>
      </c>
      <c r="F83" s="2" t="s">
        <v>15</v>
      </c>
      <c r="G83" s="2" t="s">
        <v>319</v>
      </c>
      <c r="H83" s="2" t="s">
        <v>140</v>
      </c>
      <c r="I83" s="2" t="str">
        <f>IFERROR(__xludf.DUMMYFUNCTION("GOOGLETRANSLATE(C83,""fr"",""en"")"),"Simple and practical and given the prices I took all the options. I was advised on the phone and very friendly. Answered all my questions.")</f>
        <v>Simple and practical and given the prices I took all the options. I was advised on the phone and very friendly. Answered all my questions.</v>
      </c>
    </row>
    <row r="84" ht="15.75" customHeight="1">
      <c r="A84" s="2">
        <v>4.0</v>
      </c>
      <c r="B84" s="2" t="s">
        <v>320</v>
      </c>
      <c r="C84" s="2" t="s">
        <v>321</v>
      </c>
      <c r="D84" s="2" t="s">
        <v>305</v>
      </c>
      <c r="E84" s="2" t="s">
        <v>38</v>
      </c>
      <c r="F84" s="2" t="s">
        <v>15</v>
      </c>
      <c r="G84" s="2" t="s">
        <v>322</v>
      </c>
      <c r="H84" s="2" t="s">
        <v>140</v>
      </c>
      <c r="I84" s="2" t="str">
        <f>IFERROR(__xludf.DUMMYFUNCTION("GOOGLETRANSLATE(C84,""fr"",""en"")"),"I am satisfied with the price, a simple and quick quote with details. I was very well informed and the advisor reminded me. I am very happy")</f>
        <v>I am satisfied with the price, a simple and quick quote with details. I was very well informed and the advisor reminded me. I am very happy</v>
      </c>
    </row>
    <row r="85" ht="15.75" customHeight="1">
      <c r="A85" s="2">
        <v>5.0</v>
      </c>
      <c r="B85" s="2" t="s">
        <v>323</v>
      </c>
      <c r="C85" s="2" t="s">
        <v>324</v>
      </c>
      <c r="D85" s="2" t="s">
        <v>26</v>
      </c>
      <c r="E85" s="2" t="s">
        <v>14</v>
      </c>
      <c r="F85" s="2" t="s">
        <v>15</v>
      </c>
      <c r="G85" s="2" t="s">
        <v>325</v>
      </c>
      <c r="H85" s="2" t="s">
        <v>28</v>
      </c>
      <c r="I85" s="2" t="str">
        <f>IFERROR(__xludf.DUMMYFUNCTION("GOOGLETRANSLATE(C85,""fr"",""en"")"),"I am satisfied with the service, the ease of subscribing to it and the price. I hope the service will be as fast and effective when I need it")</f>
        <v>I am satisfied with the service, the ease of subscribing to it and the price. I hope the service will be as fast and effective when I need it</v>
      </c>
    </row>
    <row r="86" ht="15.75" customHeight="1">
      <c r="A86" s="2">
        <v>5.0</v>
      </c>
      <c r="B86" s="2" t="s">
        <v>326</v>
      </c>
      <c r="C86" s="2" t="s">
        <v>327</v>
      </c>
      <c r="D86" s="2" t="s">
        <v>69</v>
      </c>
      <c r="E86" s="2" t="s">
        <v>21</v>
      </c>
      <c r="F86" s="2" t="s">
        <v>15</v>
      </c>
      <c r="G86" s="2" t="s">
        <v>328</v>
      </c>
      <c r="H86" s="2" t="s">
        <v>329</v>
      </c>
      <c r="I86" s="2" t="str">
        <f>IFERROR(__xludf.DUMMYFUNCTION("GOOGLETRANSLATE(C86,""fr"",""en"")"),"Thank you again to Caroline for her kindness and advice, a listening, professional and funny person, who will be able to answer your questions with strong sympathy.")</f>
        <v>Thank you again to Caroline for her kindness and advice, a listening, professional and funny person, who will be able to answer your questions with strong sympathy.</v>
      </c>
    </row>
    <row r="87" ht="15.75" customHeight="1">
      <c r="A87" s="2">
        <v>2.0</v>
      </c>
      <c r="B87" s="2" t="s">
        <v>330</v>
      </c>
      <c r="C87" s="2" t="s">
        <v>331</v>
      </c>
      <c r="D87" s="2" t="s">
        <v>291</v>
      </c>
      <c r="E87" s="2" t="s">
        <v>21</v>
      </c>
      <c r="F87" s="2" t="s">
        <v>15</v>
      </c>
      <c r="G87" s="2" t="s">
        <v>332</v>
      </c>
      <c r="H87" s="2" t="s">
        <v>185</v>
      </c>
      <c r="I87" s="2" t="str">
        <f>IFERROR(__xludf.DUMMYFUNCTION("GOOGLETRANSLATE(C87,""fr"",""en"")"),"The lack of professional conscience of this mutual insurance company makes me feel bitterly regrets? 'Hui we are on 16/05/21 and I still have not received the documents I am angry ????")</f>
        <v>The lack of professional conscience of this mutual insurance company makes me feel bitterly regrets? 'Hui we are on 16/05/21 and I still have not received the documents I am angry ????</v>
      </c>
    </row>
    <row r="88" ht="15.75" customHeight="1">
      <c r="A88" s="2">
        <v>2.0</v>
      </c>
      <c r="B88" s="2" t="s">
        <v>333</v>
      </c>
      <c r="C88" s="2" t="s">
        <v>334</v>
      </c>
      <c r="D88" s="2" t="s">
        <v>48</v>
      </c>
      <c r="E88" s="2" t="s">
        <v>21</v>
      </c>
      <c r="F88" s="2" t="s">
        <v>15</v>
      </c>
      <c r="G88" s="2" t="s">
        <v>335</v>
      </c>
      <c r="H88" s="2" t="s">
        <v>122</v>
      </c>
      <c r="I88" s="2" t="str">
        <f>IFERROR(__xludf.DUMMYFUNCTION("GOOGLETRANSLATE(C88,""fr"",""en"")"),"Refusal of Neoliane to terminate our mutual contract because the request of January 8 registered letter was made to my name and on the contract The name of my husband is on the front line it is the same contract the same address is my Mail and my phone wh"&amp;"o are in the file. On the other hand against the registered letter. No letter received to inform us of the refusal of termination.")</f>
        <v>Refusal of Neoliane to terminate our mutual contract because the request of January 8 registered letter was made to my name and on the contract The name of my husband is on the front line it is the same contract the same address is my Mail and my phone who are in the file. On the other hand against the registered letter. No letter received to inform us of the refusal of termination.</v>
      </c>
    </row>
    <row r="89" ht="15.75" customHeight="1">
      <c r="A89" s="2">
        <v>1.0</v>
      </c>
      <c r="B89" s="2" t="s">
        <v>336</v>
      </c>
      <c r="C89" s="2" t="s">
        <v>337</v>
      </c>
      <c r="D89" s="2" t="s">
        <v>338</v>
      </c>
      <c r="E89" s="2" t="s">
        <v>14</v>
      </c>
      <c r="F89" s="2" t="s">
        <v>15</v>
      </c>
      <c r="G89" s="2" t="s">
        <v>339</v>
      </c>
      <c r="H89" s="2" t="s">
        <v>28</v>
      </c>
      <c r="I89" s="2" t="str">
        <f>IFERROR(__xludf.DUMMYFUNCTION("GOOGLETRANSLATE(C89,""fr"",""en"")"),"To flee in emergency, really incompetent on telephone call. We have to come across a platform outside of Europe and understand nothing what we want in terms of insurance. What they understand is our figures that are marked on the credit card.
In short .."&amp;".... never more.")</f>
        <v>To flee in emergency, really incompetent on telephone call. We have to come across a platform outside of Europe and understand nothing what we want in terms of insurance. What they understand is our figures that are marked on the credit card.
In short ...... never more.</v>
      </c>
    </row>
    <row r="90" ht="15.75" customHeight="1">
      <c r="A90" s="2">
        <v>4.0</v>
      </c>
      <c r="B90" s="2" t="s">
        <v>340</v>
      </c>
      <c r="C90" s="2" t="s">
        <v>341</v>
      </c>
      <c r="D90" s="2" t="s">
        <v>13</v>
      </c>
      <c r="E90" s="2" t="s">
        <v>14</v>
      </c>
      <c r="F90" s="2" t="s">
        <v>15</v>
      </c>
      <c r="G90" s="2" t="s">
        <v>342</v>
      </c>
      <c r="H90" s="2" t="s">
        <v>343</v>
      </c>
      <c r="I90" s="2" t="str">
        <f>IFERROR(__xludf.DUMMYFUNCTION("GOOGLETRANSLATE(C90,""fr"",""en"")"),"I do not often use Pacifica. A slight accident made me use it recently. fast and pro treatment. not ahead of money by going to an authorized coachbuilder")</f>
        <v>I do not often use Pacifica. A slight accident made me use it recently. fast and pro treatment. not ahead of money by going to an authorized coachbuilder</v>
      </c>
    </row>
    <row r="91" ht="15.75" customHeight="1">
      <c r="A91" s="2">
        <v>2.0</v>
      </c>
      <c r="B91" s="2" t="s">
        <v>344</v>
      </c>
      <c r="C91" s="2" t="s">
        <v>345</v>
      </c>
      <c r="D91" s="2" t="s">
        <v>262</v>
      </c>
      <c r="E91" s="2" t="s">
        <v>14</v>
      </c>
      <c r="F91" s="2" t="s">
        <v>15</v>
      </c>
      <c r="G91" s="2" t="s">
        <v>346</v>
      </c>
      <c r="H91" s="2" t="s">
        <v>347</v>
      </c>
      <c r="I91" s="2" t="str">
        <f>IFERROR(__xludf.DUMMYFUNCTION("GOOGLETRANSLATE(C91,""fr"",""en"")"),"Almost two months to settle a disaster for which I am not responsible with a member from Axa who stamped my
car on a parking space. No assistance. No reminder despite the promises to solve the problem
within 48 hours. (4 calls and even promise each time"&amp;" not held).")</f>
        <v>Almost two months to settle a disaster for which I am not responsible with a member from Axa who stamped my
car on a parking space. No assistance. No reminder despite the promises to solve the problem
within 48 hours. (4 calls and even promise each time not held).</v>
      </c>
    </row>
    <row r="92" ht="15.75" customHeight="1">
      <c r="A92" s="2">
        <v>1.0</v>
      </c>
      <c r="B92" s="2" t="s">
        <v>348</v>
      </c>
      <c r="C92" s="2" t="s">
        <v>349</v>
      </c>
      <c r="D92" s="2" t="s">
        <v>125</v>
      </c>
      <c r="E92" s="2" t="s">
        <v>43</v>
      </c>
      <c r="F92" s="2" t="s">
        <v>15</v>
      </c>
      <c r="G92" s="2" t="s">
        <v>90</v>
      </c>
      <c r="H92" s="2" t="s">
        <v>90</v>
      </c>
      <c r="I92" s="2" t="str">
        <f>IFERROR(__xludf.DUMMYFUNCTION("GOOGLETRANSLATE(C92,""fr"",""en"")"),"Never take out life insurance at Generali
They are incapable when you calculate you what you have to declaire and what is defiscalise
It is a real shame of real incapable
It has been more than a year since the cinema hard and that therefore, I cannot w"&amp;"ithdraw my money
The field insurer takes the money but after, they tell us that they do not have the tools to calculate, gave me an email and a number of such and no response, the house mother returns to the agent
It is limit of the abut of power
")</f>
        <v>Never take out life insurance at Generali
They are incapable when you calculate you what you have to declaire and what is defiscalise
It is a real shame of real incapable
It has been more than a year since the cinema hard and that therefore, I cannot withdraw my money
The field insurer takes the money but after, they tell us that they do not have the tools to calculate, gave me an email and a number of such and no response, the house mother returns to the agent
It is limit of the abut of power
</v>
      </c>
    </row>
    <row r="93" ht="15.75" customHeight="1">
      <c r="A93" s="2">
        <v>1.0</v>
      </c>
      <c r="B93" s="2" t="s">
        <v>350</v>
      </c>
      <c r="C93" s="2" t="s">
        <v>351</v>
      </c>
      <c r="D93" s="2" t="s">
        <v>188</v>
      </c>
      <c r="E93" s="2" t="s">
        <v>104</v>
      </c>
      <c r="F93" s="2" t="s">
        <v>15</v>
      </c>
      <c r="G93" s="2" t="s">
        <v>352</v>
      </c>
      <c r="H93" s="2" t="s">
        <v>353</v>
      </c>
      <c r="I93" s="2" t="str">
        <f>IFERROR(__xludf.DUMMYFUNCTION("GOOGLETRANSLATE(C93,""fr"",""en"")"),"If I had been able to put any star I would have done it. Customer service did not want to find any arrangement following the various mail received to pay my invoice when I have been terminated for more than 3 months. I went through my little girl to have "&amp;"help, she came across the platform service and had to be recalled, she has been waiting for more than 2 weeks. To date I receive AR with threat of prosecution in court. I do not have a bank card, I am disabled and cannot move. It is a shame to be treated "&amp;"like this without having help or answer to my questions. To subscribe they have been very responsive now to join them to understand it is hell. One of the people said to my little girl: ""I have no solution for you"" and she replied: ""My grandfather want"&amp;"s to pay his bill he just wants to understand what he has to pay because he has been terminated in laws Amon and you tell me don't have a solution? "" He replied yes! I am outraged. So I stay today with an unpaid while Ma.Nouvelle Compagnie took care of t"&amp;"he termination, proof to support, the advisers without response or recall on their part.
")</f>
        <v>If I had been able to put any star I would have done it. Customer service did not want to find any arrangement following the various mail received to pay my invoice when I have been terminated for more than 3 months. I went through my little girl to have help, she came across the platform service and had to be recalled, she has been waiting for more than 2 weeks. To date I receive AR with threat of prosecution in court. I do not have a bank card, I am disabled and cannot move. It is a shame to be treated like this without having help or answer to my questions. To subscribe they have been very responsive now to join them to understand it is hell. One of the people said to my little girl: "I have no solution for you" and she replied: "My grandfather wants to pay his bill he just wants to understand what he has to pay because he has been terminated in laws Amon and you tell me don't have a solution? " He replied yes! I am outraged. So I stay today with an unpaid while Ma.Nouvelle Compagnie took care of the termination, proof to support, the advisers without response or recall on their part.
</v>
      </c>
    </row>
    <row r="94" ht="15.75" customHeight="1">
      <c r="A94" s="2">
        <v>4.0</v>
      </c>
      <c r="B94" s="2" t="s">
        <v>354</v>
      </c>
      <c r="C94" s="2" t="s">
        <v>355</v>
      </c>
      <c r="D94" s="2" t="s">
        <v>356</v>
      </c>
      <c r="E94" s="2" t="s">
        <v>21</v>
      </c>
      <c r="F94" s="2" t="s">
        <v>15</v>
      </c>
      <c r="G94" s="2" t="s">
        <v>357</v>
      </c>
      <c r="H94" s="2" t="s">
        <v>34</v>
      </c>
      <c r="I94" s="2" t="str">
        <f>IFERROR(__xludf.DUMMYFUNCTION("GOOGLETRANSLATE(C94,""fr"",""en"")"),"Whatever the problem, whatever the request or information you want, you always have a rapid quality service from customer service, regardless of the person who answers our questions!")</f>
        <v>Whatever the problem, whatever the request or information you want, you always have a rapid quality service from customer service, regardless of the person who answers our questions!</v>
      </c>
    </row>
    <row r="95" ht="15.75" customHeight="1">
      <c r="A95" s="2">
        <v>2.0</v>
      </c>
      <c r="B95" s="2" t="s">
        <v>358</v>
      </c>
      <c r="C95" s="2" t="s">
        <v>359</v>
      </c>
      <c r="D95" s="2" t="s">
        <v>103</v>
      </c>
      <c r="E95" s="2" t="s">
        <v>104</v>
      </c>
      <c r="F95" s="2" t="s">
        <v>15</v>
      </c>
      <c r="G95" s="2" t="s">
        <v>360</v>
      </c>
      <c r="H95" s="2" t="s">
        <v>361</v>
      </c>
      <c r="I95" s="2" t="str">
        <f>IFERROR(__xludf.DUMMYFUNCTION("GOOGLETRANSLATE(C95,""fr"",""en"")"),"Following degradations on my wall, the Macif serves as a mailbox, does not get involved at all, lets you manage, does not help in the case, although the person who degraded recognized the facts")</f>
        <v>Following degradations on my wall, the Macif serves as a mailbox, does not get involved at all, lets you manage, does not help in the case, although the person who degraded recognized the facts</v>
      </c>
    </row>
    <row r="96" ht="15.75" customHeight="1">
      <c r="A96" s="2">
        <v>3.0</v>
      </c>
      <c r="B96" s="2" t="s">
        <v>362</v>
      </c>
      <c r="C96" s="2" t="s">
        <v>363</v>
      </c>
      <c r="D96" s="2" t="s">
        <v>188</v>
      </c>
      <c r="E96" s="2" t="s">
        <v>104</v>
      </c>
      <c r="F96" s="2" t="s">
        <v>15</v>
      </c>
      <c r="G96" s="2" t="s">
        <v>364</v>
      </c>
      <c r="H96" s="2" t="s">
        <v>252</v>
      </c>
      <c r="I96" s="2" t="str">
        <f>IFERROR(__xludf.DUMMYFUNCTION("GOOGLETRANSLATE(C96,""fr"",""en"")"),"I ensured two premises under the same insurance contract a remote garage and my accommodation, I decided to terminate all my contracts to the GMF following their behavior towards my daughter and my son -in -law, and to two contracts tilted at home, They t"&amp;"ook care of the termination, so that I had to pay twice for the same thing.
 So I took advantage of the Hamon law to switch this home contract to another insurer, so on the legal date, they terminated the insurance of my apartment, but not that of my rem"&amp;"ote garage, however under the same contract. I had 10 contracts at home, customers for 8 years, they apparently do not like to lose customers at the Croix Rousse agency. Would they do everything to get bored? To be continued")</f>
        <v>I ensured two premises under the same insurance contract a remote garage and my accommodation, I decided to terminate all my contracts to the GMF following their behavior towards my daughter and my son -in -law, and to two contracts tilted at home, They took care of the termination, so that I had to pay twice for the same thing.
 So I took advantage of the Hamon law to switch this home contract to another insurer, so on the legal date, they terminated the insurance of my apartment, but not that of my remote garage, however under the same contract. I had 10 contracts at home, customers for 8 years, they apparently do not like to lose customers at the Croix Rousse agency. Would they do everything to get bored? To be continued</v>
      </c>
    </row>
    <row r="97" ht="15.75" customHeight="1">
      <c r="A97" s="2">
        <v>1.0</v>
      </c>
      <c r="B97" s="2" t="s">
        <v>365</v>
      </c>
      <c r="C97" s="2" t="s">
        <v>366</v>
      </c>
      <c r="D97" s="2" t="s">
        <v>211</v>
      </c>
      <c r="E97" s="2" t="s">
        <v>212</v>
      </c>
      <c r="F97" s="2" t="s">
        <v>15</v>
      </c>
      <c r="G97" s="2" t="s">
        <v>367</v>
      </c>
      <c r="H97" s="2" t="s">
        <v>23</v>
      </c>
      <c r="I97" s="2" t="str">
        <f>IFERROR(__xludf.DUMMYFUNCTION("GOOGLETRANSLATE(C97,""fr"",""en"")"),"Extremely disappointed with this mutual for animals. Does not even deserve half a star. I don't know what 100% means for them. On the other hand when it comes to taking the monthly subscription there is no problem. I hope that the human mutual is better o"&amp;"therwise it only deserves to put the key under the door. I strongly recommend taking out a contract with them.")</f>
        <v>Extremely disappointed with this mutual for animals. Does not even deserve half a star. I don't know what 100% means for them. On the other hand when it comes to taking the monthly subscription there is no problem. I hope that the human mutual is better otherwise it only deserves to put the key under the door. I strongly recommend taking out a contract with them.</v>
      </c>
    </row>
    <row r="98" ht="15.75" customHeight="1">
      <c r="A98" s="2">
        <v>3.0</v>
      </c>
      <c r="B98" s="2" t="s">
        <v>368</v>
      </c>
      <c r="C98" s="2" t="s">
        <v>369</v>
      </c>
      <c r="D98" s="2" t="s">
        <v>305</v>
      </c>
      <c r="E98" s="2" t="s">
        <v>38</v>
      </c>
      <c r="F98" s="2" t="s">
        <v>15</v>
      </c>
      <c r="G98" s="2" t="s">
        <v>370</v>
      </c>
      <c r="H98" s="2" t="s">
        <v>185</v>
      </c>
      <c r="I98" s="2" t="str">
        <f>IFERROR(__xludf.DUMMYFUNCTION("GOOGLETRANSLATE(C98,""fr"",""en"")"),"Practical to use, it would have been better than a guide was set up for new insured people so that they better understand the operation of insurance")</f>
        <v>Practical to use, it would have been better than a guide was set up for new insured people so that they better understand the operation of insurance</v>
      </c>
    </row>
    <row r="99" ht="15.75" customHeight="1">
      <c r="A99" s="2">
        <v>4.0</v>
      </c>
      <c r="B99" s="2" t="s">
        <v>371</v>
      </c>
      <c r="C99" s="2" t="s">
        <v>372</v>
      </c>
      <c r="D99" s="2" t="s">
        <v>57</v>
      </c>
      <c r="E99" s="2" t="s">
        <v>14</v>
      </c>
      <c r="F99" s="2" t="s">
        <v>15</v>
      </c>
      <c r="G99" s="2" t="s">
        <v>373</v>
      </c>
      <c r="H99" s="2" t="s">
        <v>122</v>
      </c>
      <c r="I99" s="2" t="str">
        <f>IFERROR(__xludf.DUMMYFUNCTION("GOOGLETRANSLATE(C99,""fr"",""en"")"),"I find the price a little high, however, the contract for commissioning the contract seems correct. I hope to have interesting commercial proposals in the future")</f>
        <v>I find the price a little high, however, the contract for commissioning the contract seems correct. I hope to have interesting commercial proposals in the future</v>
      </c>
    </row>
    <row r="100" ht="15.75" customHeight="1">
      <c r="A100" s="2">
        <v>1.0</v>
      </c>
      <c r="B100" s="2" t="s">
        <v>374</v>
      </c>
      <c r="C100" s="2" t="s">
        <v>375</v>
      </c>
      <c r="D100" s="2" t="s">
        <v>164</v>
      </c>
      <c r="E100" s="2" t="s">
        <v>43</v>
      </c>
      <c r="F100" s="2" t="s">
        <v>15</v>
      </c>
      <c r="G100" s="2" t="s">
        <v>135</v>
      </c>
      <c r="H100" s="2" t="s">
        <v>136</v>
      </c>
      <c r="I100" s="2" t="str">
        <f>IFERROR(__xludf.DUMMYFUNCTION("GOOGLETRANSLATE(C100,""fr"",""en"")"),"shabby for life insurance successions - has the files dragged voluntarily - they tell you have sent a letter and this letter has never arrived! I do not recommend cardif at all")</f>
        <v>shabby for life insurance successions - has the files dragged voluntarily - they tell you have sent a letter and this letter has never arrived! I do not recommend cardif at all</v>
      </c>
    </row>
    <row r="101" ht="15.75" customHeight="1">
      <c r="A101" s="2">
        <v>1.0</v>
      </c>
      <c r="B101" s="2" t="s">
        <v>376</v>
      </c>
      <c r="C101" s="2" t="s">
        <v>377</v>
      </c>
      <c r="D101" s="2" t="s">
        <v>53</v>
      </c>
      <c r="E101" s="2" t="s">
        <v>104</v>
      </c>
      <c r="F101" s="2" t="s">
        <v>15</v>
      </c>
      <c r="G101" s="2" t="s">
        <v>378</v>
      </c>
      <c r="H101" s="2" t="s">
        <v>379</v>
      </c>
      <c r="I101" s="2" t="str">
        <f>IFERROR(__xludf.DUMMYFUNCTION("GOOGLETRANSLATE(C101,""fr"",""en"")"),"MAAF customer has always been, and very little claim, so good profile for insurance.
I have subscribed to an integral home contract in order to optimally cover the whole of my home.
Today I request the maaf for a flight with break in my cellar, the retu"&amp;"rn of the maaf is very disappointing because for them the integral does not cover, it was necessary to take other options, something which was not proposed before during subscription.
Honestly quality of service that has deteriorated, I will go to the en"&amp;"d of this story and I will definitively go from this insurance as well as my loved ones.")</f>
        <v>MAAF customer has always been, and very little claim, so good profile for insurance.
I have subscribed to an integral home contract in order to optimally cover the whole of my home.
Today I request the maaf for a flight with break in my cellar, the return of the maaf is very disappointing because for them the integral does not cover, it was necessary to take other options, something which was not proposed before during subscription.
Honestly quality of service that has deteriorated, I will go to the end of this story and I will definitively go from this insurance as well as my loved ones.</v>
      </c>
    </row>
    <row r="102" ht="15.75" customHeight="1">
      <c r="A102" s="2">
        <v>4.0</v>
      </c>
      <c r="B102" s="2" t="s">
        <v>380</v>
      </c>
      <c r="C102" s="2" t="s">
        <v>381</v>
      </c>
      <c r="D102" s="2" t="s">
        <v>26</v>
      </c>
      <c r="E102" s="2" t="s">
        <v>14</v>
      </c>
      <c r="F102" s="2" t="s">
        <v>15</v>
      </c>
      <c r="G102" s="2" t="s">
        <v>382</v>
      </c>
      <c r="H102" s="2" t="s">
        <v>81</v>
      </c>
      <c r="I102" s="2" t="str">
        <f>IFERROR(__xludf.DUMMYFUNCTION("GOOGLETRANSLATE(C102,""fr"",""en"")"),"I am very satisfied with customer service by message and all the services you offer. The prices are pretty good especially for the all risk")</f>
        <v>I am very satisfied with customer service by message and all the services you offer. The prices are pretty good especially for the all risk</v>
      </c>
    </row>
    <row r="103" ht="15.75" customHeight="1">
      <c r="A103" s="2">
        <v>4.0</v>
      </c>
      <c r="B103" s="2" t="s">
        <v>383</v>
      </c>
      <c r="C103" s="2" t="s">
        <v>384</v>
      </c>
      <c r="D103" s="2" t="s">
        <v>188</v>
      </c>
      <c r="E103" s="2" t="s">
        <v>14</v>
      </c>
      <c r="F103" s="2" t="s">
        <v>15</v>
      </c>
      <c r="G103" s="2" t="s">
        <v>385</v>
      </c>
      <c r="H103" s="2" t="s">
        <v>185</v>
      </c>
      <c r="I103" s="2" t="str">
        <f>IFERROR(__xludf.DUMMYFUNCTION("GOOGLETRANSLATE(C103,""fr"",""en"")"),"The wait one can long by phone
If not 10/10, very satisfied very welcoming on the phone
The team is very nice, I discovered GMF a Palaiseau itself
and I lived in Epinay-sur-Orge; thank you;
    Very cordially.")</f>
        <v>The wait one can long by phone
If not 10/10, very satisfied very welcoming on the phone
The team is very nice, I discovered GMF a Palaiseau itself
and I lived in Epinay-sur-Orge; thank you;
    Very cordially.</v>
      </c>
    </row>
    <row r="104" ht="15.75" customHeight="1">
      <c r="A104" s="2">
        <v>2.0</v>
      </c>
      <c r="B104" s="2" t="s">
        <v>386</v>
      </c>
      <c r="C104" s="2" t="s">
        <v>387</v>
      </c>
      <c r="D104" s="2" t="s">
        <v>388</v>
      </c>
      <c r="E104" s="2" t="s">
        <v>38</v>
      </c>
      <c r="F104" s="2" t="s">
        <v>15</v>
      </c>
      <c r="G104" s="2" t="s">
        <v>389</v>
      </c>
      <c r="H104" s="2" t="s">
        <v>390</v>
      </c>
      <c r="I104" s="2" t="str">
        <f>IFERROR(__xludf.DUMMYFUNCTION("GOOGLETRANSLATE(C104,""fr"",""en"")"),"A cheap but deplorable service. Euro-Assurance calls you on numerous occasions, no written exchange, so no evidence of exchanges.
It's been 1 year since I try to terminate without success. They also increased my rate by € 5 per month without reason and w"&amp;"ithout warning me ...")</f>
        <v>A cheap but deplorable service. Euro-Assurance calls you on numerous occasions, no written exchange, so no evidence of exchanges.
It's been 1 year since I try to terminate without success. They also increased my rate by € 5 per month without reason and without warning me ...</v>
      </c>
    </row>
    <row r="105" ht="15.75" customHeight="1">
      <c r="A105" s="2">
        <v>5.0</v>
      </c>
      <c r="B105" s="2" t="s">
        <v>391</v>
      </c>
      <c r="C105" s="2" t="s">
        <v>392</v>
      </c>
      <c r="D105" s="2" t="s">
        <v>393</v>
      </c>
      <c r="E105" s="2" t="s">
        <v>38</v>
      </c>
      <c r="F105" s="2" t="s">
        <v>15</v>
      </c>
      <c r="G105" s="2" t="s">
        <v>394</v>
      </c>
      <c r="H105" s="2" t="s">
        <v>395</v>
      </c>
      <c r="I105" s="2" t="str">
        <f>IFERROR(__xludf.DUMMYFUNCTION("GOOGLETRANSLATE(C105,""fr"",""en"")"),"I have my scoot insurance at Peyrac for a long time, I have no worries, even after having an accident. Everything was settled quickly.
My boyfriend had his motorcycle to insure, so I recalled them, and they are always at the top, at the price level, welc"&amp;"ome and sympathy.")</f>
        <v>I have my scoot insurance at Peyrac for a long time, I have no worries, even after having an accident. Everything was settled quickly.
My boyfriend had his motorcycle to insure, so I recalled them, and they are always at the top, at the price level, welcome and sympathy.</v>
      </c>
    </row>
    <row r="106" ht="15.75" customHeight="1">
      <c r="A106" s="2">
        <v>3.0</v>
      </c>
      <c r="B106" s="2" t="s">
        <v>396</v>
      </c>
      <c r="C106" s="2" t="s">
        <v>397</v>
      </c>
      <c r="D106" s="2" t="s">
        <v>26</v>
      </c>
      <c r="E106" s="2" t="s">
        <v>14</v>
      </c>
      <c r="F106" s="2" t="s">
        <v>15</v>
      </c>
      <c r="G106" s="2" t="s">
        <v>398</v>
      </c>
      <c r="H106" s="2" t="s">
        <v>28</v>
      </c>
      <c r="I106" s="2" t="str">
        <f>IFERROR(__xludf.DUMMYFUNCTION("GOOGLETRANSLATE(C106,""fr"",""en"")"),"Satisfied as long as we do not change the amount every year.
Quite ergonomic interface nothing to say.
Awaiting documents.
Remaining at your disposal")</f>
        <v>Satisfied as long as we do not change the amount every year.
Quite ergonomic interface nothing to say.
Awaiting documents.
Remaining at your disposal</v>
      </c>
    </row>
    <row r="107" ht="15.75" customHeight="1">
      <c r="A107" s="2">
        <v>1.0</v>
      </c>
      <c r="B107" s="2" t="s">
        <v>399</v>
      </c>
      <c r="C107" s="2" t="s">
        <v>400</v>
      </c>
      <c r="D107" s="2" t="s">
        <v>152</v>
      </c>
      <c r="E107" s="2" t="s">
        <v>21</v>
      </c>
      <c r="F107" s="2" t="s">
        <v>15</v>
      </c>
      <c r="G107" s="2" t="s">
        <v>401</v>
      </c>
      <c r="H107" s="2" t="s">
        <v>145</v>
      </c>
      <c r="I107" s="2" t="str">
        <f>IFERROR(__xludf.DUMMYFUNCTION("GOOGLETRANSLATE(C107,""fr"",""en"")"),"MGP member for many years, I found that it was too expensive in relation to reimbursements compared to other mutuals. Now I have concerns to be reimbursed for treatment sheets that are never treated.")</f>
        <v>MGP member for many years, I found that it was too expensive in relation to reimbursements compared to other mutuals. Now I have concerns to be reimbursed for treatment sheets that are never treated.</v>
      </c>
    </row>
    <row r="108" ht="15.75" customHeight="1">
      <c r="A108" s="2">
        <v>1.0</v>
      </c>
      <c r="B108" s="2" t="s">
        <v>402</v>
      </c>
      <c r="C108" s="2" t="s">
        <v>403</v>
      </c>
      <c r="D108" s="2" t="s">
        <v>188</v>
      </c>
      <c r="E108" s="2" t="s">
        <v>14</v>
      </c>
      <c r="F108" s="2" t="s">
        <v>15</v>
      </c>
      <c r="G108" s="2" t="s">
        <v>404</v>
      </c>
      <c r="H108" s="2" t="s">
        <v>81</v>
      </c>
      <c r="I108" s="2" t="str">
        <f>IFERROR(__xludf.DUMMYFUNCTION("GOOGLETRANSLATE(C108,""fr"",""en"")"),"Deplorable
My parents had a road accident
Some people come back to them inside, they have a serious accident and 18 months after they are still awaiting reimbursements and must advance all their health costs to treat themselves. It's scandalous, it is n"&amp;"ot called insurance! To flee")</f>
        <v>Deplorable
My parents had a road accident
Some people come back to them inside, they have a serious accident and 18 months after they are still awaiting reimbursements and must advance all their health costs to treat themselves. It's scandalous, it is not called insurance! To flee</v>
      </c>
    </row>
    <row r="109" ht="15.75" customHeight="1">
      <c r="A109" s="2">
        <v>4.0</v>
      </c>
      <c r="B109" s="2" t="s">
        <v>405</v>
      </c>
      <c r="C109" s="2" t="s">
        <v>406</v>
      </c>
      <c r="D109" s="2" t="s">
        <v>26</v>
      </c>
      <c r="E109" s="2" t="s">
        <v>14</v>
      </c>
      <c r="F109" s="2" t="s">
        <v>15</v>
      </c>
      <c r="G109" s="2" t="s">
        <v>407</v>
      </c>
      <c r="H109" s="2" t="s">
        <v>81</v>
      </c>
      <c r="I109" s="2" t="str">
        <f>IFERROR(__xludf.DUMMYFUNCTION("GOOGLETRANSLATE(C109,""fr"",""en"")"),"I am satisfied with prices and direct insurance services. If I have other insurance to contract I will do it at home without hesitation
My house and my car are insured here")</f>
        <v>I am satisfied with prices and direct insurance services. If I have other insurance to contract I will do it at home without hesitation
My house and my car are insured here</v>
      </c>
    </row>
    <row r="110" ht="15.75" customHeight="1">
      <c r="A110" s="2">
        <v>2.0</v>
      </c>
      <c r="B110" s="2" t="s">
        <v>408</v>
      </c>
      <c r="C110" s="2" t="s">
        <v>409</v>
      </c>
      <c r="D110" s="2" t="s">
        <v>410</v>
      </c>
      <c r="E110" s="2" t="s">
        <v>14</v>
      </c>
      <c r="F110" s="2" t="s">
        <v>15</v>
      </c>
      <c r="G110" s="2" t="s">
        <v>411</v>
      </c>
      <c r="H110" s="2" t="s">
        <v>201</v>
      </c>
      <c r="I110" s="2" t="str">
        <f>IFERROR(__xludf.DUMMYFUNCTION("GOOGLETRANSLATE(C110,""fr"",""en"")"),"After 40 years of insurance at the Matmut, we have just received a registered letter. They saw us because it seems that we have had too many claims for 5 years. 4 claims in 5 years and perhaps at most 6 over the entire 40 years and they saw us.
It's weir"&amp;"d, I thought their job was to insure !!")</f>
        <v>After 40 years of insurance at the Matmut, we have just received a registered letter. They saw us because it seems that we have had too many claims for 5 years. 4 claims in 5 years and perhaps at most 6 over the entire 40 years and they saw us.
It's weird, I thought their job was to insure !!</v>
      </c>
    </row>
    <row r="111" ht="15.75" customHeight="1">
      <c r="A111" s="2">
        <v>3.0</v>
      </c>
      <c r="B111" s="2" t="s">
        <v>412</v>
      </c>
      <c r="C111" s="2" t="s">
        <v>413</v>
      </c>
      <c r="D111" s="2" t="s">
        <v>57</v>
      </c>
      <c r="E111" s="2" t="s">
        <v>14</v>
      </c>
      <c r="F111" s="2" t="s">
        <v>15</v>
      </c>
      <c r="G111" s="2" t="s">
        <v>414</v>
      </c>
      <c r="H111" s="2" t="s">
        <v>28</v>
      </c>
      <c r="I111" s="2" t="str">
        <f>IFERROR(__xludf.DUMMYFUNCTION("GOOGLETRANSLATE(C111,""fr"",""en"")"),"I am satisfied with my contract with you is thank you for having made it easier in my in for all es I wanted to know how the next payment will go")</f>
        <v>I am satisfied with my contract with you is thank you for having made it easier in my in for all es I wanted to know how the next payment will go</v>
      </c>
    </row>
    <row r="112" ht="15.75" customHeight="1">
      <c r="A112" s="2">
        <v>4.0</v>
      </c>
      <c r="B112" s="2" t="s">
        <v>415</v>
      </c>
      <c r="C112" s="2" t="s">
        <v>416</v>
      </c>
      <c r="D112" s="2" t="s">
        <v>26</v>
      </c>
      <c r="E112" s="2" t="s">
        <v>14</v>
      </c>
      <c r="F112" s="2" t="s">
        <v>15</v>
      </c>
      <c r="G112" s="2" t="s">
        <v>417</v>
      </c>
      <c r="H112" s="2" t="s">
        <v>28</v>
      </c>
      <c r="I112" s="2" t="str">
        <f>IFERROR(__xludf.DUMMYFUNCTION("GOOGLETRANSLATE(C112,""fr"",""en"")"),"very satisfied
I tested the service in the event of a breakdown and I was very well taken care of
Reception and service always present and very kind.
I will advise direct insurance to anyone looking for insurance")</f>
        <v>very satisfied
I tested the service in the event of a breakdown and I was very well taken care of
Reception and service always present and very kind.
I will advise direct insurance to anyone looking for insurance</v>
      </c>
    </row>
    <row r="113" ht="15.75" customHeight="1">
      <c r="A113" s="2">
        <v>2.0</v>
      </c>
      <c r="B113" s="2" t="s">
        <v>418</v>
      </c>
      <c r="C113" s="2" t="s">
        <v>419</v>
      </c>
      <c r="D113" s="2" t="s">
        <v>53</v>
      </c>
      <c r="E113" s="2" t="s">
        <v>14</v>
      </c>
      <c r="F113" s="2" t="s">
        <v>15</v>
      </c>
      <c r="G113" s="2" t="s">
        <v>420</v>
      </c>
      <c r="H113" s="2" t="s">
        <v>126</v>
      </c>
      <c r="I113" s="2" t="str">
        <f>IFERROR(__xludf.DUMMYFUNCTION("GOOGLETRANSLATE(C113,""fr"",""en"")"),"I have been insured at Maaf for at least 40 years and currently I have a home contract, a Plaisance navigation contract and 2 Auto Contracts with Bonus for Life. In 2015 I had a responsible hanging then in 2016, 2 non -responsible claims.
I receive durin"&amp;"g the year a modification of the amount of my franchise which goes from 400 to 700 euros and, in the event of non -acceptance on my part, termination of the contract.")</f>
        <v>I have been insured at Maaf for at least 40 years and currently I have a home contract, a Plaisance navigation contract and 2 Auto Contracts with Bonus for Life. In 2015 I had a responsible hanging then in 2016, 2 non -responsible claims.
I receive during the year a modification of the amount of my franchise which goes from 400 to 700 euros and, in the event of non -acceptance on my part, termination of the contract.</v>
      </c>
    </row>
    <row r="114" ht="15.75" customHeight="1">
      <c r="A114" s="2">
        <v>5.0</v>
      </c>
      <c r="B114" s="2" t="s">
        <v>421</v>
      </c>
      <c r="C114" s="2" t="s">
        <v>422</v>
      </c>
      <c r="D114" s="2" t="s">
        <v>26</v>
      </c>
      <c r="E114" s="2" t="s">
        <v>14</v>
      </c>
      <c r="F114" s="2" t="s">
        <v>15</v>
      </c>
      <c r="G114" s="2" t="s">
        <v>423</v>
      </c>
      <c r="H114" s="2" t="s">
        <v>34</v>
      </c>
      <c r="I114" s="2" t="str">
        <f>IFERROR(__xludf.DUMMYFUNCTION("GOOGLETRANSLATE(C114,""fr"",""en"")"),"I am very satisfied with the service. Reactivity, adaptability, advice, competitive price, Direct Insurance services are up to my expectations.")</f>
        <v>I am very satisfied with the service. Reactivity, adaptability, advice, competitive price, Direct Insurance services are up to my expectations.</v>
      </c>
    </row>
    <row r="115" ht="15.75" customHeight="1">
      <c r="A115" s="2">
        <v>5.0</v>
      </c>
      <c r="B115" s="2" t="s">
        <v>424</v>
      </c>
      <c r="C115" s="2" t="s">
        <v>425</v>
      </c>
      <c r="D115" s="2" t="s">
        <v>26</v>
      </c>
      <c r="E115" s="2" t="s">
        <v>14</v>
      </c>
      <c r="F115" s="2" t="s">
        <v>15</v>
      </c>
      <c r="G115" s="2" t="s">
        <v>426</v>
      </c>
      <c r="H115" s="2" t="s">
        <v>28</v>
      </c>
      <c r="I115" s="2" t="str">
        <f>IFERROR(__xludf.DUMMYFUNCTION("GOOGLETRANSLATE(C115,""fr"",""en"")"),"I am cool and kind I like insurance companies because they are the best I hope you give me the best also it's nice to do business with you sir and madam")</f>
        <v>I am cool and kind I like insurance companies because they are the best I hope you give me the best also it's nice to do business with you sir and madam</v>
      </c>
    </row>
    <row r="116" ht="15.75" customHeight="1">
      <c r="A116" s="2">
        <v>4.0</v>
      </c>
      <c r="B116" s="2" t="s">
        <v>427</v>
      </c>
      <c r="C116" s="2" t="s">
        <v>428</v>
      </c>
      <c r="D116" s="2" t="s">
        <v>26</v>
      </c>
      <c r="E116" s="2" t="s">
        <v>14</v>
      </c>
      <c r="F116" s="2" t="s">
        <v>15</v>
      </c>
      <c r="G116" s="2" t="s">
        <v>429</v>
      </c>
      <c r="H116" s="2" t="s">
        <v>34</v>
      </c>
      <c r="I116" s="2" t="str">
        <f>IFERROR(__xludf.DUMMYFUNCTION("GOOGLETRANSLATE(C116,""fr"",""en"")"),"Satisfied with breakdown service and customers but unhappy that there is no option for less than 8000kms to benefit from a reduction. The telework confinements and my unemployment cause little use of my vehicle, I do not drive a lot")</f>
        <v>Satisfied with breakdown service and customers but unhappy that there is no option for less than 8000kms to benefit from a reduction. The telework confinements and my unemployment cause little use of my vehicle, I do not drive a lot</v>
      </c>
    </row>
    <row r="117" ht="15.75" customHeight="1">
      <c r="A117" s="2">
        <v>3.0</v>
      </c>
      <c r="B117" s="2" t="s">
        <v>430</v>
      </c>
      <c r="C117" s="2" t="s">
        <v>431</v>
      </c>
      <c r="D117" s="2" t="s">
        <v>42</v>
      </c>
      <c r="E117" s="2" t="s">
        <v>104</v>
      </c>
      <c r="F117" s="2" t="s">
        <v>15</v>
      </c>
      <c r="G117" s="2" t="s">
        <v>432</v>
      </c>
      <c r="H117" s="2" t="s">
        <v>157</v>
      </c>
      <c r="I117" s="2" t="str">
        <f>IFERROR(__xludf.DUMMYFUNCTION("GOOGLETRANSLATE(C117,""fr"",""en"")"),"Very disappointed, after expertise the flight warranty is not acquired in the declaration and gendarmerie investigation, the offense of the front barrel broken 3 points, the insurance did not take into account inviolable armored metal door from the outsid"&amp;"e of the laundry room and garage closure barrel lock")</f>
        <v>Very disappointed, after expertise the flight warranty is not acquired in the declaration and gendarmerie investigation, the offense of the front barrel broken 3 points, the insurance did not take into account inviolable armored metal door from the outside of the laundry room and garage closure barrel lock</v>
      </c>
    </row>
    <row r="118" ht="15.75" customHeight="1">
      <c r="A118" s="2">
        <v>4.0</v>
      </c>
      <c r="B118" s="2" t="s">
        <v>433</v>
      </c>
      <c r="C118" s="2" t="s">
        <v>434</v>
      </c>
      <c r="D118" s="2" t="s">
        <v>26</v>
      </c>
      <c r="E118" s="2" t="s">
        <v>14</v>
      </c>
      <c r="F118" s="2" t="s">
        <v>15</v>
      </c>
      <c r="G118" s="2" t="s">
        <v>435</v>
      </c>
      <c r="H118" s="2" t="s">
        <v>34</v>
      </c>
      <c r="I118" s="2" t="str">
        <f>IFERROR(__xludf.DUMMYFUNCTION("GOOGLETRANSLATE(C118,""fr"",""en"")"),"The prices suit me, regret that you do not ensure the campsite cars it would avoid having several insurance !!! The site is quite satisfied at the moment")</f>
        <v>The prices suit me, regret that you do not ensure the campsite cars it would avoid having several insurance !!! The site is quite satisfied at the moment</v>
      </c>
    </row>
    <row r="119" ht="15.75" customHeight="1">
      <c r="A119" s="2">
        <v>4.0</v>
      </c>
      <c r="B119" s="2" t="s">
        <v>436</v>
      </c>
      <c r="C119" s="2" t="s">
        <v>437</v>
      </c>
      <c r="D119" s="2" t="s">
        <v>48</v>
      </c>
      <c r="E119" s="2" t="s">
        <v>21</v>
      </c>
      <c r="F119" s="2" t="s">
        <v>15</v>
      </c>
      <c r="G119" s="2" t="s">
        <v>438</v>
      </c>
      <c r="H119" s="2" t="s">
        <v>81</v>
      </c>
      <c r="I119" s="2" t="str">
        <f>IFERROR(__xludf.DUMMYFUNCTION("GOOGLETRANSLATE(C119,""fr"",""en"")"),"Perfect in terms of services and reception :) Refunds made in time ... The service at Tel is very clear and benevolent .. very good ... on date I am very satisfied")</f>
        <v>Perfect in terms of services and reception :) Refunds made in time ... The service at Tel is very clear and benevolent .. very good ... on date I am very satisfied</v>
      </c>
    </row>
    <row r="120" ht="15.75" customHeight="1">
      <c r="A120" s="2">
        <v>4.0</v>
      </c>
      <c r="B120" s="2" t="s">
        <v>439</v>
      </c>
      <c r="C120" s="2" t="s">
        <v>440</v>
      </c>
      <c r="D120" s="2" t="s">
        <v>57</v>
      </c>
      <c r="E120" s="2" t="s">
        <v>14</v>
      </c>
      <c r="F120" s="2" t="s">
        <v>15</v>
      </c>
      <c r="G120" s="2" t="s">
        <v>441</v>
      </c>
      <c r="H120" s="2" t="s">
        <v>442</v>
      </c>
      <c r="I120" s="2" t="str">
        <f>IFERROR(__xludf.DUMMYFUNCTION("GOOGLETRANSLATE(C120,""fr"",""en"")"),"Simple and quick. Top telephone response. My questions were treated quickly and the green card arrived within 4 days after providing all the requested parts. The people I had on the phone knew their work perfectly and settled my questions and problem imme"&amp;"diately with me on the phone")</f>
        <v>Simple and quick. Top telephone response. My questions were treated quickly and the green card arrived within 4 days after providing all the requested parts. The people I had on the phone knew their work perfectly and settled my questions and problem immediately with me on the phone</v>
      </c>
    </row>
    <row r="121" ht="15.75" customHeight="1">
      <c r="A121" s="2">
        <v>4.0</v>
      </c>
      <c r="B121" s="2" t="s">
        <v>443</v>
      </c>
      <c r="C121" s="2" t="s">
        <v>444</v>
      </c>
      <c r="D121" s="2" t="s">
        <v>57</v>
      </c>
      <c r="E121" s="2" t="s">
        <v>14</v>
      </c>
      <c r="F121" s="2" t="s">
        <v>15</v>
      </c>
      <c r="G121" s="2" t="s">
        <v>445</v>
      </c>
      <c r="H121" s="2" t="s">
        <v>140</v>
      </c>
      <c r="I121" s="2" t="str">
        <f>IFERROR(__xludf.DUMMYFUNCTION("GOOGLETRANSLATE(C121,""fr"",""en"")"),"I am satisfied with my contract,
The correct price,
Advisers are nice.
To see the rest if everything is going well.
Second car insured at Heux")</f>
        <v>I am satisfied with my contract,
The correct price,
Advisers are nice.
To see the rest if everything is going well.
Second car insured at Heux</v>
      </c>
    </row>
    <row r="122" ht="15.75" customHeight="1">
      <c r="A122" s="2">
        <v>1.0</v>
      </c>
      <c r="B122" s="2" t="s">
        <v>446</v>
      </c>
      <c r="C122" s="2" t="s">
        <v>447</v>
      </c>
      <c r="D122" s="2" t="s">
        <v>26</v>
      </c>
      <c r="E122" s="2" t="s">
        <v>14</v>
      </c>
      <c r="F122" s="2" t="s">
        <v>15</v>
      </c>
      <c r="G122" s="2" t="s">
        <v>448</v>
      </c>
      <c r="H122" s="2" t="s">
        <v>136</v>
      </c>
      <c r="I122" s="2" t="str">
        <f>IFERROR(__xludf.DUMMYFUNCTION("GOOGLETRANSLATE(C122,""fr"",""en"")"),"
Null management An excessive reactivity in short a customer service formatted with ready -made responses of franchises everywhere .. an attractive price for membership but hello annual increases !!!! In short to flee ... Direct Insurance makes false adv"&amp;"ertising")</f>
        <v>
Null management An excessive reactivity in short a customer service formatted with ready -made responses of franchises everywhere .. an attractive price for membership but hello annual increases !!!! In short to flee ... Direct Insurance makes false advertising</v>
      </c>
    </row>
    <row r="123" ht="15.75" customHeight="1">
      <c r="A123" s="2">
        <v>1.0</v>
      </c>
      <c r="B123" s="2" t="s">
        <v>449</v>
      </c>
      <c r="C123" s="2" t="s">
        <v>450</v>
      </c>
      <c r="D123" s="2" t="s">
        <v>57</v>
      </c>
      <c r="E123" s="2" t="s">
        <v>14</v>
      </c>
      <c r="F123" s="2" t="s">
        <v>15</v>
      </c>
      <c r="G123" s="2" t="s">
        <v>451</v>
      </c>
      <c r="H123" s="2" t="s">
        <v>452</v>
      </c>
      <c r="I123" s="2" t="str">
        <f>IFERROR(__xludf.DUMMYFUNCTION("GOOGLETRANSLATE(C123,""fr"",""en"")"),"By going through a comparator, I made a entry error when subscribing in the forms on the nature of a disaster.
Receiving my vehicle before the holidays and wanting to be insured to leave, I did the subscription too quickly.
But I sent the insurance stat"&amp;"ement in good faith on the day of subscription.
Instead of warning of the error and adapting the price, I was automatically terminated by email.
It is a legally possible situation but commercially very poorly managed and not in agreement the image of be"&amp;"nevolence which pushed me to subscribe. No amicable treatment (cancellation of my part during the legal deadline) was offered to me by customer service.
If my case is not an isolated incident, I do not recommend this insurer at all.
PS: I have 50% of "&amp;"bonuses for years and for more than 15 years I have had contracts with other online insurers (direct insurance, crossroads, ID Macif, ...) without this type of problem.")</f>
        <v>By going through a comparator, I made a entry error when subscribing in the forms on the nature of a disaster.
Receiving my vehicle before the holidays and wanting to be insured to leave, I did the subscription too quickly.
But I sent the insurance statement in good faith on the day of subscription.
Instead of warning of the error and adapting the price, I was automatically terminated by email.
It is a legally possible situation but commercially very poorly managed and not in agreement the image of benevolence which pushed me to subscribe. No amicable treatment (cancellation of my part during the legal deadline) was offered to me by customer service.
If my case is not an isolated incident, I do not recommend this insurer at all.
PS: I have 50% of bonuses for years and for more than 15 years I have had contracts with other online insurers (direct insurance, crossroads, ID Macif, ...) without this type of problem.</v>
      </c>
    </row>
    <row r="124" ht="15.75" customHeight="1">
      <c r="A124" s="2">
        <v>3.0</v>
      </c>
      <c r="B124" s="2" t="s">
        <v>453</v>
      </c>
      <c r="C124" s="2" t="s">
        <v>454</v>
      </c>
      <c r="D124" s="2" t="s">
        <v>48</v>
      </c>
      <c r="E124" s="2" t="s">
        <v>21</v>
      </c>
      <c r="F124" s="2" t="s">
        <v>15</v>
      </c>
      <c r="G124" s="2" t="s">
        <v>455</v>
      </c>
      <c r="H124" s="2" t="s">
        <v>157</v>
      </c>
      <c r="I124" s="2" t="str">
        <f>IFERROR(__xludf.DUMMYFUNCTION("GOOGLETRANSLATE(C124,""fr"",""en"")"),"The person who advised me was very effective on the phone.")</f>
        <v>The person who advised me was very effective on the phone.</v>
      </c>
    </row>
    <row r="125" ht="15.75" customHeight="1">
      <c r="A125" s="2">
        <v>5.0</v>
      </c>
      <c r="B125" s="2" t="s">
        <v>456</v>
      </c>
      <c r="C125" s="2" t="s">
        <v>457</v>
      </c>
      <c r="D125" s="2" t="s">
        <v>305</v>
      </c>
      <c r="E125" s="2" t="s">
        <v>38</v>
      </c>
      <c r="F125" s="2" t="s">
        <v>15</v>
      </c>
      <c r="G125" s="2" t="s">
        <v>458</v>
      </c>
      <c r="H125" s="2" t="s">
        <v>214</v>
      </c>
      <c r="I125" s="2" t="str">
        <f>IFERROR(__xludf.DUMMYFUNCTION("GOOGLETRANSLATE(C125,""fr"",""en"")"),"Very good insurer, they are reactive, easily reachable by email and by phone.
They also recall if necessary.
Their taken are largely affordable especially when you have a small budget. But they offer wide service to cover many disaster.
If I ever have "&amp;"a disaster, I hope they will be just as up to their commitments")</f>
        <v>Very good insurer, they are reactive, easily reachable by email and by phone.
They also recall if necessary.
Their taken are largely affordable especially when you have a small budget. But they offer wide service to cover many disaster.
If I ever have a disaster, I hope they will be just as up to their commitments</v>
      </c>
    </row>
    <row r="126" ht="15.75" customHeight="1">
      <c r="A126" s="2">
        <v>2.0</v>
      </c>
      <c r="B126" s="2" t="s">
        <v>459</v>
      </c>
      <c r="C126" s="2" t="s">
        <v>460</v>
      </c>
      <c r="D126" s="2" t="s">
        <v>53</v>
      </c>
      <c r="E126" s="2" t="s">
        <v>14</v>
      </c>
      <c r="F126" s="2" t="s">
        <v>15</v>
      </c>
      <c r="G126" s="2" t="s">
        <v>461</v>
      </c>
      <c r="H126" s="2" t="s">
        <v>149</v>
      </c>
      <c r="I126" s="2" t="str">
        <f>IFERROR(__xludf.DUMMYFUNCTION("GOOGLETRANSLATE(C126,""fr"",""en"")"),"I have just been terminated my car contract due to the frequency of a claim.
But beware, when they speak of a claim, that includes everything! I only had a break of ice at home since I arrived, and I had driving forces that the garage took a long time to"&amp;" find (so need to call the tow truck 2-3 times), it Just be terminated. Insurer to avoid.")</f>
        <v>I have just been terminated my car contract due to the frequency of a claim.
But beware, when they speak of a claim, that includes everything! I only had a break of ice at home since I arrived, and I had driving forces that the garage took a long time to find (so need to call the tow truck 2-3 times), it Just be terminated. Insurer to avoid.</v>
      </c>
    </row>
    <row r="127" ht="15.75" customHeight="1">
      <c r="A127" s="2">
        <v>1.0</v>
      </c>
      <c r="B127" s="2" t="s">
        <v>462</v>
      </c>
      <c r="C127" s="2" t="s">
        <v>463</v>
      </c>
      <c r="D127" s="2" t="s">
        <v>356</v>
      </c>
      <c r="E127" s="2" t="s">
        <v>21</v>
      </c>
      <c r="F127" s="2" t="s">
        <v>15</v>
      </c>
      <c r="G127" s="2" t="s">
        <v>464</v>
      </c>
      <c r="H127" s="2" t="s">
        <v>54</v>
      </c>
      <c r="I127" s="2" t="str">
        <f>IFERROR(__xludf.DUMMYFUNCTION("GOOGLETRANSLATE(C127,""fr"",""en"")"),"Very disappointed with this mutual!, That problems with them, it is a lowcost mutual. My boys are students they don't count in the mutual
I send the certificate of the security of my boys and nothing
No refund.
They are not taken into account either th"&amp;"e termination")</f>
        <v>Very disappointed with this mutual!, That problems with them, it is a lowcost mutual. My boys are students they don't count in the mutual
I send the certificate of the security of my boys and nothing
No refund.
They are not taken into account either the termination</v>
      </c>
    </row>
    <row r="128" ht="15.75" customHeight="1">
      <c r="A128" s="2">
        <v>4.0</v>
      </c>
      <c r="B128" s="2" t="s">
        <v>465</v>
      </c>
      <c r="C128" s="2" t="s">
        <v>466</v>
      </c>
      <c r="D128" s="2" t="s">
        <v>57</v>
      </c>
      <c r="E128" s="2" t="s">
        <v>14</v>
      </c>
      <c r="F128" s="2" t="s">
        <v>15</v>
      </c>
      <c r="G128" s="2" t="s">
        <v>129</v>
      </c>
      <c r="H128" s="2" t="s">
        <v>122</v>
      </c>
      <c r="I128" s="2" t="str">
        <f>IFERROR(__xludf.DUMMYFUNCTION("GOOGLETRANSLATE(C128,""fr"",""en"")"),"Very simple in terms of membership.
Very pleasant advisor and available by phone.
Only small downside: the delay in receipt of quotes and contract by email.")</f>
        <v>Very simple in terms of membership.
Very pleasant advisor and available by phone.
Only small downside: the delay in receipt of quotes and contract by email.</v>
      </c>
    </row>
    <row r="129" ht="15.75" customHeight="1">
      <c r="A129" s="2">
        <v>2.0</v>
      </c>
      <c r="B129" s="2" t="s">
        <v>467</v>
      </c>
      <c r="C129" s="2" t="s">
        <v>468</v>
      </c>
      <c r="D129" s="2" t="s">
        <v>26</v>
      </c>
      <c r="E129" s="2" t="s">
        <v>14</v>
      </c>
      <c r="F129" s="2" t="s">
        <v>15</v>
      </c>
      <c r="G129" s="2" t="s">
        <v>469</v>
      </c>
      <c r="H129" s="2" t="s">
        <v>122</v>
      </c>
      <c r="I129" s="2" t="str">
        <f>IFERROR(__xludf.DUMMYFUNCTION("GOOGLETRANSLATE(C129,""fr"",""en"")"),"Hello to you
At the start we subscribe an attractive insurance and the following year added to us the fees on each contract.
So in the end no interest I have an increase of 20 € on each contract
Next year you are going to be as expensive as the other c"&amp;"ompanys. I ensured a new vehicle I did not do it expensive ???")</f>
        <v>Hello to you
At the start we subscribe an attractive insurance and the following year added to us the fees on each contract.
So in the end no interest I have an increase of 20 € on each contract
Next year you are going to be as expensive as the other companys. I ensured a new vehicle I did not do it expensive ???</v>
      </c>
    </row>
    <row r="130" ht="15.75" customHeight="1">
      <c r="A130" s="2">
        <v>1.0</v>
      </c>
      <c r="B130" s="2" t="s">
        <v>470</v>
      </c>
      <c r="C130" s="2" t="s">
        <v>471</v>
      </c>
      <c r="D130" s="2" t="s">
        <v>26</v>
      </c>
      <c r="E130" s="2" t="s">
        <v>14</v>
      </c>
      <c r="F130" s="2" t="s">
        <v>15</v>
      </c>
      <c r="G130" s="2" t="s">
        <v>472</v>
      </c>
      <c r="H130" s="2" t="s">
        <v>23</v>
      </c>
      <c r="I130" s="2" t="str">
        <f>IFERROR(__xludf.DUMMYFUNCTION("GOOGLETRANSLATE(C130,""fr"",""en"")"),"I have to write this comment.
First of all, I don't speak French very well, even if I write this comment with the help of Google Translate.
I already have 3 cars and all have been provided by Direct Insurance since 2017. Until now, I have spoken to cust"&amp;"omer service several times. And I think they want to be used only for the French. They refuse to speak English.
Isn't that a kind of discrimination? Isn't that a kind of lack of respect?
Today, I was very upset. I felt like I was exposed to racism today"&amp;".")</f>
        <v>I have to write this comment.
First of all, I don't speak French very well, even if I write this comment with the help of Google Translate.
I already have 3 cars and all have been provided by Direct Insurance since 2017. Until now, I have spoken to customer service several times. And I think they want to be used only for the French. They refuse to speak English.
Isn't that a kind of discrimination? Isn't that a kind of lack of respect?
Today, I was very upset. I felt like I was exposed to racism today.</v>
      </c>
    </row>
    <row r="131" ht="15.75" customHeight="1">
      <c r="A131" s="2">
        <v>4.0</v>
      </c>
      <c r="B131" s="2" t="s">
        <v>473</v>
      </c>
      <c r="C131" s="2" t="s">
        <v>474</v>
      </c>
      <c r="D131" s="2" t="s">
        <v>26</v>
      </c>
      <c r="E131" s="2" t="s">
        <v>14</v>
      </c>
      <c r="F131" s="2" t="s">
        <v>15</v>
      </c>
      <c r="G131" s="2" t="s">
        <v>475</v>
      </c>
      <c r="H131" s="2" t="s">
        <v>81</v>
      </c>
      <c r="I131" s="2" t="str">
        <f>IFERROR(__xludf.DUMMYFUNCTION("GOOGLETRANSLATE(C131,""fr"",""en"")"),"Quote made quickly and simply!
Too bad there is no possibility of monthly or I did not find!
Correct price.
To see for the future!")</f>
        <v>Quote made quickly and simply!
Too bad there is no possibility of monthly or I did not find!
Correct price.
To see for the future!</v>
      </c>
    </row>
    <row r="132" ht="15.75" customHeight="1">
      <c r="A132" s="2">
        <v>1.0</v>
      </c>
      <c r="B132" s="2" t="s">
        <v>476</v>
      </c>
      <c r="C132" s="2" t="s">
        <v>477</v>
      </c>
      <c r="D132" s="2" t="s">
        <v>266</v>
      </c>
      <c r="E132" s="2" t="s">
        <v>104</v>
      </c>
      <c r="F132" s="2" t="s">
        <v>15</v>
      </c>
      <c r="G132" s="2" t="s">
        <v>478</v>
      </c>
      <c r="H132" s="2" t="s">
        <v>54</v>
      </c>
      <c r="I132" s="2" t="str">
        <f>IFERROR(__xludf.DUMMYFUNCTION("GOOGLETRANSLATE(C132,""fr"",""en"")"),"Following a water damage caused by my neighbor I did not get any refund despite an observation and a quote proving that it is an infiltration linked to the front door of my neighbor
Very complicated phone call and not very competent
The bank more forced"&amp;" me to take this insurance following my loan negotiated with them
I am very unsatisfied and absolutely do not recommend this insurance")</f>
        <v>Following a water damage caused by my neighbor I did not get any refund despite an observation and a quote proving that it is an infiltration linked to the front door of my neighbor
Very complicated phone call and not very competent
The bank more forced me to take this insurance following my loan negotiated with them
I am very unsatisfied and absolutely do not recommend this insurance</v>
      </c>
    </row>
    <row r="133" ht="15.75" customHeight="1">
      <c r="A133" s="2">
        <v>1.0</v>
      </c>
      <c r="B133" s="2" t="s">
        <v>479</v>
      </c>
      <c r="C133" s="2" t="s">
        <v>480</v>
      </c>
      <c r="D133" s="2" t="s">
        <v>188</v>
      </c>
      <c r="E133" s="2" t="s">
        <v>104</v>
      </c>
      <c r="F133" s="2" t="s">
        <v>15</v>
      </c>
      <c r="G133" s="2" t="s">
        <v>481</v>
      </c>
      <c r="H133" s="2" t="s">
        <v>482</v>
      </c>
      <c r="I133" s="2" t="str">
        <f>IFERROR(__xludf.DUMMYFUNCTION("GOOGLETRANSLATE(C133,""fr"",""en"")"),"File open for almost 2 years, and still no full refund !!! The GMF has lost medical documents that I sent them (I have the accused of receipt, as well as a letter from them telling me that they have received my mail, result, 1 years later: lost papers ). "&amp;"In addition, they sent an incomplete file to the opposing insurance which drags the treatment. I have been patient until then, but this is too much. I do not recommend this insurance to my loved ones: flee! Unless my file is finally processed properly, I "&amp;"would no longer be insured by the GMF.")</f>
        <v>File open for almost 2 years, and still no full refund !!! The GMF has lost medical documents that I sent them (I have the accused of receipt, as well as a letter from them telling me that they have received my mail, result, 1 years later: lost papers ). In addition, they sent an incomplete file to the opposing insurance which drags the treatment. I have been patient until then, but this is too much. I do not recommend this insurance to my loved ones: flee! Unless my file is finally processed properly, I would no longer be insured by the GMF.</v>
      </c>
    </row>
    <row r="134" ht="15.75" customHeight="1">
      <c r="A134" s="2">
        <v>3.0</v>
      </c>
      <c r="B134" s="2" t="s">
        <v>483</v>
      </c>
      <c r="C134" s="2" t="s">
        <v>484</v>
      </c>
      <c r="D134" s="2" t="s">
        <v>57</v>
      </c>
      <c r="E134" s="2" t="s">
        <v>14</v>
      </c>
      <c r="F134" s="2" t="s">
        <v>15</v>
      </c>
      <c r="G134" s="2" t="s">
        <v>485</v>
      </c>
      <c r="H134" s="2" t="s">
        <v>122</v>
      </c>
      <c r="I134" s="2" t="str">
        <f>IFERROR(__xludf.DUMMYFUNCTION("GOOGLETRANSLATE(C134,""fr"",""en"")"),"I am satisfied with the simple and effective service ..... the service suits me perfectly ... Happy hoping that everything goes well ... see you soon")</f>
        <v>I am satisfied with the simple and effective service ..... the service suits me perfectly ... Happy hoping that everything goes well ... see you soon</v>
      </c>
    </row>
    <row r="135" ht="15.75" customHeight="1">
      <c r="A135" s="2">
        <v>1.0</v>
      </c>
      <c r="B135" s="2" t="s">
        <v>486</v>
      </c>
      <c r="C135" s="2" t="s">
        <v>487</v>
      </c>
      <c r="D135" s="2" t="s">
        <v>20</v>
      </c>
      <c r="E135" s="2" t="s">
        <v>21</v>
      </c>
      <c r="F135" s="2" t="s">
        <v>15</v>
      </c>
      <c r="G135" s="2" t="s">
        <v>488</v>
      </c>
      <c r="H135" s="2" t="s">
        <v>185</v>
      </c>
      <c r="I135" s="2" t="str">
        <f>IFERROR(__xludf.DUMMYFUNCTION("GOOGLETRANSLATE(C135,""fr"",""en"")"),"Mutual business therefore impossible to change. Mutual which takes more than 2 months to reimburse the advances made despite regular reminders. Regularly mistaken in the amounts of reimbursements (you must constantly check their calculations). Never respo"&amp;"nd to emails. When you have a person on the phone, they can only get the information back but cannot do without a manager or make the requests. In short, a mutual that does not know how to manage.
Mutual to flee if you take it in person. And courage to t"&amp;"hose who are like me forced to undergo their incompetence!")</f>
        <v>Mutual business therefore impossible to change. Mutual which takes more than 2 months to reimburse the advances made despite regular reminders. Regularly mistaken in the amounts of reimbursements (you must constantly check their calculations). Never respond to emails. When you have a person on the phone, they can only get the information back but cannot do without a manager or make the requests. In short, a mutual that does not know how to manage.
Mutual to flee if you take it in person. And courage to those who are like me forced to undergo their incompetence!</v>
      </c>
    </row>
    <row r="136" ht="15.75" customHeight="1">
      <c r="A136" s="2">
        <v>5.0</v>
      </c>
      <c r="B136" s="2" t="s">
        <v>489</v>
      </c>
      <c r="C136" s="2" t="s">
        <v>490</v>
      </c>
      <c r="D136" s="2" t="s">
        <v>57</v>
      </c>
      <c r="E136" s="2" t="s">
        <v>14</v>
      </c>
      <c r="F136" s="2" t="s">
        <v>15</v>
      </c>
      <c r="G136" s="2" t="s">
        <v>491</v>
      </c>
      <c r="H136" s="2" t="s">
        <v>122</v>
      </c>
      <c r="I136" s="2" t="str">
        <f>IFERROR(__xludf.DUMMYFUNCTION("GOOGLETRANSLATE(C136,""fr"",""en"")"),"Fast, simple.
I will save 700 euros compared to my old insurance contract.
I hope not to be disappointed, notice written just after being subscribed.")</f>
        <v>Fast, simple.
I will save 700 euros compared to my old insurance contract.
I hope not to be disappointed, notice written just after being subscribed.</v>
      </c>
    </row>
    <row r="137" ht="15.75" customHeight="1">
      <c r="A137" s="2">
        <v>1.0</v>
      </c>
      <c r="B137" s="2" t="s">
        <v>492</v>
      </c>
      <c r="C137" s="2" t="s">
        <v>493</v>
      </c>
      <c r="D137" s="2" t="s">
        <v>26</v>
      </c>
      <c r="E137" s="2" t="s">
        <v>14</v>
      </c>
      <c r="F137" s="2" t="s">
        <v>15</v>
      </c>
      <c r="G137" s="2" t="s">
        <v>494</v>
      </c>
      <c r="H137" s="2" t="s">
        <v>347</v>
      </c>
      <c r="I137" s="2" t="str">
        <f>IFERROR(__xludf.DUMMYFUNCTION("GOOGLETRANSLATE(C137,""fr"",""en"")"),"No one asks for a lot of supporting documents impossible to transmit! A bunch of photos Request Desagreable customer service !!!!!!!!!!!!!!!!!!!!!!!!!!!!!!!!!!!!!!!!! !!!!!!!!!!!!!!!!!!")</f>
        <v>No one asks for a lot of supporting documents impossible to transmit! A bunch of photos Request Desagreable customer service !!!!!!!!!!!!!!!!!!!!!!!!!!!!!!!!!!!!!!!!! !!!!!!!!!!!!!!!!!!</v>
      </c>
    </row>
    <row r="138" ht="15.75" customHeight="1">
      <c r="A138" s="2">
        <v>3.0</v>
      </c>
      <c r="B138" s="2" t="s">
        <v>495</v>
      </c>
      <c r="C138" s="2" t="s">
        <v>496</v>
      </c>
      <c r="D138" s="2" t="s">
        <v>37</v>
      </c>
      <c r="E138" s="2" t="s">
        <v>38</v>
      </c>
      <c r="F138" s="2" t="s">
        <v>15</v>
      </c>
      <c r="G138" s="2" t="s">
        <v>488</v>
      </c>
      <c r="H138" s="2" t="s">
        <v>185</v>
      </c>
      <c r="I138" s="2" t="str">
        <f>IFERROR(__xludf.DUMMYFUNCTION("GOOGLETRANSLATE(C138,""fr"",""en"")"),"Attention, online insurance ... Big difficulties in obtaining an interlocutor involved who wants and who is able to process my request. 10 calls on overpaste number to finally get an answer: we were wrong in the calculation of your premium but we will sen"&amp;"d you the green card when you have set the differential ...
I dare not imagine what would happen if I declared a disaster. As soon as I have time to devote to it I change!")</f>
        <v>Attention, online insurance ... Big difficulties in obtaining an interlocutor involved who wants and who is able to process my request. 10 calls on overpaste number to finally get an answer: we were wrong in the calculation of your premium but we will send you the green card when you have set the differential ...
I dare not imagine what would happen if I declared a disaster. As soon as I have time to devote to it I change!</v>
      </c>
    </row>
    <row r="139" ht="15.75" customHeight="1">
      <c r="A139" s="2">
        <v>1.0</v>
      </c>
      <c r="B139" s="2" t="s">
        <v>497</v>
      </c>
      <c r="C139" s="2" t="s">
        <v>498</v>
      </c>
      <c r="D139" s="2" t="s">
        <v>42</v>
      </c>
      <c r="E139" s="2" t="s">
        <v>14</v>
      </c>
      <c r="F139" s="2" t="s">
        <v>15</v>
      </c>
      <c r="G139" s="2" t="s">
        <v>499</v>
      </c>
      <c r="H139" s="2" t="s">
        <v>252</v>
      </c>
      <c r="I139" s="2" t="str">
        <f>IFERROR(__xludf.DUMMYFUNCTION("GOOGLETRANSLATE(C139,""fr"",""en"")"),"Since accident not responsible for 2/2018, more than a year 1.5, we are expecting conventional compensation agreed in March 2019 after many discussion!")</f>
        <v>Since accident not responsible for 2/2018, more than a year 1.5, we are expecting conventional compensation agreed in March 2019 after many discussion!</v>
      </c>
    </row>
    <row r="140" ht="15.75" customHeight="1">
      <c r="A140" s="2">
        <v>4.0</v>
      </c>
      <c r="B140" s="2" t="s">
        <v>500</v>
      </c>
      <c r="C140" s="2" t="s">
        <v>501</v>
      </c>
      <c r="D140" s="2" t="s">
        <v>57</v>
      </c>
      <c r="E140" s="2" t="s">
        <v>14</v>
      </c>
      <c r="F140" s="2" t="s">
        <v>15</v>
      </c>
      <c r="G140" s="2" t="s">
        <v>502</v>
      </c>
      <c r="H140" s="2" t="s">
        <v>122</v>
      </c>
      <c r="I140" s="2" t="str">
        <f>IFERROR(__xludf.DUMMYFUNCTION("GOOGLETRANSLATE(C140,""fr"",""en"")"),"I am satisfied with the contact I had with your sales department in particular with Ladies Caroline and Aurélie.
Although slightly higher than some of your direct compensation, your price, proportional to your guarantees in the event of a claim, suits me"&amp;" completely.")</f>
        <v>I am satisfied with the contact I had with your sales department in particular with Ladies Caroline and Aurélie.
Although slightly higher than some of your direct compensation, your price, proportional to your guarantees in the event of a claim, suits me completely.</v>
      </c>
    </row>
    <row r="141" ht="15.75" customHeight="1">
      <c r="A141" s="2">
        <v>1.0</v>
      </c>
      <c r="B141" s="2" t="s">
        <v>503</v>
      </c>
      <c r="C141" s="2" t="s">
        <v>504</v>
      </c>
      <c r="D141" s="2" t="s">
        <v>57</v>
      </c>
      <c r="E141" s="2" t="s">
        <v>14</v>
      </c>
      <c r="F141" s="2" t="s">
        <v>15</v>
      </c>
      <c r="G141" s="2" t="s">
        <v>505</v>
      </c>
      <c r="H141" s="2" t="s">
        <v>395</v>
      </c>
      <c r="I141" s="2" t="str">
        <f>IFERROR(__xludf.DUMMYFUNCTION("GOOGLETRANSLATE(C141,""fr"",""en"")"),"I was the victim of an accident with a person in wrong on all the points unfortunately he was in the absence of a license suddenly he denied the facts on the observation. When I declare the facts to my insurer explains to me that the verbal trial written "&amp;"by the police will be necessary and precisely this trial plays in my favor.
Today I find myself with an insurer who wants to unindemnis to 50% pretending that I am half responsible when he refers to the constant when I stipulate well in the observation t"&amp;"hat he denies the facts and that the PV will prove. In addition, an audience on the audience is lacking in professionalism that tells me to my first sentence do not annoy you !!!!
I will not stay there !!")</f>
        <v>I was the victim of an accident with a person in wrong on all the points unfortunately he was in the absence of a license suddenly he denied the facts on the observation. When I declare the facts to my insurer explains to me that the verbal trial written by the police will be necessary and precisely this trial plays in my favor.
Today I find myself with an insurer who wants to unindemnis to 50% pretending that I am half responsible when he refers to the constant when I stipulate well in the observation that he denies the facts and that the PV will prove. In addition, an audience on the audience is lacking in professionalism that tells me to my first sentence do not annoy you !!!!
I will not stay there !!</v>
      </c>
    </row>
    <row r="142" ht="15.75" customHeight="1">
      <c r="A142" s="2">
        <v>5.0</v>
      </c>
      <c r="B142" s="2" t="s">
        <v>506</v>
      </c>
      <c r="C142" s="2" t="s">
        <v>507</v>
      </c>
      <c r="D142" s="2" t="s">
        <v>69</v>
      </c>
      <c r="E142" s="2" t="s">
        <v>21</v>
      </c>
      <c r="F142" s="2" t="s">
        <v>15</v>
      </c>
      <c r="G142" s="2" t="s">
        <v>508</v>
      </c>
      <c r="H142" s="2" t="s">
        <v>140</v>
      </c>
      <c r="I142" s="2" t="str">
        <f>IFERROR(__xludf.DUMMYFUNCTION("GOOGLETRANSLATE(C142,""fr"",""en"")"),"Thanks to Ichraq who quickly answered my questions. I received a very good welcome from him. Patient, kind, listening I was really delighted with our telephone conversation. Meri")</f>
        <v>Thanks to Ichraq who quickly answered my questions. I received a very good welcome from him. Patient, kind, listening I was really delighted with our telephone conversation. Meri</v>
      </c>
    </row>
    <row r="143" ht="15.75" customHeight="1">
      <c r="A143" s="2">
        <v>1.0</v>
      </c>
      <c r="B143" s="2" t="s">
        <v>509</v>
      </c>
      <c r="C143" s="2" t="s">
        <v>510</v>
      </c>
      <c r="D143" s="2" t="s">
        <v>48</v>
      </c>
      <c r="E143" s="2" t="s">
        <v>21</v>
      </c>
      <c r="F143" s="2" t="s">
        <v>15</v>
      </c>
      <c r="G143" s="2" t="s">
        <v>511</v>
      </c>
      <c r="H143" s="2" t="s">
        <v>111</v>
      </c>
      <c r="I143" s="2" t="str">
        <f>IFERROR(__xludf.DUMMYFUNCTION("GOOGLETRANSLATE(C143,""fr"",""en"")"),"Always waiting for the answers to the emails send to the customer area from February Neoliane to flee mutual not serious I would like to terminate my contract but not possible before decender call such.")</f>
        <v>Always waiting for the answers to the emails send to the customer area from February Neoliane to flee mutual not serious I would like to terminate my contract but not possible before decender call such.</v>
      </c>
    </row>
    <row r="144" ht="15.75" customHeight="1">
      <c r="A144" s="2">
        <v>5.0</v>
      </c>
      <c r="B144" s="2" t="s">
        <v>512</v>
      </c>
      <c r="C144" s="2" t="s">
        <v>513</v>
      </c>
      <c r="D144" s="2" t="s">
        <v>305</v>
      </c>
      <c r="E144" s="2" t="s">
        <v>38</v>
      </c>
      <c r="F144" s="2" t="s">
        <v>15</v>
      </c>
      <c r="G144" s="2" t="s">
        <v>514</v>
      </c>
      <c r="H144" s="2" t="s">
        <v>515</v>
      </c>
      <c r="I144" s="2" t="str">
        <f>IFERROR(__xludf.DUMMYFUNCTION("GOOGLETRANSLATE(C144,""fr"",""en"")"),"I am already insured with my boat and the service is great. I hope it will be the same for my scooter. Always attentive and well informed advisers. I recommend April assurance to all.")</f>
        <v>I am already insured with my boat and the service is great. I hope it will be the same for my scooter. Always attentive and well informed advisers. I recommend April assurance to all.</v>
      </c>
    </row>
    <row r="145" ht="15.75" customHeight="1">
      <c r="A145" s="2">
        <v>3.0</v>
      </c>
      <c r="B145" s="2" t="s">
        <v>516</v>
      </c>
      <c r="C145" s="2" t="s">
        <v>517</v>
      </c>
      <c r="D145" s="2" t="s">
        <v>26</v>
      </c>
      <c r="E145" s="2" t="s">
        <v>14</v>
      </c>
      <c r="F145" s="2" t="s">
        <v>15</v>
      </c>
      <c r="G145" s="2" t="s">
        <v>357</v>
      </c>
      <c r="H145" s="2" t="s">
        <v>34</v>
      </c>
      <c r="I145" s="2" t="str">
        <f>IFERROR(__xludf.DUMMYFUNCTION("GOOGLETRANSLATE(C145,""fr"",""en"")"),"I no longer satisfy your services.
Unfaunting telephone reception, from one person to another, they are never the same speeches.
I think I said everything.")</f>
        <v>I no longer satisfy your services.
Unfaunting telephone reception, from one person to another, they are never the same speeches.
I think I said everything.</v>
      </c>
    </row>
    <row r="146" ht="15.75" customHeight="1">
      <c r="A146" s="2">
        <v>3.0</v>
      </c>
      <c r="B146" s="2" t="s">
        <v>518</v>
      </c>
      <c r="C146" s="2" t="s">
        <v>519</v>
      </c>
      <c r="D146" s="2" t="s">
        <v>188</v>
      </c>
      <c r="E146" s="2" t="s">
        <v>14</v>
      </c>
      <c r="F146" s="2" t="s">
        <v>15</v>
      </c>
      <c r="G146" s="2" t="s">
        <v>520</v>
      </c>
      <c r="H146" s="2" t="s">
        <v>106</v>
      </c>
      <c r="I146" s="2" t="str">
        <f>IFERROR(__xludf.DUMMYFUNCTION("GOOGLETRANSLATE(C146,""fr"",""en"")"),"Having not needed their service to date I can not give an opinion")</f>
        <v>Having not needed their service to date I can not give an opinion</v>
      </c>
    </row>
    <row r="147" ht="15.75" customHeight="1">
      <c r="A147" s="2">
        <v>3.0</v>
      </c>
      <c r="B147" s="2" t="s">
        <v>521</v>
      </c>
      <c r="C147" s="2" t="s">
        <v>522</v>
      </c>
      <c r="D147" s="2" t="s">
        <v>26</v>
      </c>
      <c r="E147" s="2" t="s">
        <v>104</v>
      </c>
      <c r="F147" s="2" t="s">
        <v>15</v>
      </c>
      <c r="G147" s="2" t="s">
        <v>523</v>
      </c>
      <c r="H147" s="2" t="s">
        <v>106</v>
      </c>
      <c r="I147" s="2" t="str">
        <f>IFERROR(__xludf.DUMMYFUNCTION("GOOGLETRANSLATE(C147,""fr"",""en"")"),"Very disappointed with their 25% increased response on my home contract, I have not declared any claim since my membership, I think of an error, no, it's normal, it is not us who fix the scales?
I want to accept an increase of 2 or 3 %
But not 25 % expl"&amp;"anation: we had a lot of claims declared this year, it is not us who fix the scales? Uh ........... I'm still waiting .........")</f>
        <v>Very disappointed with their 25% increased response on my home contract, I have not declared any claim since my membership, I think of an error, no, it's normal, it is not us who fix the scales?
I want to accept an increase of 2 or 3 %
But not 25 % explanation: we had a lot of claims declared this year, it is not us who fix the scales? Uh ........... I'm still waiting .........</v>
      </c>
    </row>
    <row r="148" ht="15.75" customHeight="1">
      <c r="A148" s="2">
        <v>4.0</v>
      </c>
      <c r="B148" s="2" t="s">
        <v>524</v>
      </c>
      <c r="C148" s="2" t="s">
        <v>525</v>
      </c>
      <c r="D148" s="2" t="s">
        <v>26</v>
      </c>
      <c r="E148" s="2" t="s">
        <v>14</v>
      </c>
      <c r="F148" s="2" t="s">
        <v>15</v>
      </c>
      <c r="G148" s="2" t="s">
        <v>526</v>
      </c>
      <c r="H148" s="2" t="s">
        <v>28</v>
      </c>
      <c r="I148" s="2" t="str">
        <f>IFERROR(__xludf.DUMMYFUNCTION("GOOGLETRANSLATE(C148,""fr"",""en"")"),"Good price internet service will have seen if it is taking place there, Damage that we cannot contact a person on the phone, to guide us on the quote.")</f>
        <v>Good price internet service will have seen if it is taking place there, Damage that we cannot contact a person on the phone, to guide us on the quote.</v>
      </c>
    </row>
    <row r="149" ht="15.75" customHeight="1">
      <c r="A149" s="2">
        <v>1.0</v>
      </c>
      <c r="B149" s="2" t="s">
        <v>527</v>
      </c>
      <c r="C149" s="2" t="s">
        <v>528</v>
      </c>
      <c r="D149" s="2" t="s">
        <v>48</v>
      </c>
      <c r="E149" s="2" t="s">
        <v>21</v>
      </c>
      <c r="F149" s="2" t="s">
        <v>15</v>
      </c>
      <c r="G149" s="2" t="s">
        <v>529</v>
      </c>
      <c r="H149" s="2" t="s">
        <v>145</v>
      </c>
      <c r="I149" s="2" t="str">
        <f>IFERROR(__xludf.DUMMYFUNCTION("GOOGLETRANSLATE(C149,""fr"",""en"")"),"Attention ! to flee immediately =&gt; no interlocutor reachable =&gt; no third -party third party ???? We walk on the moon!
TO FLEE !
It's been a week since I try to reach a person without success!
No third -party third party for this mutual ... Flee .... Fa"&amp;"r very far ...")</f>
        <v>Attention ! to flee immediately =&gt; no interlocutor reachable =&gt; no third -party third party ???? We walk on the moon!
TO FLEE !
It's been a week since I try to reach a person without success!
No third -party third party for this mutual ... Flee .... Far very far ...</v>
      </c>
    </row>
    <row r="150" ht="15.75" customHeight="1">
      <c r="A150" s="2">
        <v>5.0</v>
      </c>
      <c r="B150" s="2" t="s">
        <v>530</v>
      </c>
      <c r="C150" s="2" t="s">
        <v>531</v>
      </c>
      <c r="D150" s="2" t="s">
        <v>57</v>
      </c>
      <c r="E150" s="2" t="s">
        <v>14</v>
      </c>
      <c r="F150" s="2" t="s">
        <v>15</v>
      </c>
      <c r="G150" s="2" t="s">
        <v>382</v>
      </c>
      <c r="H150" s="2" t="s">
        <v>81</v>
      </c>
      <c r="I150" s="2" t="str">
        <f>IFERROR(__xludf.DUMMYFUNCTION("GOOGLETRANSLATE(C150,""fr"",""en"")"),"Commercial listening to my requests and proactive to advise on the characteristics of the vehicle, attractive price for suitable guarantees, simple and quick subscription!")</f>
        <v>Commercial listening to my requests and proactive to advise on the characteristics of the vehicle, attractive price for suitable guarantees, simple and quick subscription!</v>
      </c>
    </row>
    <row r="151" ht="15.75" customHeight="1">
      <c r="A151" s="2">
        <v>1.0</v>
      </c>
      <c r="B151" s="2" t="s">
        <v>532</v>
      </c>
      <c r="C151" s="2" t="s">
        <v>533</v>
      </c>
      <c r="D151" s="2" t="s">
        <v>534</v>
      </c>
      <c r="E151" s="2" t="s">
        <v>43</v>
      </c>
      <c r="F151" s="2" t="s">
        <v>15</v>
      </c>
      <c r="G151" s="2" t="s">
        <v>129</v>
      </c>
      <c r="H151" s="2" t="s">
        <v>122</v>
      </c>
      <c r="I151" s="2" t="str">
        <f>IFERROR(__xludf.DUMMYFUNCTION("GOOGLETRANSLATE(C151,""fr"",""en"")"),"Frankly it's not serious I lost my father
in 2019 no respect from their part he demanded limits limit impossible to have
And with each shipment he claims me another room to date it is not to settle
there is a real moral harassment but no solution for m"&amp;"e I don't know what to do
 ")</f>
        <v>Frankly it's not serious I lost my father
in 2019 no respect from their part he demanded limits limit impossible to have
And with each shipment he claims me another room to date it is not to settle
there is a real moral harassment but no solution for me I don't know what to do
 </v>
      </c>
    </row>
    <row r="152" ht="15.75" customHeight="1">
      <c r="A152" s="2">
        <v>2.0</v>
      </c>
      <c r="B152" s="2" t="s">
        <v>535</v>
      </c>
      <c r="C152" s="2" t="s">
        <v>536</v>
      </c>
      <c r="D152" s="2" t="s">
        <v>537</v>
      </c>
      <c r="E152" s="2" t="s">
        <v>104</v>
      </c>
      <c r="F152" s="2" t="s">
        <v>15</v>
      </c>
      <c r="G152" s="2" t="s">
        <v>538</v>
      </c>
      <c r="H152" s="2" t="s">
        <v>94</v>
      </c>
      <c r="I152" s="2" t="str">
        <f>IFERROR(__xludf.DUMMYFUNCTION("GOOGLETRANSLATE(C152,""fr"",""en"")"),"Hello,
I underwent water damage in late September. The Expert from Texa asked me for an additional information and supporting documents concerning my affected appliances. I was compensated for a first part and sent the missing documents on 10/22 to Tex"&amp;"a after the repairer's transition. The Texa cabinet is a radio silence despite my multiple reminders since the transmission of supporting documents. As for SOGESSUR completely impossible to have them on the phone. I have called tens of times, at the end a"&amp;" vocal server which tells me that all the advisers are online and to renew my call. It's unacceptable, it's been 3 weeks since I'm going in circles")</f>
        <v>Hello,
I underwent water damage in late September. The Expert from Texa asked me for an additional information and supporting documents concerning my affected appliances. I was compensated for a first part and sent the missing documents on 10/22 to Texa after the repairer's transition. The Texa cabinet is a radio silence despite my multiple reminders since the transmission of supporting documents. As for SOGESSUR completely impossible to have them on the phone. I have called tens of times, at the end a vocal server which tells me that all the advisers are online and to renew my call. It's unacceptable, it's been 3 weeks since I'm going in circles</v>
      </c>
    </row>
    <row r="153" ht="15.75" customHeight="1">
      <c r="A153" s="2">
        <v>1.0</v>
      </c>
      <c r="B153" s="2" t="s">
        <v>539</v>
      </c>
      <c r="C153" s="2" t="s">
        <v>540</v>
      </c>
      <c r="D153" s="2" t="s">
        <v>84</v>
      </c>
      <c r="E153" s="2" t="s">
        <v>14</v>
      </c>
      <c r="F153" s="2" t="s">
        <v>15</v>
      </c>
      <c r="G153" s="2" t="s">
        <v>541</v>
      </c>
      <c r="H153" s="2" t="s">
        <v>81</v>
      </c>
      <c r="I153" s="2" t="str">
        <f>IFERROR(__xludf.DUMMYFUNCTION("GOOGLETRANSLATE(C153,""fr"",""en"")"),"Good morning all
A summary of 19 months of problems with MAIF.
It's been 30 years since I had been at home.
** December 2019 / sinister / clio 2. (Small storm that floods my clio)
** Expertise in February 2020 (2 months to assess)
** Expert repair qu"&amp;"ote: € 335. (February 2020)
** I Alete the MAIF on the fact that Renault (by knowledge) sees more than € 1,200 in repairs
** Final invoice paid by MAIF: € 1088. (repair at the end of July 2020, 8 months after the claim)
** Why Maif accepts the passage "&amp;"from € 335 to € 1088: the expert has modified the dates because Clio wrecks at € 800 / final repair € 1088
** Excluding vehicle wreck at 800 € but the MAIF did not take into account. (preferring to offer me at the start 90 € for my clio).
** Changes of "&amp;"the expertise dates: recognized by insurance mediator, 7 months of mediation instead of 3 months, the MAIF did not provide all parts of the file, whose wreck value of € 800
** MAIF has set the bill more than 3 times the quote without even seeing that the"&amp;" repairer had made a false invoice
** I had to recover my unrelated and wreck clio!
** Recovered with new disaster: the front headlights, during the 8 months of storage in the sun burned / recognized by a new expert / but the MAIF did not want to compen"&amp;"sate
** Sept. 2020 I asked the maif to stop my insurance because Clio wreck / on holds / without wheels / without battery / without fuel / on enclosed and private land / refusal of maif while compulsory to stop (code code insurance)
** I therefore paid "&amp;"my insurance from seven.2020 to April 2021
** When the MAIF recognized its error (wreckage insurance) in April 2021 / It stopped insurance and requested the reimbursement / I received € 4.67 for 8 months of insurance requested from Tors
** Despite my re"&amp;"minders, the MAIF does not reimburse me for 8 months of their error
** A lady of Maif responsible for the file opposes any reopening of the file, to understand the problems
** A Maif delegation manager who tells me to be just commercial, not wanting to "&amp;"help me and criticizes competitors by multiplying aggressive discrimination
** You have to face the facts, for me the maif has certainly become the worst insurance
** Departure for competition, much better insured and 20% cheaper
")</f>
        <v>Good morning all
A summary of 19 months of problems with MAIF.
It's been 30 years since I had been at home.
** December 2019 / sinister / clio 2. (Small storm that floods my clio)
** Expertise in February 2020 (2 months to assess)
** Expert repair quote: € 335. (February 2020)
** I Alete the MAIF on the fact that Renault (by knowledge) sees more than € 1,200 in repairs
** Final invoice paid by MAIF: € 1088. (repair at the end of July 2020, 8 months after the claim)
** Why Maif accepts the passage from € 335 to € 1088: the expert has modified the dates because Clio wrecks at € 800 / final repair € 1088
** Excluding vehicle wreck at 800 € but the MAIF did not take into account. (preferring to offer me at the start 90 € for my clio).
** Changes of the expertise dates: recognized by insurance mediator, 7 months of mediation instead of 3 months, the MAIF did not provide all parts of the file, whose wreck value of € 800
** MAIF has set the bill more than 3 times the quote without even seeing that the repairer had made a false invoice
** I had to recover my unrelated and wreck clio!
** Recovered with new disaster: the front headlights, during the 8 months of storage in the sun burned / recognized by a new expert / but the MAIF did not want to compensate
** Sept. 2020 I asked the maif to stop my insurance because Clio wreck / on holds / without wheels / without battery / without fuel / on enclosed and private land / refusal of maif while compulsory to stop (code code insurance)
** I therefore paid my insurance from seven.2020 to April 2021
** When the MAIF recognized its error (wreckage insurance) in April 2021 / It stopped insurance and requested the reimbursement / I received € 4.67 for 8 months of insurance requested from Tors
** Despite my reminders, the MAIF does not reimburse me for 8 months of their error
** A lady of Maif responsible for the file opposes any reopening of the file, to understand the problems
** A Maif delegation manager who tells me to be just commercial, not wanting to help me and criticizes competitors by multiplying aggressive discrimination
** You have to face the facts, for me the maif has certainly become the worst insurance
** Departure for competition, much better insured and 20% cheaper
</v>
      </c>
    </row>
    <row r="154" ht="15.75" customHeight="1">
      <c r="A154" s="2">
        <v>5.0</v>
      </c>
      <c r="B154" s="2" t="s">
        <v>542</v>
      </c>
      <c r="C154" s="2" t="s">
        <v>543</v>
      </c>
      <c r="D154" s="2" t="s">
        <v>57</v>
      </c>
      <c r="E154" s="2" t="s">
        <v>14</v>
      </c>
      <c r="F154" s="2" t="s">
        <v>15</v>
      </c>
      <c r="G154" s="2" t="s">
        <v>169</v>
      </c>
      <c r="H154" s="2" t="s">
        <v>122</v>
      </c>
      <c r="I154" s="2" t="str">
        <f>IFERROR(__xludf.DUMMYFUNCTION("GOOGLETRANSLATE(C154,""fr"",""en"")"),"I am very satisfied with the services of your organization. My first interlocutor was very professional. Having made my decision the next day my other interlocutor was also very pro and fast. Thanks to the whole team.")</f>
        <v>I am very satisfied with the services of your organization. My first interlocutor was very professional. Having made my decision the next day my other interlocutor was also very pro and fast. Thanks to the whole team.</v>
      </c>
    </row>
    <row r="155" ht="15.75" customHeight="1">
      <c r="A155" s="2">
        <v>1.0</v>
      </c>
      <c r="B155" s="2" t="s">
        <v>544</v>
      </c>
      <c r="C155" s="2" t="s">
        <v>545</v>
      </c>
      <c r="D155" s="2" t="s">
        <v>26</v>
      </c>
      <c r="E155" s="2" t="s">
        <v>14</v>
      </c>
      <c r="F155" s="2" t="s">
        <v>15</v>
      </c>
      <c r="G155" s="2" t="s">
        <v>546</v>
      </c>
      <c r="H155" s="2" t="s">
        <v>547</v>
      </c>
      <c r="I155" s="2" t="str">
        <f>IFERROR(__xludf.DUMMYFUNCTION("GOOGLETRANSLATE(C155,""fr"",""en"")"),"I have just subscribed to car insurance and first problem. Indeed, I made an online quote and found that the amount of the subscription was attractive, knowing that it would certainly change at the time of subscription (upwards). During the acquisition of"&amp;" the vehicle, I call direct insurance and the advisor asks me all the questions she needs, I answer her clearly and confirms my statements as a pro, namely if she has of course.
I subscribe, receive the schedule, satisfied with it, I sign the electronic "&amp;"contract.
1 week later I receive a new schedule with a difference in 500th, up of course. Surprise, I call Direct Assurance and the advisor announces to me that ""it's normal"" because the advisor would have put that I obtained my license in 2003 when he"&amp;" was obtained in 2016 so young driver and tried to Make a reproach by saying that I should have put on the quote that they received the right date of obtaining the permit. Between 2003 and 2016 there is margin and in no case would I have put this date, fo"&amp;"r what reason .. serious?
Suddenly, for a first relationship it starts badly eh, I do not think to recommend this insurance to my friends at worst I will first explain my entry into relation to them !!")</f>
        <v>I have just subscribed to car insurance and first problem. Indeed, I made an online quote and found that the amount of the subscription was attractive, knowing that it would certainly change at the time of subscription (upwards). During the acquisition of the vehicle, I call direct insurance and the advisor asks me all the questions she needs, I answer her clearly and confirms my statements as a pro, namely if she has of course.
I subscribe, receive the schedule, satisfied with it, I sign the electronic contract.
1 week later I receive a new schedule with a difference in 500th, up of course. Surprise, I call Direct Assurance and the advisor announces to me that "it's normal" because the advisor would have put that I obtained my license in 2003 when he was obtained in 2016 so young driver and tried to Make a reproach by saying that I should have put on the quote that they received the right date of obtaining the permit. Between 2003 and 2016 there is margin and in no case would I have put this date, for what reason .. serious?
Suddenly, for a first relationship it starts badly eh, I do not think to recommend this insurance to my friends at worst I will first explain my entry into relation to them !!</v>
      </c>
    </row>
    <row r="156" ht="15.75" customHeight="1">
      <c r="A156" s="2">
        <v>4.0</v>
      </c>
      <c r="B156" s="2" t="s">
        <v>548</v>
      </c>
      <c r="C156" s="2" t="s">
        <v>549</v>
      </c>
      <c r="D156" s="2" t="s">
        <v>550</v>
      </c>
      <c r="E156" s="2" t="s">
        <v>104</v>
      </c>
      <c r="F156" s="2" t="s">
        <v>15</v>
      </c>
      <c r="G156" s="2" t="s">
        <v>551</v>
      </c>
      <c r="H156" s="2" t="s">
        <v>482</v>
      </c>
      <c r="I156" s="2" t="str">
        <f>IFERROR(__xludf.DUMMYFUNCTION("GOOGLETRANSLATE(C156,""fr"",""en"")"),"Tenants have been suffered from the waters due to a leak on built -in pipes. Following a leak search, it was up to the owner to make the repairs (new 2018 agreement for DDEs in individual house). The owner threatened to make a restraint for restoration wh"&amp;"en we left. I informed the manager who contacted the owner directly. Result: problem solved! Thank you Groupama")</f>
        <v>Tenants have been suffered from the waters due to a leak on built -in pipes. Following a leak search, it was up to the owner to make the repairs (new 2018 agreement for DDEs in individual house). The owner threatened to make a restraint for restoration when we left. I informed the manager who contacted the owner directly. Result: problem solved! Thank you Groupama</v>
      </c>
    </row>
    <row r="157" ht="15.75" customHeight="1">
      <c r="A157" s="2">
        <v>4.0</v>
      </c>
      <c r="B157" s="2" t="s">
        <v>552</v>
      </c>
      <c r="C157" s="2" t="s">
        <v>553</v>
      </c>
      <c r="D157" s="2" t="s">
        <v>152</v>
      </c>
      <c r="E157" s="2" t="s">
        <v>109</v>
      </c>
      <c r="F157" s="2" t="s">
        <v>15</v>
      </c>
      <c r="G157" s="2" t="s">
        <v>526</v>
      </c>
      <c r="H157" s="2" t="s">
        <v>28</v>
      </c>
      <c r="I157" s="2" t="str">
        <f>IFERROR(__xludf.DUMMYFUNCTION("GOOGLETRANSLATE(C157,""fr"",""en"")"),"Having needed their services following an accident, I was very happy to find attentive and understanding ear.
Suddenly, the file was well processed and I was able to blow.
thanks again")</f>
        <v>Having needed their services following an accident, I was very happy to find attentive and understanding ear.
Suddenly, the file was well processed and I was able to blow.
thanks again</v>
      </c>
    </row>
    <row r="158" ht="15.75" customHeight="1">
      <c r="A158" s="2">
        <v>4.0</v>
      </c>
      <c r="B158" s="2" t="s">
        <v>554</v>
      </c>
      <c r="C158" s="2" t="s">
        <v>555</v>
      </c>
      <c r="D158" s="2" t="s">
        <v>26</v>
      </c>
      <c r="E158" s="2" t="s">
        <v>14</v>
      </c>
      <c r="F158" s="2" t="s">
        <v>15</v>
      </c>
      <c r="G158" s="2" t="s">
        <v>556</v>
      </c>
      <c r="H158" s="2" t="s">
        <v>185</v>
      </c>
      <c r="I158" s="2" t="str">
        <f>IFERROR(__xludf.DUMMYFUNCTION("GOOGLETRANSLATE(C158,""fr"",""en"")"),"We are completely satisfied with your services.
The prices suit us.
Correspondence by email at the top
Nothing more to formulate.
have a good day.")</f>
        <v>We are completely satisfied with your services.
The prices suit us.
Correspondence by email at the top
Nothing more to formulate.
have a good day.</v>
      </c>
    </row>
    <row r="159" ht="15.75" customHeight="1">
      <c r="A159" s="2">
        <v>4.0</v>
      </c>
      <c r="B159" s="2" t="s">
        <v>557</v>
      </c>
      <c r="C159" s="2" t="s">
        <v>558</v>
      </c>
      <c r="D159" s="2" t="s">
        <v>57</v>
      </c>
      <c r="E159" s="2" t="s">
        <v>14</v>
      </c>
      <c r="F159" s="2" t="s">
        <v>15</v>
      </c>
      <c r="G159" s="2" t="s">
        <v>559</v>
      </c>
      <c r="H159" s="2" t="s">
        <v>74</v>
      </c>
      <c r="I159" s="2" t="str">
        <f>IFERROR(__xludf.DUMMYFUNCTION("GOOGLETRANSLATE(C159,""fr"",""en"")"),"Very good for the moment and I am satisfied and in this case certainly another vehicle to be insured at home.
Sincerely, wishing you a good day")</f>
        <v>Very good for the moment and I am satisfied and in this case certainly another vehicle to be insured at home.
Sincerely, wishing you a good day</v>
      </c>
    </row>
    <row r="160" ht="15.75" customHeight="1">
      <c r="A160" s="2">
        <v>2.0</v>
      </c>
      <c r="B160" s="2" t="s">
        <v>560</v>
      </c>
      <c r="C160" s="2" t="s">
        <v>561</v>
      </c>
      <c r="D160" s="2" t="s">
        <v>188</v>
      </c>
      <c r="E160" s="2" t="s">
        <v>14</v>
      </c>
      <c r="F160" s="2" t="s">
        <v>15</v>
      </c>
      <c r="G160" s="2" t="s">
        <v>562</v>
      </c>
      <c r="H160" s="2" t="s">
        <v>136</v>
      </c>
      <c r="I160" s="2" t="str">
        <f>IFERROR(__xludf.DUMMYFUNCTION("GOOGLETRANSLATE(C160,""fr"",""en"")"),"In case of divorce it is the cat !!!
The contracts are created with the names of a single person (the official) and the spouse is just a ""sub-client"".
After a stormy divorce procedure, my ex simply erased me from the contracts and the GMF refuses me t"&amp;"he delivery of an information statement without its authorization (which it obviously refuses) ... a real nightmare!
And yet I was appointed as the main driver of the vehicle.")</f>
        <v>In case of divorce it is the cat !!!
The contracts are created with the names of a single person (the official) and the spouse is just a "sub-client".
After a stormy divorce procedure, my ex simply erased me from the contracts and the GMF refuses me the delivery of an information statement without its authorization (which it obviously refuses) ... a real nightmare!
And yet I was appointed as the main driver of the vehicle.</v>
      </c>
    </row>
    <row r="161" ht="15.75" customHeight="1">
      <c r="A161" s="2">
        <v>1.0</v>
      </c>
      <c r="B161" s="2" t="s">
        <v>563</v>
      </c>
      <c r="C161" s="2" t="s">
        <v>564</v>
      </c>
      <c r="D161" s="2" t="s">
        <v>338</v>
      </c>
      <c r="E161" s="2" t="s">
        <v>14</v>
      </c>
      <c r="F161" s="2" t="s">
        <v>15</v>
      </c>
      <c r="G161" s="2" t="s">
        <v>565</v>
      </c>
      <c r="H161" s="2" t="s">
        <v>566</v>
      </c>
      <c r="I161" s="2" t="str">
        <f>IFERROR(__xludf.DUMMYFUNCTION("GOOGLETRANSLATE(C161,""fr"",""en"")"),"These are several me that I am insured with them. I just changed my vehicle so I ask for an insurance transfer and I am told that it is impossible etc ... While it is well indicated on the site that they make endorsements. In addition to that I have never"&amp;" received the green card and I have been at home for several months. A lost customer and court management.")</f>
        <v>These are several me that I am insured with them. I just changed my vehicle so I ask for an insurance transfer and I am told that it is impossible etc ... While it is well indicated on the site that they make endorsements. In addition to that I have never received the green card and I have been at home for several months. A lost customer and court management.</v>
      </c>
    </row>
    <row r="162" ht="15.75" customHeight="1">
      <c r="A162" s="2">
        <v>5.0</v>
      </c>
      <c r="B162" s="2" t="s">
        <v>567</v>
      </c>
      <c r="C162" s="2" t="s">
        <v>568</v>
      </c>
      <c r="D162" s="2" t="s">
        <v>26</v>
      </c>
      <c r="E162" s="2" t="s">
        <v>14</v>
      </c>
      <c r="F162" s="2" t="s">
        <v>15</v>
      </c>
      <c r="G162" s="2" t="s">
        <v>398</v>
      </c>
      <c r="H162" s="2" t="s">
        <v>28</v>
      </c>
      <c r="I162" s="2" t="str">
        <f>IFERROR(__xludf.DUMMYFUNCTION("GOOGLETRANSLATE(C162,""fr"",""en"")"),"I am satisfied with the prices, it is quite simple to understand and fill. Fast and efficient, good understanding of the guidelines to follow, I recommend")</f>
        <v>I am satisfied with the prices, it is quite simple to understand and fill. Fast and efficient, good understanding of the guidelines to follow, I recommend</v>
      </c>
    </row>
    <row r="163" ht="15.75" customHeight="1">
      <c r="A163" s="2">
        <v>1.0</v>
      </c>
      <c r="B163" s="2" t="s">
        <v>569</v>
      </c>
      <c r="C163" s="2" t="s">
        <v>570</v>
      </c>
      <c r="D163" s="2" t="s">
        <v>571</v>
      </c>
      <c r="E163" s="2" t="s">
        <v>21</v>
      </c>
      <c r="F163" s="2" t="s">
        <v>15</v>
      </c>
      <c r="G163" s="2" t="s">
        <v>572</v>
      </c>
      <c r="H163" s="2" t="s">
        <v>208</v>
      </c>
      <c r="I163" s="2" t="str">
        <f>IFERROR(__xludf.DUMMYFUNCTION("GOOGLETRANSLATE(C163,""fr"",""en"")"),"I hadn't had any worries in the years spent for the overcomplety. There, impossible to reach them for 1 week. No answers on the phone, we may select the option they remind us, that slab. No email response to find out if they have received my refund reques"&amp;"t. Given the comments I'm afraid.")</f>
        <v>I hadn't had any worries in the years spent for the overcomplety. There, impossible to reach them for 1 week. No answers on the phone, we may select the option they remind us, that slab. No email response to find out if they have received my refund request. Given the comments I'm afraid.</v>
      </c>
    </row>
    <row r="164" ht="15.75" customHeight="1">
      <c r="A164" s="2">
        <v>5.0</v>
      </c>
      <c r="B164" s="2" t="s">
        <v>573</v>
      </c>
      <c r="C164" s="2" t="s">
        <v>574</v>
      </c>
      <c r="D164" s="2" t="s">
        <v>37</v>
      </c>
      <c r="E164" s="2" t="s">
        <v>38</v>
      </c>
      <c r="F164" s="2" t="s">
        <v>15</v>
      </c>
      <c r="G164" s="2" t="s">
        <v>263</v>
      </c>
      <c r="H164" s="2" t="s">
        <v>81</v>
      </c>
      <c r="I164" s="2" t="str">
        <f>IFERROR(__xludf.DUMMYFUNCTION("GOOGLETRANSLATE(C164,""fr"",""en"")"),"The different formulas and prices are attractive.
The possibility of subscribing for a collector vehicle.
The simplicity of subscribing remotely.
")</f>
        <v>The different formulas and prices are attractive.
The possibility of subscribing for a collector vehicle.
The simplicity of subscribing remotely.
</v>
      </c>
    </row>
    <row r="165" ht="15.75" customHeight="1">
      <c r="A165" s="2">
        <v>3.0</v>
      </c>
      <c r="B165" s="2" t="s">
        <v>575</v>
      </c>
      <c r="C165" s="2" t="s">
        <v>576</v>
      </c>
      <c r="D165" s="2" t="s">
        <v>57</v>
      </c>
      <c r="E165" s="2" t="s">
        <v>14</v>
      </c>
      <c r="F165" s="2" t="s">
        <v>15</v>
      </c>
      <c r="G165" s="2" t="s">
        <v>502</v>
      </c>
      <c r="H165" s="2" t="s">
        <v>122</v>
      </c>
      <c r="I165" s="2" t="str">
        <f>IFERROR(__xludf.DUMMYFUNCTION("GOOGLETRANSLATE(C165,""fr"",""en"")"),"Imposing the signing of a direct debit mandate while paying by CB is an abuse, this is a collection of information from which you do not have to know. The mandate will be revoked upon registration by the bank.")</f>
        <v>Imposing the signing of a direct debit mandate while paying by CB is an abuse, this is a collection of information from which you do not have to know. The mandate will be revoked upon registration by the bank.</v>
      </c>
    </row>
    <row r="166" ht="15.75" customHeight="1">
      <c r="A166" s="2">
        <v>2.0</v>
      </c>
      <c r="B166" s="2" t="s">
        <v>577</v>
      </c>
      <c r="C166" s="2" t="s">
        <v>578</v>
      </c>
      <c r="D166" s="2" t="s">
        <v>42</v>
      </c>
      <c r="E166" s="2" t="s">
        <v>14</v>
      </c>
      <c r="F166" s="2" t="s">
        <v>15</v>
      </c>
      <c r="G166" s="2" t="s">
        <v>579</v>
      </c>
      <c r="H166" s="2" t="s">
        <v>208</v>
      </c>
      <c r="I166" s="2" t="str">
        <f>IFERROR(__xludf.DUMMYFUNCTION("GOOGLETRANSLATE(C166,""fr"",""en"")"),"In case of calamity. No following
Several interlocutors. Do not recall. It has been a validation for the replacement of a toit ice cream for 3 weeks.
Unfortunately this is not a unique case since it took 7 months to be reimbursed for the replacement of "&amp;"a rear view mirror. I specify that I am assured of all risks.")</f>
        <v>In case of calamity. No following
Several interlocutors. Do not recall. It has been a validation for the replacement of a toit ice cream for 3 weeks.
Unfortunately this is not a unique case since it took 7 months to be reimbursed for the replacement of a rear view mirror. I specify that I am assured of all risks.</v>
      </c>
    </row>
    <row r="167" ht="15.75" customHeight="1">
      <c r="A167" s="2">
        <v>2.0</v>
      </c>
      <c r="B167" s="2" t="s">
        <v>580</v>
      </c>
      <c r="C167" s="2" t="s">
        <v>581</v>
      </c>
      <c r="D167" s="2" t="s">
        <v>262</v>
      </c>
      <c r="E167" s="2" t="s">
        <v>14</v>
      </c>
      <c r="F167" s="2" t="s">
        <v>15</v>
      </c>
      <c r="G167" s="2" t="s">
        <v>582</v>
      </c>
      <c r="H167" s="2" t="s">
        <v>583</v>
      </c>
      <c r="I167" s="2" t="str">
        <f>IFERROR(__xludf.DUMMYFUNCTION("GOOGLETRANSLATE(C167,""fr"",""en"")"),"Customer Service Complaints incompetent either they do not know how to read either they expressly do not understand, if you ask the question ""Your intervention is legal"" it is impossible to receive an answer after 2 requests, that hides this non-answer "&amp;"?? ??")</f>
        <v>Customer Service Complaints incompetent either they do not know how to read either they expressly do not understand, if you ask the question "Your intervention is legal" it is impossible to receive an answer after 2 requests, that hides this non-answer ?? ??</v>
      </c>
    </row>
    <row r="168" ht="15.75" customHeight="1">
      <c r="A168" s="2">
        <v>5.0</v>
      </c>
      <c r="B168" s="2" t="s">
        <v>584</v>
      </c>
      <c r="C168" s="2" t="s">
        <v>585</v>
      </c>
      <c r="D168" s="2" t="s">
        <v>57</v>
      </c>
      <c r="E168" s="2" t="s">
        <v>14</v>
      </c>
      <c r="F168" s="2" t="s">
        <v>15</v>
      </c>
      <c r="G168" s="2" t="s">
        <v>586</v>
      </c>
      <c r="H168" s="2" t="s">
        <v>90</v>
      </c>
      <c r="I168" s="2" t="str">
        <f>IFERROR(__xludf.DUMMYFUNCTION("GOOGLETRANSLATE(C168,""fr"",""en"")"),"I am satisfied with this effective service.
Quick and easy signature, after having traveled the documents to sign. Password reception was effective")</f>
        <v>I am satisfied with this effective service.
Quick and easy signature, after having traveled the documents to sign. Password reception was effective</v>
      </c>
    </row>
    <row r="169" ht="15.75" customHeight="1">
      <c r="A169" s="2">
        <v>3.0</v>
      </c>
      <c r="B169" s="2" t="s">
        <v>587</v>
      </c>
      <c r="C169" s="2" t="s">
        <v>588</v>
      </c>
      <c r="D169" s="2" t="s">
        <v>26</v>
      </c>
      <c r="E169" s="2" t="s">
        <v>14</v>
      </c>
      <c r="F169" s="2" t="s">
        <v>15</v>
      </c>
      <c r="G169" s="2" t="s">
        <v>589</v>
      </c>
      <c r="H169" s="2" t="s">
        <v>452</v>
      </c>
      <c r="I169" s="2" t="str">
        <f>IFERROR(__xludf.DUMMYFUNCTION("GOOGLETRANSLATE(C169,""fr"",""en"")"),"Ok to see there following .... I know nothing we'll see. It is the cheapest and with an additional option are expensive. € 10 per month for a loan vehicle, and 0km insurance")</f>
        <v>Ok to see there following .... I know nothing we'll see. It is the cheapest and with an additional option are expensive. € 10 per month for a loan vehicle, and 0km insurance</v>
      </c>
    </row>
    <row r="170" ht="15.75" customHeight="1">
      <c r="A170" s="2">
        <v>1.0</v>
      </c>
      <c r="B170" s="2" t="s">
        <v>590</v>
      </c>
      <c r="C170" s="2" t="s">
        <v>591</v>
      </c>
      <c r="D170" s="2" t="s">
        <v>250</v>
      </c>
      <c r="E170" s="2" t="s">
        <v>21</v>
      </c>
      <c r="F170" s="2" t="s">
        <v>15</v>
      </c>
      <c r="G170" s="2" t="s">
        <v>592</v>
      </c>
      <c r="H170" s="2" t="s">
        <v>593</v>
      </c>
      <c r="I170" s="2" t="str">
        <f>IFERROR(__xludf.DUMMYFUNCTION("GOOGLETRANSLATE(C170,""fr"",""en"")"),"I have subscribed to a contract on December 12, to date I still have no mutual card and the mutual has not yet connected to my Améli account, I am forced to advance the money each time I am tired of relaunching each time without ever an answer either by e"&amp;"mail or by phone, the best is that the advisor tells me that I was going to pay 17.53 euros and to my surprise it is 22.25 euros who are taken I regret having taken harmony, think before getting involved.")</f>
        <v>I have subscribed to a contract on December 12, to date I still have no mutual card and the mutual has not yet connected to my Améli account, I am forced to advance the money each time I am tired of relaunching each time without ever an answer either by email or by phone, the best is that the advisor tells me that I was going to pay 17.53 euros and to my surprise it is 22.25 euros who are taken I regret having taken harmony, think before getting involved.</v>
      </c>
    </row>
    <row r="171" ht="15.75" customHeight="1">
      <c r="A171" s="2">
        <v>1.0</v>
      </c>
      <c r="B171" s="2" t="s">
        <v>594</v>
      </c>
      <c r="C171" s="2" t="s">
        <v>595</v>
      </c>
      <c r="D171" s="2" t="s">
        <v>298</v>
      </c>
      <c r="E171" s="2" t="s">
        <v>38</v>
      </c>
      <c r="F171" s="2" t="s">
        <v>15</v>
      </c>
      <c r="G171" s="2" t="s">
        <v>596</v>
      </c>
      <c r="H171" s="2" t="s">
        <v>157</v>
      </c>
      <c r="I171" s="2" t="str">
        <f>IFERROR(__xludf.DUMMYFUNCTION("GOOGLETRANSLATE(C171,""fr"",""en"")"),"They refused to pay my damage following a serious accident, while I had subscribed to the body driver. supposedly because it was in work trip, but I was insured work/leisure route")</f>
        <v>They refused to pay my damage following a serious accident, while I had subscribed to the body driver. supposedly because it was in work trip, but I was insured work/leisure route</v>
      </c>
    </row>
    <row r="172" ht="15.75" customHeight="1">
      <c r="A172" s="2">
        <v>4.0</v>
      </c>
      <c r="B172" s="2" t="s">
        <v>597</v>
      </c>
      <c r="C172" s="2" t="s">
        <v>598</v>
      </c>
      <c r="D172" s="2" t="s">
        <v>57</v>
      </c>
      <c r="E172" s="2" t="s">
        <v>14</v>
      </c>
      <c r="F172" s="2" t="s">
        <v>15</v>
      </c>
      <c r="G172" s="2" t="s">
        <v>80</v>
      </c>
      <c r="H172" s="2" t="s">
        <v>81</v>
      </c>
      <c r="I172" s="2" t="str">
        <f>IFERROR(__xludf.DUMMYFUNCTION("GOOGLETRANSLATE(C172,""fr"",""en"")"),"I am satisfied with the speed of execution of my request. The price seems a little expensive, but for the need it remains acceptable. I'm waiting for what's next...")</f>
        <v>I am satisfied with the speed of execution of my request. The price seems a little expensive, but for the need it remains acceptable. I'm waiting for what's next...</v>
      </c>
    </row>
    <row r="173" ht="15.75" customHeight="1">
      <c r="A173" s="2">
        <v>4.0</v>
      </c>
      <c r="B173" s="2" t="s">
        <v>599</v>
      </c>
      <c r="C173" s="2" t="s">
        <v>600</v>
      </c>
      <c r="D173" s="2" t="s">
        <v>26</v>
      </c>
      <c r="E173" s="2" t="s">
        <v>14</v>
      </c>
      <c r="F173" s="2" t="s">
        <v>15</v>
      </c>
      <c r="G173" s="2" t="s">
        <v>81</v>
      </c>
      <c r="H173" s="2" t="s">
        <v>81</v>
      </c>
      <c r="I173" s="2" t="str">
        <f>IFERROR(__xludf.DUMMYFUNCTION("GOOGLETRANSLATE(C173,""fr"",""en"")"),"I loved paying my mobile car insurance thanks to Direct Insurance. The site is easy to use, the prices are standard, in short it is really good.")</f>
        <v>I loved paying my mobile car insurance thanks to Direct Insurance. The site is easy to use, the prices are standard, in short it is really good.</v>
      </c>
    </row>
    <row r="174" ht="15.75" customHeight="1">
      <c r="A174" s="2">
        <v>3.0</v>
      </c>
      <c r="B174" s="2" t="s">
        <v>601</v>
      </c>
      <c r="C174" s="2" t="s">
        <v>602</v>
      </c>
      <c r="D174" s="2" t="s">
        <v>26</v>
      </c>
      <c r="E174" s="2" t="s">
        <v>14</v>
      </c>
      <c r="F174" s="2" t="s">
        <v>15</v>
      </c>
      <c r="G174" s="2" t="s">
        <v>33</v>
      </c>
      <c r="H174" s="2" t="s">
        <v>34</v>
      </c>
      <c r="I174" s="2" t="str">
        <f>IFERROR(__xludf.DUMMYFUNCTION("GOOGLETRANSLATE(C174,""fr"",""en"")"),"Very satisfied for speed.
I am very surprised to have been able to take out this contract online in a few minutes.
I hope Direct Assurances will respect everything that is written in the contract.")</f>
        <v>Very satisfied for speed.
I am very surprised to have been able to take out this contract online in a few minutes.
I hope Direct Assurances will respect everything that is written in the contract.</v>
      </c>
    </row>
    <row r="175" ht="15.75" customHeight="1">
      <c r="A175" s="2">
        <v>1.0</v>
      </c>
      <c r="B175" s="2" t="s">
        <v>603</v>
      </c>
      <c r="C175" s="2" t="s">
        <v>604</v>
      </c>
      <c r="D175" s="2" t="s">
        <v>69</v>
      </c>
      <c r="E175" s="2" t="s">
        <v>21</v>
      </c>
      <c r="F175" s="2" t="s">
        <v>15</v>
      </c>
      <c r="G175" s="2" t="s">
        <v>605</v>
      </c>
      <c r="H175" s="2" t="s">
        <v>482</v>
      </c>
      <c r="I175" s="2" t="str">
        <f>IFERROR(__xludf.DUMMYFUNCTION("GOOGLETRANSLATE(C175,""fr"",""en"")"),"Abominable. Do not read the positive messages below, it is Santiane who writes them. Null customer monitoring, wobbly reimbursement. TO FLEE !!!!")</f>
        <v>Abominable. Do not read the positive messages below, it is Santiane who writes them. Null customer monitoring, wobbly reimbursement. TO FLEE !!!!</v>
      </c>
    </row>
    <row r="176" ht="15.75" customHeight="1">
      <c r="A176" s="2">
        <v>3.0</v>
      </c>
      <c r="B176" s="2" t="s">
        <v>606</v>
      </c>
      <c r="C176" s="2" t="s">
        <v>607</v>
      </c>
      <c r="D176" s="2" t="s">
        <v>26</v>
      </c>
      <c r="E176" s="2" t="s">
        <v>14</v>
      </c>
      <c r="F176" s="2" t="s">
        <v>15</v>
      </c>
      <c r="G176" s="2" t="s">
        <v>608</v>
      </c>
      <c r="H176" s="2" t="s">
        <v>45</v>
      </c>
      <c r="I176" s="2" t="str">
        <f>IFERROR(__xludf.DUMMYFUNCTION("GOOGLETRANSLATE(C176,""fr"",""en"")"),"Hello. After a few peaceful months, Direct Insurance took a huge amount without any explanation. After many unsuccessful, even unnecessary telephone discussions, had to oppose their samples.
It hasn't changed anything. So we had to write a recommended to"&amp;" try to chat with the seat. The gentleman in charge of our file responded favorably, however the actions then carried out were far from what had been promised by phone. After many months of battle, I finally pay to see my contracts terminated. Impossible "&amp;"to reach the headquarters other than by mail. Very disappointed, it cost me very expensive, and today I even struggle to recover my information statement.")</f>
        <v>Hello. After a few peaceful months, Direct Insurance took a huge amount without any explanation. After many unsuccessful, even unnecessary telephone discussions, had to oppose their samples.
It hasn't changed anything. So we had to write a recommended to try to chat with the seat. The gentleman in charge of our file responded favorably, however the actions then carried out were far from what had been promised by phone. After many months of battle, I finally pay to see my contracts terminated. Impossible to reach the headquarters other than by mail. Very disappointed, it cost me very expensive, and today I even struggle to recover my information statement.</v>
      </c>
    </row>
    <row r="177" ht="15.75" customHeight="1">
      <c r="A177" s="2">
        <v>1.0</v>
      </c>
      <c r="B177" s="2" t="s">
        <v>609</v>
      </c>
      <c r="C177" s="2" t="s">
        <v>610</v>
      </c>
      <c r="D177" s="2" t="s">
        <v>181</v>
      </c>
      <c r="E177" s="2" t="s">
        <v>32</v>
      </c>
      <c r="F177" s="2" t="s">
        <v>15</v>
      </c>
      <c r="G177" s="2" t="s">
        <v>611</v>
      </c>
      <c r="H177" s="2" t="s">
        <v>111</v>
      </c>
      <c r="I177" s="2" t="str">
        <f>IFERROR(__xludf.DUMMYFUNCTION("GOOGLETRANSLATE(C177,""fr"",""en"")"),"Hello in accident since 29-08-2019 The Calvary continues despite my perseverance and my good time between administrative time, the wait on the phone the balotage between the services ....
Beginning of February I receive a payment of 2 monthly payment I f"&amp;"inally said to myself the end of the tunnel ... At the beginning of March having received nothing I call them and I am told that the pays have been blocked since January 30 .. and that I will Receive a letter in 3.4 days to meet an expert? of good times I"&amp;" say to myself ok I receive the mail and I see the date of May 3 .. for an appointment .... I call April and requests it a manager that I am not going on and tells me that he will Recall quickly .... I'm still waiting: p
How gave an opinion on trauma 3 m"&amp;"onths later ...? I go from physiotherapy 3 times a week (operation of the right hand reduction of the 1st stored of carp and scaphoid quite heavy operation I am right -handed)
 I hope my situation will enlighten this insurance")</f>
        <v>Hello in accident since 29-08-2019 The Calvary continues despite my perseverance and my good time between administrative time, the wait on the phone the balotage between the services ....
Beginning of February I receive a payment of 2 monthly payment I finally said to myself the end of the tunnel ... At the beginning of March having received nothing I call them and I am told that the pays have been blocked since January 30 .. and that I will Receive a letter in 3.4 days to meet an expert? of good times I say to myself ok I receive the mail and I see the date of May 3 .. for an appointment .... I call April and requests it a manager that I am not going on and tells me that he will Recall quickly .... I'm still waiting: p
How gave an opinion on trauma 3 months later ...? I go from physiotherapy 3 times a week (operation of the right hand reduction of the 1st stored of carp and scaphoid quite heavy operation I am right -handed)
 I hope my situation will enlighten this insurance</v>
      </c>
    </row>
    <row r="178" ht="15.75" customHeight="1">
      <c r="A178" s="2">
        <v>5.0</v>
      </c>
      <c r="B178" s="2" t="s">
        <v>612</v>
      </c>
      <c r="C178" s="2" t="s">
        <v>613</v>
      </c>
      <c r="D178" s="2" t="s">
        <v>26</v>
      </c>
      <c r="E178" s="2" t="s">
        <v>14</v>
      </c>
      <c r="F178" s="2" t="s">
        <v>15</v>
      </c>
      <c r="G178" s="2" t="s">
        <v>614</v>
      </c>
      <c r="H178" s="2" t="s">
        <v>90</v>
      </c>
      <c r="I178" s="2" t="str">
        <f>IFERROR(__xludf.DUMMYFUNCTION("GOOGLETRANSLATE(C178,""fr"",""en"")"),"Very satisfied with your prices and your amabit as such or by message well cordially Mr Mrs POUCHET Jean Pierre
 Le Mas Blanc 15 rue de la Valmanya le Boulou 66160")</f>
        <v>Very satisfied with your prices and your amabit as such or by message well cordially Mr Mrs POUCHET Jean Pierre
 Le Mas Blanc 15 rue de la Valmanya le Boulou 66160</v>
      </c>
    </row>
    <row r="179" ht="15.75" customHeight="1">
      <c r="A179" s="2">
        <v>1.0</v>
      </c>
      <c r="B179" s="2" t="s">
        <v>615</v>
      </c>
      <c r="C179" s="2" t="s">
        <v>616</v>
      </c>
      <c r="D179" s="2" t="s">
        <v>42</v>
      </c>
      <c r="E179" s="2" t="s">
        <v>109</v>
      </c>
      <c r="F179" s="2" t="s">
        <v>15</v>
      </c>
      <c r="G179" s="2" t="s">
        <v>617</v>
      </c>
      <c r="H179" s="2" t="s">
        <v>136</v>
      </c>
      <c r="I179" s="2" t="str">
        <f>IFERROR(__xludf.DUMMYFUNCTION("GOOGLETRANSLATE(C179,""fr"",""en"")"),"Too bad I cannot note 0")</f>
        <v>Too bad I cannot note 0</v>
      </c>
    </row>
    <row r="180" ht="15.75" customHeight="1">
      <c r="A180" s="2">
        <v>5.0</v>
      </c>
      <c r="B180" s="2" t="s">
        <v>618</v>
      </c>
      <c r="C180" s="2" t="s">
        <v>619</v>
      </c>
      <c r="D180" s="2" t="s">
        <v>26</v>
      </c>
      <c r="E180" s="2" t="s">
        <v>14</v>
      </c>
      <c r="F180" s="2" t="s">
        <v>15</v>
      </c>
      <c r="G180" s="2" t="s">
        <v>429</v>
      </c>
      <c r="H180" s="2" t="s">
        <v>34</v>
      </c>
      <c r="I180" s="2" t="str">
        <f>IFERROR(__xludf.DUMMYFUNCTION("GOOGLETRANSLATE(C180,""fr"",""en"")"),"Better Options /Price report insurance proposal for a high -end car.
I have been in a bonus 50%, no claim for at least 5 years.
It remains to be seen the quality of service in the event of a claim!
")</f>
        <v>Better Options /Price report insurance proposal for a high -end car.
I have been in a bonus 50%, no claim for at least 5 years.
It remains to be seen the quality of service in the event of a claim!
</v>
      </c>
    </row>
    <row r="181" ht="15.75" customHeight="1">
      <c r="A181" s="2">
        <v>1.0</v>
      </c>
      <c r="B181" s="2" t="s">
        <v>620</v>
      </c>
      <c r="C181" s="2" t="s">
        <v>621</v>
      </c>
      <c r="D181" s="2" t="s">
        <v>103</v>
      </c>
      <c r="E181" s="2" t="s">
        <v>14</v>
      </c>
      <c r="F181" s="2" t="s">
        <v>15</v>
      </c>
      <c r="G181" s="2" t="s">
        <v>622</v>
      </c>
      <c r="H181" s="2" t="s">
        <v>452</v>
      </c>
      <c r="I181" s="2" t="str">
        <f>IFERROR(__xludf.DUMMYFUNCTION("GOOGLETRANSLATE(C181,""fr"",""en"")"),"If I could put 0, I would put 0, increase in my subscription when I had no claims !!! And for termination ... they recover everything they have to recover !!! Between subscription and termination, 3 different versions. Thank you for your incompetence !!!")</f>
        <v>If I could put 0, I would put 0, increase in my subscription when I had no claims !!! And for termination ... they recover everything they have to recover !!! Between subscription and termination, 3 different versions. Thank you for your incompetence !!!</v>
      </c>
    </row>
    <row r="182" ht="15.75" customHeight="1">
      <c r="A182" s="2">
        <v>2.0</v>
      </c>
      <c r="B182" s="2" t="s">
        <v>623</v>
      </c>
      <c r="C182" s="2" t="s">
        <v>624</v>
      </c>
      <c r="D182" s="2" t="s">
        <v>26</v>
      </c>
      <c r="E182" s="2" t="s">
        <v>14</v>
      </c>
      <c r="F182" s="2" t="s">
        <v>15</v>
      </c>
      <c r="G182" s="2" t="s">
        <v>625</v>
      </c>
      <c r="H182" s="2" t="s">
        <v>452</v>
      </c>
      <c r="I182" s="2" t="str">
        <f>IFERROR(__xludf.DUMMYFUNCTION("GOOGLETRANSLATE(C182,""fr"",""en"")"),"The annual price is more expensive by not passing my customer area with the multidays offer by passing through the site Les Furets.com with the same guarantees.")</f>
        <v>The annual price is more expensive by not passing my customer area with the multidays offer by passing through the site Les Furets.com with the same guarantees.</v>
      </c>
    </row>
    <row r="183" ht="15.75" customHeight="1">
      <c r="A183" s="2">
        <v>1.0</v>
      </c>
      <c r="B183" s="2" t="s">
        <v>626</v>
      </c>
      <c r="C183" s="2" t="s">
        <v>627</v>
      </c>
      <c r="D183" s="2" t="s">
        <v>262</v>
      </c>
      <c r="E183" s="2" t="s">
        <v>628</v>
      </c>
      <c r="F183" s="2" t="s">
        <v>15</v>
      </c>
      <c r="G183" s="2" t="s">
        <v>629</v>
      </c>
      <c r="H183" s="2" t="s">
        <v>63</v>
      </c>
      <c r="I183" s="2" t="str">
        <f>IFERROR(__xludf.DUMMYFUNCTION("GOOGLETRANSLATE(C183,""fr"",""en"")"),"You are insured with Banque Populaire Rive de Paris. Following disaster in my business still not compensated for several months and especially he is looking for pretexts not to pay despite that I provide all the guarantees be careful and are not at all re"&amp;"liable")</f>
        <v>You are insured with Banque Populaire Rive de Paris. Following disaster in my business still not compensated for several months and especially he is looking for pretexts not to pay despite that I provide all the guarantees be careful and are not at all reliable</v>
      </c>
    </row>
    <row r="184" ht="15.75" customHeight="1">
      <c r="A184" s="2">
        <v>1.0</v>
      </c>
      <c r="B184" s="2" t="s">
        <v>630</v>
      </c>
      <c r="C184" s="2" t="s">
        <v>631</v>
      </c>
      <c r="D184" s="2" t="s">
        <v>42</v>
      </c>
      <c r="E184" s="2" t="s">
        <v>14</v>
      </c>
      <c r="F184" s="2" t="s">
        <v>15</v>
      </c>
      <c r="G184" s="2" t="s">
        <v>632</v>
      </c>
      <c r="H184" s="2" t="s">
        <v>74</v>
      </c>
      <c r="I184" s="2" t="str">
        <f>IFERROR(__xludf.DUMMYFUNCTION("GOOGLETRANSLATE(C184,""fr"",""en"")"),"Allianz car insurance is to be avoided. Incompetent, unpleasant personnel, not wanting to examine my evidence of non -responsibility 100% following an accident with my car despite a video and stops on images extracted from my dashcam, which are irrefutabl"&amp;"e. Also I mentioned an article in the Highway Code which they absolutely do not want to hear about (article R415-1) which would have allowed a non-responsibility at 100% but 1 responsibility at least 50% if they had taken the struggle to read it. I made m"&amp;"y request to the complaint service that walks me. I have the number 978023 which turned into 20215001726. I put 0 on 20 on this insurance which preferred to pay 6000 euros to repair my car and that of my opponent rather than paying 3000 euros by declaring"&amp;" me and my famous opponent responsible 50%. I brought them the evidence on a silver set but they do not want to hear anything. Stubbornness or incompetence or both at the same time?
In addition to topping everything, one of the staff members advised me"&amp;" to return to school and to ask for my termination because I dared to contradict them about my questioning of my responsibility. Is this a way to treat customers? This insurance is to be flee. It is better to pay more and go and ensure your car elsewhere.")</f>
        <v>Allianz car insurance is to be avoided. Incompetent, unpleasant personnel, not wanting to examine my evidence of non -responsibility 100% following an accident with my car despite a video and stops on images extracted from my dashcam, which are irrefutable. Also I mentioned an article in the Highway Code which they absolutely do not want to hear about (article R415-1) which would have allowed a non-responsibility at 100% but 1 responsibility at least 50% if they had taken the struggle to read it. I made my request to the complaint service that walks me. I have the number 978023 which turned into 20215001726. I put 0 on 20 on this insurance which preferred to pay 6000 euros to repair my car and that of my opponent rather than paying 3000 euros by declaring me and my famous opponent responsible 50%. I brought them the evidence on a silver set but they do not want to hear anything. Stubbornness or incompetence or both at the same time?
In addition to topping everything, one of the staff members advised me to return to school and to ask for my termination because I dared to contradict them about my questioning of my responsibility. Is this a way to treat customers? This insurance is to be flee. It is better to pay more and go and ensure your car elsewhere.</v>
      </c>
    </row>
    <row r="185" ht="15.75" customHeight="1">
      <c r="A185" s="2">
        <v>1.0</v>
      </c>
      <c r="B185" s="2" t="s">
        <v>633</v>
      </c>
      <c r="C185" s="2" t="s">
        <v>634</v>
      </c>
      <c r="D185" s="2" t="s">
        <v>26</v>
      </c>
      <c r="E185" s="2" t="s">
        <v>14</v>
      </c>
      <c r="F185" s="2" t="s">
        <v>15</v>
      </c>
      <c r="G185" s="2" t="s">
        <v>635</v>
      </c>
      <c r="H185" s="2" t="s">
        <v>140</v>
      </c>
      <c r="I185" s="2" t="str">
        <f>IFERROR(__xludf.DUMMYFUNCTION("GOOGLETRANSLATE(C185,""fr"",""en"")"),"A hanging by the price has the subscription and slowly, from 5 to 10,% increase per year the prices are doubled those on the market .... it is beautiful loyalty. Bien rewarded after 12 years We feel a little abused")</f>
        <v>A hanging by the price has the subscription and slowly, from 5 to 10,% increase per year the prices are doubled those on the market .... it is beautiful loyalty. Bien rewarded after 12 years We feel a little abused</v>
      </c>
    </row>
    <row r="186" ht="15.75" customHeight="1">
      <c r="A186" s="2">
        <v>1.0</v>
      </c>
      <c r="B186" s="2" t="s">
        <v>636</v>
      </c>
      <c r="C186" s="2" t="s">
        <v>637</v>
      </c>
      <c r="D186" s="2" t="s">
        <v>103</v>
      </c>
      <c r="E186" s="2" t="s">
        <v>104</v>
      </c>
      <c r="F186" s="2" t="s">
        <v>15</v>
      </c>
      <c r="G186" s="2" t="s">
        <v>638</v>
      </c>
      <c r="H186" s="2" t="s">
        <v>54</v>
      </c>
      <c r="I186" s="2" t="str">
        <f>IFERROR(__xludf.DUMMYFUNCTION("GOOGLETRANSLATE(C186,""fr"",""en"")"),"Public liability
My son wears removable prostheses in orthodontics. He can remove them when he wants.
We received a couple of friends, with their puppy.
This little beast has entered my son's room is chewed on the prostheses. They are of course dead "&amp;"!!!
It's been 20 months, that I am on the file with exchanges of documents and emails, telephone calls ect ect ...
So that the Macif who is my insurer tells me that there will be no possible appeal since the CPAM and my mutual have reimbursed the pros"&amp;"theses for the first time, it is normal since they are orthodontic care. They are there to lighten the costs and again it’s me who pays.
Suddenly, we redo the prostheses and I lose almost 500 euros, since that is in the number of quarters
It is an ins"&amp;"urance company that I absolutely do not recommend
Even when you are not at fault, it does not do the necessary to constitute files
")</f>
        <v>Public liability
My son wears removable prostheses in orthodontics. He can remove them when he wants.
We received a couple of friends, with their puppy.
This little beast has entered my son's room is chewed on the prostheses. They are of course dead !!!
It's been 20 months, that I am on the file with exchanges of documents and emails, telephone calls ect ect ...
So that the Macif who is my insurer tells me that there will be no possible appeal since the CPAM and my mutual have reimbursed the prostheses for the first time, it is normal since they are orthodontic care. They are there to lighten the costs and again it’s me who pays.
Suddenly, we redo the prostheses and I lose almost 500 euros, since that is in the number of quarters
It is an insurance company that I absolutely do not recommend
Even when you are not at fault, it does not do the necessary to constitute files
</v>
      </c>
    </row>
    <row r="187" ht="15.75" customHeight="1">
      <c r="A187" s="2">
        <v>5.0</v>
      </c>
      <c r="B187" s="2" t="s">
        <v>639</v>
      </c>
      <c r="C187" s="2" t="s">
        <v>640</v>
      </c>
      <c r="D187" s="2" t="s">
        <v>305</v>
      </c>
      <c r="E187" s="2" t="s">
        <v>38</v>
      </c>
      <c r="F187" s="2" t="s">
        <v>15</v>
      </c>
      <c r="G187" s="2" t="s">
        <v>641</v>
      </c>
      <c r="H187" s="2" t="s">
        <v>140</v>
      </c>
      <c r="I187" s="2" t="str">
        <f>IFERROR(__xludf.DUMMYFUNCTION("GOOGLETRANSLATE(C187,""fr"",""en"")"),"I am satisfied with the follow -up of the file for the subscription and the price which is reasonable to ensure the motorcycle. Online subscription is fast")</f>
        <v>I am satisfied with the follow -up of the file for the subscription and the price which is reasonable to ensure the motorcycle. Online subscription is fast</v>
      </c>
    </row>
    <row r="188" ht="15.75" customHeight="1">
      <c r="A188" s="2">
        <v>2.0</v>
      </c>
      <c r="B188" s="2" t="s">
        <v>642</v>
      </c>
      <c r="C188" s="2" t="s">
        <v>643</v>
      </c>
      <c r="D188" s="2" t="s">
        <v>188</v>
      </c>
      <c r="E188" s="2" t="s">
        <v>14</v>
      </c>
      <c r="F188" s="2" t="s">
        <v>15</v>
      </c>
      <c r="G188" s="2" t="s">
        <v>644</v>
      </c>
      <c r="H188" s="2" t="s">
        <v>166</v>
      </c>
      <c r="I188" s="2" t="str">
        <f>IFERROR(__xludf.DUMMYFUNCTION("GOOGLETRANSLATE(C188,""fr"",""en"")"),"I wanted to change car so modify my current contract at the GMF, of which I have been a member for at least 40 years. It should be noted that this is a vehicle of the same category. Proposal of more than 50% of my current subscription. It is then that I r"&amp;"ealize that I am forced by adding 2 contracts: a legal and an accidents of privacy by advancing arguments of extreme necessity if not obligation .... forced sale what !!!!!")</f>
        <v>I wanted to change car so modify my current contract at the GMF, of which I have been a member for at least 40 years. It should be noted that this is a vehicle of the same category. Proposal of more than 50% of my current subscription. It is then that I realize that I am forced by adding 2 contracts: a legal and an accidents of privacy by advancing arguments of extreme necessity if not obligation .... forced sale what !!!!!</v>
      </c>
    </row>
    <row r="189" ht="15.75" customHeight="1">
      <c r="A189" s="2">
        <v>5.0</v>
      </c>
      <c r="B189" s="2" t="s">
        <v>645</v>
      </c>
      <c r="C189" s="2" t="s">
        <v>646</v>
      </c>
      <c r="D189" s="2" t="s">
        <v>69</v>
      </c>
      <c r="E189" s="2" t="s">
        <v>21</v>
      </c>
      <c r="F189" s="2" t="s">
        <v>15</v>
      </c>
      <c r="G189" s="2" t="s">
        <v>398</v>
      </c>
      <c r="H189" s="2" t="s">
        <v>28</v>
      </c>
      <c r="I189" s="2" t="str">
        <f>IFERROR(__xludf.DUMMYFUNCTION("GOOGLETRANSLATE(C189,""fr"",""en"")"),"Emeline: friendly competent and very effective nothing to complain about. For the moment I have no criticism of formulating hope that this lasts as long as possible")</f>
        <v>Emeline: friendly competent and very effective nothing to complain about. For the moment I have no criticism of formulating hope that this lasts as long as possible</v>
      </c>
    </row>
    <row r="190" ht="15.75" customHeight="1">
      <c r="A190" s="2">
        <v>4.0</v>
      </c>
      <c r="B190" s="2" t="s">
        <v>647</v>
      </c>
      <c r="C190" s="2" t="s">
        <v>648</v>
      </c>
      <c r="D190" s="2" t="s">
        <v>26</v>
      </c>
      <c r="E190" s="2" t="s">
        <v>14</v>
      </c>
      <c r="F190" s="2" t="s">
        <v>15</v>
      </c>
      <c r="G190" s="2" t="s">
        <v>649</v>
      </c>
      <c r="H190" s="2" t="s">
        <v>74</v>
      </c>
      <c r="I190" s="2" t="str">
        <f>IFERROR(__xludf.DUMMYFUNCTION("GOOGLETRANSLATE(C190,""fr"",""en"")"),"I am satisfied, because the site is fluid and title. I was able to secure quickly. The only notable problem is that I was not offered a monthly payment")</f>
        <v>I am satisfied, because the site is fluid and title. I was able to secure quickly. The only notable problem is that I was not offered a monthly payment</v>
      </c>
    </row>
    <row r="191" ht="15.75" customHeight="1">
      <c r="A191" s="2">
        <v>1.0</v>
      </c>
      <c r="B191" s="2" t="s">
        <v>650</v>
      </c>
      <c r="C191" s="2" t="s">
        <v>651</v>
      </c>
      <c r="D191" s="2" t="s">
        <v>103</v>
      </c>
      <c r="E191" s="2" t="s">
        <v>14</v>
      </c>
      <c r="F191" s="2" t="s">
        <v>15</v>
      </c>
      <c r="G191" s="2" t="s">
        <v>652</v>
      </c>
      <c r="H191" s="2" t="s">
        <v>379</v>
      </c>
      <c r="I191" s="2" t="str">
        <f>IFERROR(__xludf.DUMMYFUNCTION("GOOGLETRANSLATE(C191,""fr"",""en"")"),"10 months ago, car accident with the person's flight offense (which made a against sense). We found the person. My car is economically non -repairable, gray card blocked. The Macif does not take care of our file, no compensation.
  ")</f>
        <v>10 months ago, car accident with the person's flight offense (which made a against sense). We found the person. My car is economically non -repairable, gray card blocked. The Macif does not take care of our file, no compensation.
  </v>
      </c>
    </row>
    <row r="192" ht="15.75" customHeight="1">
      <c r="A192" s="2">
        <v>3.0</v>
      </c>
      <c r="B192" s="2" t="s">
        <v>653</v>
      </c>
      <c r="C192" s="2" t="s">
        <v>654</v>
      </c>
      <c r="D192" s="2" t="s">
        <v>57</v>
      </c>
      <c r="E192" s="2" t="s">
        <v>14</v>
      </c>
      <c r="F192" s="2" t="s">
        <v>15</v>
      </c>
      <c r="G192" s="2" t="s">
        <v>655</v>
      </c>
      <c r="H192" s="2" t="s">
        <v>185</v>
      </c>
      <c r="I192" s="2" t="str">
        <f>IFERROR(__xludf.DUMMYFUNCTION("GOOGLETRANSLATE(C192,""fr"",""en"")"),"Pending the service provided during a disaster. After all, that's why we pay. A little text to put characters that is important.")</f>
        <v>Pending the service provided during a disaster. After all, that's why we pay. A little text to put characters that is important.</v>
      </c>
    </row>
    <row r="193" ht="15.75" customHeight="1">
      <c r="A193" s="2">
        <v>4.0</v>
      </c>
      <c r="B193" s="2" t="s">
        <v>656</v>
      </c>
      <c r="C193" s="2" t="s">
        <v>657</v>
      </c>
      <c r="D193" s="2" t="s">
        <v>69</v>
      </c>
      <c r="E193" s="2" t="s">
        <v>21</v>
      </c>
      <c r="F193" s="2" t="s">
        <v>15</v>
      </c>
      <c r="G193" s="2" t="s">
        <v>658</v>
      </c>
      <c r="H193" s="2" t="s">
        <v>379</v>
      </c>
      <c r="I193" s="2" t="str">
        <f>IFERROR(__xludf.DUMMYFUNCTION("GOOGLETRANSLATE(C193,""fr"",""en"")"),"I would like to thank Erika particularly for helping me solve my problem, I come back to you next year to my termination of my current mutual insurance contract.")</f>
        <v>I would like to thank Erika particularly for helping me solve my problem, I come back to you next year to my termination of my current mutual insurance contract.</v>
      </c>
    </row>
    <row r="194" ht="15.75" customHeight="1">
      <c r="A194" s="2">
        <v>4.0</v>
      </c>
      <c r="B194" s="2" t="s">
        <v>659</v>
      </c>
      <c r="C194" s="2" t="s">
        <v>660</v>
      </c>
      <c r="D194" s="2" t="s">
        <v>13</v>
      </c>
      <c r="E194" s="2" t="s">
        <v>104</v>
      </c>
      <c r="F194" s="2" t="s">
        <v>15</v>
      </c>
      <c r="G194" s="2" t="s">
        <v>661</v>
      </c>
      <c r="H194" s="2" t="s">
        <v>90</v>
      </c>
      <c r="I194" s="2" t="str">
        <f>IFERROR(__xludf.DUMMYFUNCTION("GOOGLETRANSLATE(C194,""fr"",""en"")"),"I have had no problem with this insurance in the past 10 years.
I only deplored recently that it yields management to Europe Assistance")</f>
        <v>I have had no problem with this insurance in the past 10 years.
I only deplored recently that it yields management to Europe Assistance</v>
      </c>
    </row>
    <row r="195" ht="15.75" customHeight="1">
      <c r="A195" s="2">
        <v>1.0</v>
      </c>
      <c r="B195" s="2" t="s">
        <v>662</v>
      </c>
      <c r="C195" s="2" t="s">
        <v>663</v>
      </c>
      <c r="D195" s="2" t="s">
        <v>57</v>
      </c>
      <c r="E195" s="2" t="s">
        <v>14</v>
      </c>
      <c r="F195" s="2" t="s">
        <v>15</v>
      </c>
      <c r="G195" s="2" t="s">
        <v>664</v>
      </c>
      <c r="H195" s="2" t="s">
        <v>201</v>
      </c>
      <c r="I195" s="2" t="str">
        <f>IFERROR(__xludf.DUMMYFUNCTION("GOOGLETRANSLATE(C195,""fr"",""en"")"),"Everything was going very well after 1 year of insurance at the olive tree. I paid € 464/year in any risk formula
I had a non -responsible disaster. Shock from the rear therefore recognized as such by insurance. On the anniversary of the contract I had t"&amp;"he unpleasant surprise to see the amount of my insurance double or 901 €/year.
I contact the insurance that tells me that it is like that at the olive tree: any responsible or non -responsible disaster impacts the annual rate. That is to say that the oli"&amp;"ve tree pays nothing compared to the claim since not responsible but in addition recovers more money on the back of its ""non -responsible"" client. In fact at the olive tree, you pay insurance that just gives you the right to drive but above all you shou"&amp;"ld not use it.
You will make your own analysis of my experience. I had my license in 87, and never a responsible accident.")</f>
        <v>Everything was going very well after 1 year of insurance at the olive tree. I paid € 464/year in any risk formula
I had a non -responsible disaster. Shock from the rear therefore recognized as such by insurance. On the anniversary of the contract I had the unpleasant surprise to see the amount of my insurance double or 901 €/year.
I contact the insurance that tells me that it is like that at the olive tree: any responsible or non -responsible disaster impacts the annual rate. That is to say that the olive tree pays nothing compared to the claim since not responsible but in addition recovers more money on the back of its "non -responsible" client. In fact at the olive tree, you pay insurance that just gives you the right to drive but above all you should not use it.
You will make your own analysis of my experience. I had my license in 87, and never a responsible accident.</v>
      </c>
    </row>
    <row r="196" ht="15.75" customHeight="1">
      <c r="A196" s="2">
        <v>2.0</v>
      </c>
      <c r="B196" s="2" t="s">
        <v>665</v>
      </c>
      <c r="C196" s="2" t="s">
        <v>666</v>
      </c>
      <c r="D196" s="2" t="s">
        <v>13</v>
      </c>
      <c r="E196" s="2" t="s">
        <v>14</v>
      </c>
      <c r="F196" s="2" t="s">
        <v>15</v>
      </c>
      <c r="G196" s="2" t="s">
        <v>667</v>
      </c>
      <c r="H196" s="2" t="s">
        <v>161</v>
      </c>
      <c r="I196" s="2" t="str">
        <f>IFERROR(__xludf.DUMMYFUNCTION("GOOGLETRANSLATE(C196,""fr"",""en"")"),"Here I am happy with the customer service, but I can find a little expensive I have called to warn that I had found less expensive but you could not align yourself, it's a shame I hesitate so to go to Another insurer is still a shame knowing that I paid 1"&amp;"25 euros my insurance with you every month")</f>
        <v>Here I am happy with the customer service, but I can find a little expensive I have called to warn that I had found less expensive but you could not align yourself, it's a shame I hesitate so to go to Another insurer is still a shame knowing that I paid 125 euros my insurance with you every month</v>
      </c>
    </row>
    <row r="197" ht="15.75" customHeight="1">
      <c r="A197" s="2">
        <v>5.0</v>
      </c>
      <c r="B197" s="2" t="s">
        <v>668</v>
      </c>
      <c r="C197" s="2" t="s">
        <v>669</v>
      </c>
      <c r="D197" s="2" t="s">
        <v>26</v>
      </c>
      <c r="E197" s="2" t="s">
        <v>14</v>
      </c>
      <c r="F197" s="2" t="s">
        <v>15</v>
      </c>
      <c r="G197" s="2" t="s">
        <v>670</v>
      </c>
      <c r="H197" s="2" t="s">
        <v>28</v>
      </c>
      <c r="I197" s="2" t="str">
        <f>IFERROR(__xludf.DUMMYFUNCTION("GOOGLETRANSLATE(C197,""fr"",""en"")"),"I am satisfied, I hope not to be disappointed with the guarantees in the event of a claim.
The entry of the file is simple and practical
I would probably recommend directory if necessary")</f>
        <v>I am satisfied, I hope not to be disappointed with the guarantees in the event of a claim.
The entry of the file is simple and practical
I would probably recommend directory if necessary</v>
      </c>
    </row>
    <row r="198" ht="15.75" customHeight="1">
      <c r="A198" s="2">
        <v>1.0</v>
      </c>
      <c r="B198" s="2" t="s">
        <v>671</v>
      </c>
      <c r="C198" s="2" t="s">
        <v>672</v>
      </c>
      <c r="D198" s="2" t="s">
        <v>20</v>
      </c>
      <c r="E198" s="2" t="s">
        <v>21</v>
      </c>
      <c r="F198" s="2" t="s">
        <v>15</v>
      </c>
      <c r="G198" s="2" t="s">
        <v>673</v>
      </c>
      <c r="H198" s="2" t="s">
        <v>201</v>
      </c>
      <c r="I198" s="2" t="str">
        <f>IFERROR(__xludf.DUMMYFUNCTION("GOOGLETRANSLATE(C198,""fr"",""en"")"),"Catastrophic. A problem with the mutual and no one to answer the phone. It is not impossible to contact them by email either. It is unacceptable. How do we do when we need it ???")</f>
        <v>Catastrophic. A problem with the mutual and no one to answer the phone. It is not impossible to contact them by email either. It is unacceptable. How do we do when we need it ???</v>
      </c>
    </row>
    <row r="199" ht="15.75" customHeight="1">
      <c r="A199" s="2">
        <v>3.0</v>
      </c>
      <c r="B199" s="2" t="s">
        <v>674</v>
      </c>
      <c r="C199" s="2" t="s">
        <v>675</v>
      </c>
      <c r="D199" s="2" t="s">
        <v>410</v>
      </c>
      <c r="E199" s="2" t="s">
        <v>104</v>
      </c>
      <c r="F199" s="2" t="s">
        <v>15</v>
      </c>
      <c r="G199" s="2" t="s">
        <v>676</v>
      </c>
      <c r="H199" s="2" t="s">
        <v>140</v>
      </c>
      <c r="I199" s="2" t="str">
        <f>IFERROR(__xludf.DUMMYFUNCTION("GOOGLETRANSLATE(C199,""fr"",""en"")"),"Home contract terminated by the Matmut following an episode of hail which damaged our home and unfortunately, a storm 1 month later which also caused damage! Two claims for which we are not responsible!
Matmut's values ​​and commitments (visible on the"&amp;"ir website) = ""Matmut, a company like no other ... Solidarity, because the Matmut carries in its genes solidarity"".
So actually following a difficult climatic situation in our region this year, the Matmut is ""united"" and resounds our contract.
C"&amp;"itizen enterprise?
I let you judge and make your choice for your next insurance")</f>
        <v>Home contract terminated by the Matmut following an episode of hail which damaged our home and unfortunately, a storm 1 month later which also caused damage! Two claims for which we are not responsible!
Matmut's values ​​and commitments (visible on their website) = "Matmut, a company like no other ... Solidarity, because the Matmut carries in its genes solidarity".
So actually following a difficult climatic situation in our region this year, the Matmut is "united" and resounds our contract.
Citizen enterprise?
I let you judge and make your choice for your next insurance</v>
      </c>
    </row>
    <row r="200" ht="15.75" customHeight="1">
      <c r="A200" s="2">
        <v>1.0</v>
      </c>
      <c r="B200" s="2" t="s">
        <v>677</v>
      </c>
      <c r="C200" s="2" t="s">
        <v>678</v>
      </c>
      <c r="D200" s="2" t="s">
        <v>53</v>
      </c>
      <c r="E200" s="2" t="s">
        <v>14</v>
      </c>
      <c r="F200" s="2" t="s">
        <v>15</v>
      </c>
      <c r="G200" s="2" t="s">
        <v>679</v>
      </c>
      <c r="H200" s="2" t="s">
        <v>312</v>
      </c>
      <c r="I200" s="2" t="str">
        <f>IFERROR(__xludf.DUMMYFUNCTION("GOOGLETRANSLATE(C200,""fr"",""en"")"),"The Maaf terminated my contract because 2 small claims and a breakdown in a year and a half while I have been with them for 4 years and I have never had a problem. To wonder why we are insured. The advisor undergoes that the fact of not having other produ"&amp;"cts at home was an additional argument. It's quite interesting ... what a bunch of incompetent.
I will make sure to advertise you that you deserve. And to encourage my family to terminate any contract of all kinds detained at the MAAF.
Best regards.")</f>
        <v>The Maaf terminated my contract because 2 small claims and a breakdown in a year and a half while I have been with them for 4 years and I have never had a problem. To wonder why we are insured. The advisor undergoes that the fact of not having other products at home was an additional argument. It's quite interesting ... what a bunch of incompetent.
I will make sure to advertise you that you deserve. And to encourage my family to terminate any contract of all kinds detained at the MAAF.
Best regards.</v>
      </c>
    </row>
    <row r="201" ht="15.75" customHeight="1">
      <c r="A201" s="2">
        <v>1.0</v>
      </c>
      <c r="B201" s="2" t="s">
        <v>680</v>
      </c>
      <c r="C201" s="2" t="s">
        <v>681</v>
      </c>
      <c r="D201" s="2" t="s">
        <v>164</v>
      </c>
      <c r="E201" s="2" t="s">
        <v>32</v>
      </c>
      <c r="F201" s="2" t="s">
        <v>15</v>
      </c>
      <c r="G201" s="2" t="s">
        <v>682</v>
      </c>
      <c r="H201" s="2" t="s">
        <v>343</v>
      </c>
      <c r="I201" s="2" t="str">
        <f>IFERROR(__xludf.DUMMYFUNCTION("GOOGLETRANSLATE(C201,""fr"",""en"")"),"Hello, I had a stadium 4 melanoma which left me heavy aftermath on my arms. At the end of 3 years I was put in disability at 100 percent in my socio -professional category. Put to -33 percent after passing through an expert who told me that insurance want"&amp;"s to know: is she able to gain further money I was completely guilty which made me cry and I lived this Expertise difficulty because I immediately felt that I had lost. I am waiting for my expert report but unfortunately the disability category 2 and loan"&amp;" repayment does not mix since you lost in advance it is the doctor insurance that puts the rate he wants. So gentlemen, insurers stipulate in your contracts that you will not pay invalidities 2 instead of making us pass by experts because when we have had"&amp;" cancer like me we just spent 3 years fighting in hospitals and you do us Shop something that is lost in advance. You should be ashamed !!!")</f>
        <v>Hello, I had a stadium 4 melanoma which left me heavy aftermath on my arms. At the end of 3 years I was put in disability at 100 percent in my socio -professional category. Put to -33 percent after passing through an expert who told me that insurance wants to know: is she able to gain further money I was completely guilty which made me cry and I lived this Expertise difficulty because I immediately felt that I had lost. I am waiting for my expert report but unfortunately the disability category 2 and loan repayment does not mix since you lost in advance it is the doctor insurance that puts the rate he wants. So gentlemen, insurers stipulate in your contracts that you will not pay invalidities 2 instead of making us pass by experts because when we have had cancer like me we just spent 3 years fighting in hospitals and you do us Shop something that is lost in advance. You should be ashamed !!!</v>
      </c>
    </row>
    <row r="202" ht="15.75" customHeight="1">
      <c r="A202" s="2">
        <v>3.0</v>
      </c>
      <c r="B202" s="2" t="s">
        <v>683</v>
      </c>
      <c r="C202" s="2" t="s">
        <v>684</v>
      </c>
      <c r="D202" s="2" t="s">
        <v>188</v>
      </c>
      <c r="E202" s="2" t="s">
        <v>104</v>
      </c>
      <c r="F202" s="2" t="s">
        <v>15</v>
      </c>
      <c r="G202" s="2" t="s">
        <v>685</v>
      </c>
      <c r="H202" s="2" t="s">
        <v>593</v>
      </c>
      <c r="I202" s="2" t="str">
        <f>IFERROR(__xludf.DUMMYFUNCTION("GOOGLETRANSLATE(C202,""fr"",""en"")"),"No one from null they have a treasurer to manage less they make you more they are happy they have all the techniques even their own association which is said on your side and which is just there to make you wait a little more quietly more year of 2 years "&amp;"of waiting attention You must relaunch them differently you have lost everything with letter ar we can even wonder it is really insurance")</f>
        <v>No one from null they have a treasurer to manage less they make you more they are happy they have all the techniques even their own association which is said on your side and which is just there to make you wait a little more quietly more year of 2 years of waiting attention You must relaunch them differently you have lost everything with letter ar we can even wonder it is really insurance</v>
      </c>
    </row>
    <row r="203" ht="15.75" customHeight="1">
      <c r="A203" s="2">
        <v>2.0</v>
      </c>
      <c r="B203" s="2" t="s">
        <v>686</v>
      </c>
      <c r="C203" s="2" t="s">
        <v>687</v>
      </c>
      <c r="D203" s="2" t="s">
        <v>26</v>
      </c>
      <c r="E203" s="2" t="s">
        <v>14</v>
      </c>
      <c r="F203" s="2" t="s">
        <v>15</v>
      </c>
      <c r="G203" s="2" t="s">
        <v>279</v>
      </c>
      <c r="H203" s="2" t="s">
        <v>122</v>
      </c>
      <c r="I203" s="2" t="str">
        <f>IFERROR(__xludf.DUMMYFUNCTION("GOOGLETRANSLATE(C203,""fr"",""en"")"),"The prices are only climbing, which insists me leave you.
Customer service does not answer my questions and people on the phone are, apriori, not to help us")</f>
        <v>The prices are only climbing, which insists me leave you.
Customer service does not answer my questions and people on the phone are, apriori, not to help us</v>
      </c>
    </row>
    <row r="204" ht="15.75" customHeight="1">
      <c r="A204" s="2">
        <v>1.0</v>
      </c>
      <c r="B204" s="2" t="s">
        <v>688</v>
      </c>
      <c r="C204" s="2" t="s">
        <v>689</v>
      </c>
      <c r="D204" s="2" t="s">
        <v>192</v>
      </c>
      <c r="E204" s="2" t="s">
        <v>21</v>
      </c>
      <c r="F204" s="2" t="s">
        <v>15</v>
      </c>
      <c r="G204" s="2" t="s">
        <v>690</v>
      </c>
      <c r="H204" s="2" t="s">
        <v>691</v>
      </c>
      <c r="I204" s="2" t="str">
        <f>IFERROR(__xludf.DUMMYFUNCTION("GOOGLETRANSLATE(C204,""fr"",""en"")"),"Here is a mutual that manages to combine poor guarantees and high price. I did not think without having experienced it that one could accumulate so much administrative slowness, loss of document, reimbursement error, in a single company.")</f>
        <v>Here is a mutual that manages to combine poor guarantees and high price. I did not think without having experienced it that one could accumulate so much administrative slowness, loss of document, reimbursement error, in a single company.</v>
      </c>
    </row>
    <row r="205" ht="15.75" customHeight="1">
      <c r="A205" s="2">
        <v>3.0</v>
      </c>
      <c r="B205" s="2" t="s">
        <v>692</v>
      </c>
      <c r="C205" s="2" t="s">
        <v>693</v>
      </c>
      <c r="D205" s="2" t="s">
        <v>181</v>
      </c>
      <c r="E205" s="2" t="s">
        <v>21</v>
      </c>
      <c r="F205" s="2" t="s">
        <v>15</v>
      </c>
      <c r="G205" s="2" t="s">
        <v>694</v>
      </c>
      <c r="H205" s="2" t="s">
        <v>50</v>
      </c>
      <c r="I205" s="2" t="str">
        <f>IFERROR(__xludf.DUMMYFUNCTION("GOOGLETRANSLATE(C205,""fr"",""en"")"),"Member since 01/01/2020, for the moment I can't judge, but I have a problem I can't open the April app on my mobile and all the services can not help me, and I start by being disappointed and I have never received a QR code to identify myself.")</f>
        <v>Member since 01/01/2020, for the moment I can't judge, but I have a problem I can't open the April app on my mobile and all the services can not help me, and I start by being disappointed and I have never received a QR code to identify myself.</v>
      </c>
    </row>
    <row r="206" ht="15.75" customHeight="1">
      <c r="A206" s="2">
        <v>5.0</v>
      </c>
      <c r="B206" s="2" t="s">
        <v>695</v>
      </c>
      <c r="C206" s="2" t="s">
        <v>696</v>
      </c>
      <c r="D206" s="2" t="s">
        <v>26</v>
      </c>
      <c r="E206" s="2" t="s">
        <v>14</v>
      </c>
      <c r="F206" s="2" t="s">
        <v>15</v>
      </c>
      <c r="G206" s="2" t="s">
        <v>697</v>
      </c>
      <c r="H206" s="2" t="s">
        <v>81</v>
      </c>
      <c r="I206" s="2" t="str">
        <f>IFERROR(__xludf.DUMMYFUNCTION("GOOGLETRANSLATE(C206,""fr"",""en"")")," Very happy with the kindness of the adviser directory by phone.
I will recommend 'directory to all my loved ones.
Being a young driver I can take advantage of connected insurance.
Thank you")</f>
        <v> Very happy with the kindness of the adviser directory by phone.
I will recommend 'directory to all my loved ones.
Being a young driver I can take advantage of connected insurance.
Thank you</v>
      </c>
    </row>
    <row r="207" ht="15.75" customHeight="1">
      <c r="A207" s="2">
        <v>4.0</v>
      </c>
      <c r="B207" s="2" t="s">
        <v>698</v>
      </c>
      <c r="C207" s="2" t="s">
        <v>699</v>
      </c>
      <c r="D207" s="2" t="s">
        <v>26</v>
      </c>
      <c r="E207" s="2" t="s">
        <v>14</v>
      </c>
      <c r="F207" s="2" t="s">
        <v>15</v>
      </c>
      <c r="G207" s="2" t="s">
        <v>700</v>
      </c>
      <c r="H207" s="2" t="s">
        <v>34</v>
      </c>
      <c r="I207" s="2" t="str">
        <f>IFERROR(__xludf.DUMMYFUNCTION("GOOGLETRANSLATE(C207,""fr"",""en"")"),"I am satisfied with prices because for the moment, Direct Insurance is the most reasonable insurance for my vehicle. I was lucky to be able to subscribe to the contract with Mariam who was very professional and patient (I read each sentence and ask a lot "&amp;"of questions). I am not felt oppressed with regard to offers, we can take our time to think.")</f>
        <v>I am satisfied with prices because for the moment, Direct Insurance is the most reasonable insurance for my vehicle. I was lucky to be able to subscribe to the contract with Mariam who was very professional and patient (I read each sentence and ask a lot of questions). I am not felt oppressed with regard to offers, we can take our time to think.</v>
      </c>
    </row>
    <row r="208" ht="15.75" customHeight="1">
      <c r="A208" s="2">
        <v>5.0</v>
      </c>
      <c r="B208" s="2" t="s">
        <v>701</v>
      </c>
      <c r="C208" s="2" t="s">
        <v>702</v>
      </c>
      <c r="D208" s="2" t="s">
        <v>48</v>
      </c>
      <c r="E208" s="2" t="s">
        <v>21</v>
      </c>
      <c r="F208" s="2" t="s">
        <v>15</v>
      </c>
      <c r="G208" s="2" t="s">
        <v>703</v>
      </c>
      <c r="H208" s="2" t="s">
        <v>81</v>
      </c>
      <c r="I208" s="2" t="str">
        <f>IFERROR(__xludf.DUMMYFUNCTION("GOOGLETRANSLATE(C208,""fr"",""en"")"),"I have connected for the first time today, I have been with this insurer since this year.
I had a very professional, patient and very kind gentleman.
As it is my 1st request I will see later.
But very welcome I appreciate")</f>
        <v>I have connected for the first time today, I have been with this insurer since this year.
I had a very professional, patient and very kind gentleman.
As it is my 1st request I will see later.
But very welcome I appreciate</v>
      </c>
    </row>
    <row r="209" ht="15.75" customHeight="1">
      <c r="A209" s="2">
        <v>4.0</v>
      </c>
      <c r="B209" s="2" t="s">
        <v>704</v>
      </c>
      <c r="C209" s="2" t="s">
        <v>705</v>
      </c>
      <c r="D209" s="2" t="s">
        <v>57</v>
      </c>
      <c r="E209" s="2" t="s">
        <v>14</v>
      </c>
      <c r="F209" s="2" t="s">
        <v>15</v>
      </c>
      <c r="G209" s="2" t="s">
        <v>706</v>
      </c>
      <c r="H209" s="2" t="s">
        <v>185</v>
      </c>
      <c r="I209" s="2" t="str">
        <f>IFERROR(__xludf.DUMMYFUNCTION("GOOGLETRANSLATE(C209,""fr"",""en"")"),"I am satisfied with telephone information. Very friendly and patient advisor. Easy and quick procedures to perform. Correct rates.")</f>
        <v>I am satisfied with telephone information. Very friendly and patient advisor. Easy and quick procedures to perform. Correct rates.</v>
      </c>
    </row>
    <row r="210" ht="15.75" customHeight="1">
      <c r="A210" s="2">
        <v>3.0</v>
      </c>
      <c r="B210" s="2" t="s">
        <v>707</v>
      </c>
      <c r="C210" s="2" t="s">
        <v>708</v>
      </c>
      <c r="D210" s="2" t="s">
        <v>53</v>
      </c>
      <c r="E210" s="2" t="s">
        <v>14</v>
      </c>
      <c r="F210" s="2" t="s">
        <v>15</v>
      </c>
      <c r="G210" s="2" t="s">
        <v>709</v>
      </c>
      <c r="H210" s="2" t="s">
        <v>70</v>
      </c>
      <c r="I210" s="2" t="str">
        <f>IFERROR(__xludf.DUMMYFUNCTION("GOOGLETRANSLATE(C210,""fr"",""en"")"),"Hello me too I am insured at maaf from then 2016 I have 2 cars with them more school insurance
I have friends they are insured at Maaf thanks to me
It is 15 days happening to me a non -responsible accident all before + full right side my insurance s"&amp;"end me an expert who works self -expertise cholet
I brought my vehicle back to the garage the expert after I contacted the Mr. Expert to see my file he replied your car you touched with a poutou and stroke in addition to that comes from Make the full pai"&amp;"nt more to changed the front bumper
The big expert he did not want to take care of Ilbma says that I will repair the rear bumper and mirrors + the rim my car all the front and right side
I even have the observation
I will do against expertise I wil"&amp;"l pay € 600 in my pocket and in addition my car insured any risk
I contacted my maaf insurance he told me to repair what writing the expert's report
So soon I will make a video of my full car and I will send it on Facebook and on other site
That "&amp;"Maaf assurances with their advertising only monsage to remove customers
Maaf is zero
Before I was at Axa Insurance and at AGF it's the best")</f>
        <v>Hello me too I am insured at maaf from then 2016 I have 2 cars with them more school insurance
I have friends they are insured at Maaf thanks to me
It is 15 days happening to me a non -responsible accident all before + full right side my insurance send me an expert who works self -expertise cholet
I brought my vehicle back to the garage the expert after I contacted the Mr. Expert to see my file he replied your car you touched with a poutou and stroke in addition to that comes from Make the full paint more to changed the front bumper
The big expert he did not want to take care of Ilbma says that I will repair the rear bumper and mirrors + the rim my car all the front and right side
I even have the observation
I will do against expertise I will pay € 600 in my pocket and in addition my car insured any risk
I contacted my maaf insurance he told me to repair what writing the expert's report
So soon I will make a video of my full car and I will send it on Facebook and on other site
That Maaf assurances with their advertising only monsage to remove customers
Maaf is zero
Before I was at Axa Insurance and at AGF it's the best</v>
      </c>
    </row>
    <row r="211" ht="15.75" customHeight="1">
      <c r="A211" s="2">
        <v>1.0</v>
      </c>
      <c r="B211" s="2" t="s">
        <v>710</v>
      </c>
      <c r="C211" s="2" t="s">
        <v>711</v>
      </c>
      <c r="D211" s="2" t="s">
        <v>48</v>
      </c>
      <c r="E211" s="2" t="s">
        <v>21</v>
      </c>
      <c r="F211" s="2" t="s">
        <v>15</v>
      </c>
      <c r="G211" s="2" t="s">
        <v>712</v>
      </c>
      <c r="H211" s="2" t="s">
        <v>713</v>
      </c>
      <c r="I211" s="2" t="str">
        <f>IFERROR(__xludf.DUMMYFUNCTION("GOOGLETRANSLATE(C211,""fr"",""en"")"),"How is it that you have in your possession the account numbers of your potential customers even before having called them in order to pit them to join your health insurance?
I plan to file a complaint!")</f>
        <v>How is it that you have in your possession the account numbers of your potential customers even before having called them in order to pit them to join your health insurance?
I plan to file a complaint!</v>
      </c>
    </row>
    <row r="212" ht="15.75" customHeight="1">
      <c r="A212" s="2">
        <v>5.0</v>
      </c>
      <c r="B212" s="2" t="s">
        <v>714</v>
      </c>
      <c r="C212" s="2" t="s">
        <v>715</v>
      </c>
      <c r="D212" s="2" t="s">
        <v>57</v>
      </c>
      <c r="E212" s="2" t="s">
        <v>14</v>
      </c>
      <c r="F212" s="2" t="s">
        <v>15</v>
      </c>
      <c r="G212" s="2" t="s">
        <v>80</v>
      </c>
      <c r="H212" s="2" t="s">
        <v>81</v>
      </c>
      <c r="I212" s="2" t="str">
        <f>IFERROR(__xludf.DUMMYFUNCTION("GOOGLETRANSLATE(C212,""fr"",""en"")"),"-This good responsiveness.
- Clarity in the explanations.
- Simplicity to finalize the contract.
- contract price
very attractive.
- Ease to finalize the contract.")</f>
        <v>-This good responsiveness.
- Clarity in the explanations.
- Simplicity to finalize the contract.
- contract price
very attractive.
- Ease to finalize the contract.</v>
      </c>
    </row>
    <row r="213" ht="15.75" customHeight="1">
      <c r="A213" s="2">
        <v>2.0</v>
      </c>
      <c r="B213" s="2" t="s">
        <v>716</v>
      </c>
      <c r="C213" s="2" t="s">
        <v>717</v>
      </c>
      <c r="D213" s="2" t="s">
        <v>57</v>
      </c>
      <c r="E213" s="2" t="s">
        <v>14</v>
      </c>
      <c r="F213" s="2" t="s">
        <v>15</v>
      </c>
      <c r="G213" s="2" t="s">
        <v>718</v>
      </c>
      <c r="H213" s="2" t="s">
        <v>28</v>
      </c>
      <c r="I213" s="2" t="str">
        <f>IFERROR(__xludf.DUMMYFUNCTION("GOOGLETRANSLATE(C213,""fr"",""en"")"),"For an online service, I expected to receive more quickly the account confirmation emails, temporary documents (gray card etc) ... especially when we see that confirmation has passed quickly.
The site presents some dysfunctions in terms of authentication"&amp;", the session is created, but we find ourselves to identify with multiple recovery ...
In my humble opinion, Standard opens at 9am, I regret a service with a wider range.")</f>
        <v>For an online service, I expected to receive more quickly the account confirmation emails, temporary documents (gray card etc) ... especially when we see that confirmation has passed quickly.
The site presents some dysfunctions in terms of authentication, the session is created, but we find ourselves to identify with multiple recovery ...
In my humble opinion, Standard opens at 9am, I regret a service with a wider range.</v>
      </c>
    </row>
    <row r="214" ht="15.75" customHeight="1">
      <c r="A214" s="2">
        <v>3.0</v>
      </c>
      <c r="B214" s="2" t="s">
        <v>719</v>
      </c>
      <c r="C214" s="2" t="s">
        <v>720</v>
      </c>
      <c r="D214" s="2" t="s">
        <v>125</v>
      </c>
      <c r="E214" s="2" t="s">
        <v>43</v>
      </c>
      <c r="F214" s="2" t="s">
        <v>15</v>
      </c>
      <c r="G214" s="2" t="s">
        <v>721</v>
      </c>
      <c r="H214" s="2" t="s">
        <v>482</v>
      </c>
      <c r="I214" s="2" t="str">
        <f>IFERROR(__xludf.DUMMYFUNCTION("GOOGLETRANSLATE(C214,""fr"",""en"")"),"Too much inertia.
Effective contract since the end of July and still no access code despite complaints.
The contract returned by mail after a month.
")</f>
        <v>Too much inertia.
Effective contract since the end of July and still no access code despite complaints.
The contract returned by mail after a month.
</v>
      </c>
    </row>
    <row r="215" ht="15.75" customHeight="1">
      <c r="A215" s="2">
        <v>1.0</v>
      </c>
      <c r="B215" s="2" t="s">
        <v>722</v>
      </c>
      <c r="C215" s="2" t="s">
        <v>723</v>
      </c>
      <c r="D215" s="2" t="s">
        <v>125</v>
      </c>
      <c r="E215" s="2" t="s">
        <v>43</v>
      </c>
      <c r="F215" s="2" t="s">
        <v>15</v>
      </c>
      <c r="G215" s="2" t="s">
        <v>724</v>
      </c>
      <c r="H215" s="2" t="s">
        <v>70</v>
      </c>
      <c r="I215" s="2" t="str">
        <f>IFERROR(__xludf.DUMMYFUNCTION("GOOGLETRANSLATE(C215,""fr"",""en"")"),"I am indirectly at home through my bank for life insurance and I note this week a loss of € 2,000 the cause of the walking is not good, but when the markets are well it is by ten or possibly hundreds From time to time that my account therefore dates back "&amp;"false hopes in the long term. It's not the first time. It's up to you to see but I think the little pay for the big ones.
For customer services and quality of the guarantees I put 2 stars but I do not treat with them directly.
 ")</f>
        <v>I am indirectly at home through my bank for life insurance and I note this week a loss of € 2,000 the cause of the walking is not good, but when the markets are well it is by ten or possibly hundreds From time to time that my account therefore dates back false hopes in the long term. It's not the first time. It's up to you to see but I think the little pay for the big ones.
For customer services and quality of the guarantees I put 2 stars but I do not treat with them directly.
 </v>
      </c>
    </row>
    <row r="216" ht="15.75" customHeight="1">
      <c r="A216" s="2">
        <v>1.0</v>
      </c>
      <c r="B216" s="2" t="s">
        <v>725</v>
      </c>
      <c r="C216" s="2" t="s">
        <v>726</v>
      </c>
      <c r="D216" s="2" t="s">
        <v>103</v>
      </c>
      <c r="E216" s="2" t="s">
        <v>14</v>
      </c>
      <c r="F216" s="2" t="s">
        <v>15</v>
      </c>
      <c r="G216" s="2" t="s">
        <v>727</v>
      </c>
      <c r="H216" s="2" t="s">
        <v>161</v>
      </c>
      <c r="I216" s="2" t="str">
        <f>IFERROR(__xludf.DUMMYFUNCTION("GOOGLETRANSLATE(C216,""fr"",""en"")"),"Mutual insurance mutual dear unreachable f (if you find a word starting with f synonymous with unpleasant, I take !!)")</f>
        <v>Mutual insurance mutual dear unreachable f (if you find a word starting with f synonymous with unpleasant, I take !!)</v>
      </c>
    </row>
    <row r="217" ht="15.75" customHeight="1">
      <c r="A217" s="2">
        <v>4.0</v>
      </c>
      <c r="B217" s="2" t="s">
        <v>728</v>
      </c>
      <c r="C217" s="2" t="s">
        <v>729</v>
      </c>
      <c r="D217" s="2" t="s">
        <v>305</v>
      </c>
      <c r="E217" s="2" t="s">
        <v>38</v>
      </c>
      <c r="F217" s="2" t="s">
        <v>15</v>
      </c>
      <c r="G217" s="2" t="s">
        <v>121</v>
      </c>
      <c r="H217" s="2" t="s">
        <v>122</v>
      </c>
      <c r="I217" s="2" t="str">
        <f>IFERROR(__xludf.DUMMYFUNCTION("GOOGLETRANSLATE(C217,""fr"",""en"")"),"I am satisfied with the prices and services of April Moto and I recommend this insurance for any two -wheeled driver
Good for agreement acquired by law read and approved zero if discovered")</f>
        <v>I am satisfied with the prices and services of April Moto and I recommend this insurance for any two -wheeled driver
Good for agreement acquired by law read and approved zero if discovered</v>
      </c>
    </row>
    <row r="218" ht="15.75" customHeight="1">
      <c r="A218" s="2">
        <v>1.0</v>
      </c>
      <c r="B218" s="2" t="s">
        <v>730</v>
      </c>
      <c r="C218" s="2" t="s">
        <v>731</v>
      </c>
      <c r="D218" s="2" t="s">
        <v>410</v>
      </c>
      <c r="E218" s="2" t="s">
        <v>104</v>
      </c>
      <c r="F218" s="2" t="s">
        <v>15</v>
      </c>
      <c r="G218" s="2" t="s">
        <v>732</v>
      </c>
      <c r="H218" s="2" t="s">
        <v>566</v>
      </c>
      <c r="I218" s="2" t="str">
        <f>IFERROR(__xludf.DUMMYFUNCTION("GOOGLETRANSLATE(C218,""fr"",""en"")"),"To flee absolutely !!!!
I had a subsidence of land following the 2018 drought episode. Several people from the cities had this phenomenon which was recognized as a natural disaster by the State. I have side cracks at the junction of the terrain with the "&amp;"walls of my house. After a long time to answer me and ask for an expert, the expertise was carried out in 10 minutes shows in hand by the expert in the conclusive matmut, without doing a floor analysis, a defect in manufacturing the house (problem of emba"&amp;"nkment) while the house is over 30 years old and so far there have never been any problems.
Refusal of compensation from the Matmut.
Against expertise on my part, which concludes that the probable cause is drought because a embankment problem is quickly"&amp;" manifested after construction within 6 months to 1 year and not 30 years later!
I am trying to collect testimonies from people with the same experience with the Matmut because it seems that this company deaf ear the legitimate requests of its customers."&amp;"
The process seems well organized so as not to compensate customers. We are already several and want to publicize this case.")</f>
        <v>To flee absolutely !!!!
I had a subsidence of land following the 2018 drought episode. Several people from the cities had this phenomenon which was recognized as a natural disaster by the State. I have side cracks at the junction of the terrain with the walls of my house. After a long time to answer me and ask for an expert, the expertise was carried out in 10 minutes shows in hand by the expert in the conclusive matmut, without doing a floor analysis, a defect in manufacturing the house (problem of embankment) while the house is over 30 years old and so far there have never been any problems.
Refusal of compensation from the Matmut.
Against expertise on my part, which concludes that the probable cause is drought because a embankment problem is quickly manifested after construction within 6 months to 1 year and not 30 years later!
I am trying to collect testimonies from people with the same experience with the Matmut because it seems that this company deaf ear the legitimate requests of its customers.
The process seems well organized so as not to compensate customers. We are already several and want to publicize this case.</v>
      </c>
    </row>
    <row r="219" ht="15.75" customHeight="1">
      <c r="A219" s="2">
        <v>4.0</v>
      </c>
      <c r="B219" s="2" t="s">
        <v>733</v>
      </c>
      <c r="C219" s="2" t="s">
        <v>734</v>
      </c>
      <c r="D219" s="2" t="s">
        <v>188</v>
      </c>
      <c r="E219" s="2" t="s">
        <v>14</v>
      </c>
      <c r="F219" s="2" t="s">
        <v>15</v>
      </c>
      <c r="G219" s="2" t="s">
        <v>282</v>
      </c>
      <c r="H219" s="2" t="s">
        <v>28</v>
      </c>
      <c r="I219" s="2" t="str">
        <f>IFERROR(__xludf.DUMMYFUNCTION("GOOGLETRANSLATE(C219,""fr"",""en"")"),"I am very satisfied with the service
I highly recommend their service, fast and efficient
The price is affordable compared to most of the insurance in Mayotte")</f>
        <v>I am very satisfied with the service
I highly recommend their service, fast and efficient
The price is affordable compared to most of the insurance in Mayotte</v>
      </c>
    </row>
    <row r="220" ht="15.75" customHeight="1">
      <c r="A220" s="2">
        <v>4.0</v>
      </c>
      <c r="B220" s="2" t="s">
        <v>735</v>
      </c>
      <c r="C220" s="2" t="s">
        <v>736</v>
      </c>
      <c r="D220" s="2" t="s">
        <v>69</v>
      </c>
      <c r="E220" s="2" t="s">
        <v>21</v>
      </c>
      <c r="F220" s="2" t="s">
        <v>15</v>
      </c>
      <c r="G220" s="2" t="s">
        <v>737</v>
      </c>
      <c r="H220" s="2" t="s">
        <v>547</v>
      </c>
      <c r="I220" s="2" t="str">
        <f>IFERROR(__xludf.DUMMYFUNCTION("GOOGLETRANSLATE(C220,""fr"",""en"")"),"I am very satisfied with the service ... Very nice advisor who takes her time to explain the percentage to me and to compare in a concrete and real way")</f>
        <v>I am very satisfied with the service ... Very nice advisor who takes her time to explain the percentage to me and to compare in a concrete and real way</v>
      </c>
    </row>
    <row r="221" ht="15.75" customHeight="1">
      <c r="A221" s="2">
        <v>1.0</v>
      </c>
      <c r="B221" s="2" t="s">
        <v>738</v>
      </c>
      <c r="C221" s="2" t="s">
        <v>739</v>
      </c>
      <c r="D221" s="2" t="s">
        <v>13</v>
      </c>
      <c r="E221" s="2" t="s">
        <v>104</v>
      </c>
      <c r="F221" s="2" t="s">
        <v>15</v>
      </c>
      <c r="G221" s="2" t="s">
        <v>740</v>
      </c>
      <c r="H221" s="2" t="s">
        <v>741</v>
      </c>
      <c r="I221" s="2" t="str">
        <f>IFERROR(__xludf.DUMMYFUNCTION("GOOGLETRANSLATE(C221,""fr"",""en"")"),"incompetent interlocutors on the 1st problem We discover that they are useless everything must be done by the customer")</f>
        <v>incompetent interlocutors on the 1st problem We discover that they are useless everything must be done by the customer</v>
      </c>
    </row>
    <row r="222" ht="15.75" customHeight="1">
      <c r="A222" s="2">
        <v>1.0</v>
      </c>
      <c r="B222" s="2" t="s">
        <v>742</v>
      </c>
      <c r="C222" s="2" t="s">
        <v>743</v>
      </c>
      <c r="D222" s="2" t="s">
        <v>164</v>
      </c>
      <c r="E222" s="2" t="s">
        <v>43</v>
      </c>
      <c r="F222" s="2" t="s">
        <v>15</v>
      </c>
      <c r="G222" s="2" t="s">
        <v>744</v>
      </c>
      <c r="H222" s="2" t="s">
        <v>166</v>
      </c>
      <c r="I222" s="2" t="str">
        <f>IFERROR(__xludf.DUMMYFUNCTION("GOOGLETRANSLATE(C222,""fr"",""en"")"),"I am the beneficiary with my brothers of cardif life insurance subscribed by my mother, who died in 2017.
In January 2020 the file was complete and the entrance should have been almost immediate
After 6 months, I always wait for ""processing time"", ""i"&amp;"nternal problems"", ""new initiates"", ""transfer problems"". . .
I lost patience!
Will I have to go through justice for Cardif to do his job?
It is always the same technique ""to save"" and keep the money as long as possible.
You have to avoid taking"&amp;" out life insurance with Cardif!
Lamentable! TO FLEE !
")</f>
        <v>I am the beneficiary with my brothers of cardif life insurance subscribed by my mother, who died in 2017.
In January 2020 the file was complete and the entrance should have been almost immediate
After 6 months, I always wait for "processing time", "internal problems", "new initiates", "transfer problems". . .
I lost patience!
Will I have to go through justice for Cardif to do his job?
It is always the same technique "to save" and keep the money as long as possible.
You have to avoid taking out life insurance with Cardif!
Lamentable! TO FLEE !
</v>
      </c>
    </row>
    <row r="223" ht="15.75" customHeight="1">
      <c r="A223" s="2">
        <v>4.0</v>
      </c>
      <c r="B223" s="2" t="s">
        <v>745</v>
      </c>
      <c r="C223" s="2" t="s">
        <v>746</v>
      </c>
      <c r="D223" s="2" t="s">
        <v>188</v>
      </c>
      <c r="E223" s="2" t="s">
        <v>14</v>
      </c>
      <c r="F223" s="2" t="s">
        <v>15</v>
      </c>
      <c r="G223" s="2" t="s">
        <v>747</v>
      </c>
      <c r="H223" s="2" t="s">
        <v>90</v>
      </c>
      <c r="I223" s="2" t="str">
        <f>IFERROR(__xludf.DUMMYFUNCTION("GOOGLETRANSLATE(C223,""fr"",""en"")"),"Simple and practical, correct price. My agency in Carcassonne has always answered my questions, however waiting times are sometimes too long.")</f>
        <v>Simple and practical, correct price. My agency in Carcassonne has always answered my questions, however waiting times are sometimes too long.</v>
      </c>
    </row>
    <row r="224" ht="15.75" customHeight="1">
      <c r="A224" s="2">
        <v>1.0</v>
      </c>
      <c r="B224" s="2" t="s">
        <v>748</v>
      </c>
      <c r="C224" s="2" t="s">
        <v>749</v>
      </c>
      <c r="D224" s="2" t="s">
        <v>103</v>
      </c>
      <c r="E224" s="2" t="s">
        <v>14</v>
      </c>
      <c r="F224" s="2" t="s">
        <v>15</v>
      </c>
      <c r="G224" s="2" t="s">
        <v>750</v>
      </c>
      <c r="H224" s="2" t="s">
        <v>34</v>
      </c>
      <c r="I224" s="2" t="str">
        <f>IFERROR(__xludf.DUMMYFUNCTION("GOOGLETRANSLATE(C224,""fr"",""en"")"),"Insured since 2010 and without abuse of their ""services"" each year, I was kindly cleared following 1 hanging (in 3 years).
Respect for all the advisers who must undergo the annoyance of individuals following the unreal functioning of this company, an"&amp;"d governed by cowards that are hidden, and especially in this period, but hey that must not wear masks ...
")</f>
        <v>Insured since 2010 and without abuse of their "services" each year, I was kindly cleared following 1 hanging (in 3 years).
Respect for all the advisers who must undergo the annoyance of individuals following the unreal functioning of this company, and governed by cowards that are hidden, and especially in this period, but hey that must not wear masks ...
</v>
      </c>
    </row>
    <row r="225" ht="15.75" customHeight="1">
      <c r="A225" s="2">
        <v>4.0</v>
      </c>
      <c r="B225" s="2" t="s">
        <v>751</v>
      </c>
      <c r="C225" s="2" t="s">
        <v>752</v>
      </c>
      <c r="D225" s="2" t="s">
        <v>57</v>
      </c>
      <c r="E225" s="2" t="s">
        <v>14</v>
      </c>
      <c r="F225" s="2" t="s">
        <v>15</v>
      </c>
      <c r="G225" s="2" t="s">
        <v>753</v>
      </c>
      <c r="H225" s="2" t="s">
        <v>140</v>
      </c>
      <c r="I225" s="2" t="str">
        <f>IFERROR(__xludf.DUMMYFUNCTION("GOOGLETRANSLATE(C225,""fr"",""en"")"),"I am satisfied with the service with an extraordinary ease, everything is intuitive and tutorial. I highly recommend this type of insurance. Hoping to never need it. In case, because the last insurance paraded when I needed them when it has already been 4"&amp;" years since I was faithfully contributed. The future will tell !")</f>
        <v>I am satisfied with the service with an extraordinary ease, everything is intuitive and tutorial. I highly recommend this type of insurance. Hoping to never need it. In case, because the last insurance paraded when I needed them when it has already been 4 years since I was faithfully contributed. The future will tell !</v>
      </c>
    </row>
    <row r="226" ht="15.75" customHeight="1">
      <c r="A226" s="2">
        <v>5.0</v>
      </c>
      <c r="B226" s="2" t="s">
        <v>754</v>
      </c>
      <c r="C226" s="2" t="s">
        <v>755</v>
      </c>
      <c r="D226" s="2" t="s">
        <v>57</v>
      </c>
      <c r="E226" s="2" t="s">
        <v>14</v>
      </c>
      <c r="F226" s="2" t="s">
        <v>15</v>
      </c>
      <c r="G226" s="2" t="s">
        <v>756</v>
      </c>
      <c r="H226" s="2" t="s">
        <v>81</v>
      </c>
      <c r="I226" s="2" t="str">
        <f>IFERROR(__xludf.DUMMYFUNCTION("GOOGLETRANSLATE(C226,""fr"",""en"")"),"I am satisfied with the services, prices and information provided for the subscription of the insurance contract for my daughter's first car.")</f>
        <v>I am satisfied with the services, prices and information provided for the subscription of the insurance contract for my daughter's first car.</v>
      </c>
    </row>
    <row r="227" ht="15.75" customHeight="1">
      <c r="A227" s="2">
        <v>1.0</v>
      </c>
      <c r="B227" s="2" t="s">
        <v>757</v>
      </c>
      <c r="C227" s="2" t="s">
        <v>758</v>
      </c>
      <c r="D227" s="2" t="s">
        <v>211</v>
      </c>
      <c r="E227" s="2" t="s">
        <v>212</v>
      </c>
      <c r="F227" s="2" t="s">
        <v>15</v>
      </c>
      <c r="G227" s="2" t="s">
        <v>759</v>
      </c>
      <c r="H227" s="2" t="s">
        <v>54</v>
      </c>
      <c r="I227" s="2" t="str">
        <f>IFERROR(__xludf.DUMMYFUNCTION("GOOGLETRANSLATE(C227,""fr"",""en"")"),"I did research on mutuals on a comparator. From that day a salesperson has not stopped harassing me. She was obsequious and sarcastic: unbearable and when I asked for proof on exclusions by email she never answered. In short, I was given a new contact whe"&amp;"n I sent an email to ask for explanations on technical terms no answer. In short, I still received a call from the sales that was detestable when I asked for explanations and again sarcastic. And by giving me lessons. In short, when I asked her to respond"&amp;" to my email when the translation of pathologies not taken into account translated in technical terms on the contract she replied ""You pissed me off"" and hung up on me. Morality: after harassment the indecency of extraordinary salespeople that I thank t"&amp;"oday because they avoided me for having subscribed to insurance that promises nothing good")</f>
        <v>I did research on mutuals on a comparator. From that day a salesperson has not stopped harassing me. She was obsequious and sarcastic: unbearable and when I asked for proof on exclusions by email she never answered. In short, I was given a new contact when I sent an email to ask for explanations on technical terms no answer. In short, I still received a call from the sales that was detestable when I asked for explanations and again sarcastic. And by giving me lessons. In short, when I asked her to respond to my email when the translation of pathologies not taken into account translated in technical terms on the contract she replied "You pissed me off" and hung up on me. Morality: after harassment the indecency of extraordinary salespeople that I thank today because they avoided me for having subscribed to insurance that promises nothing good</v>
      </c>
    </row>
    <row r="228" ht="15.75" customHeight="1">
      <c r="A228" s="2">
        <v>1.0</v>
      </c>
      <c r="B228" s="2" t="s">
        <v>760</v>
      </c>
      <c r="C228" s="2" t="s">
        <v>761</v>
      </c>
      <c r="D228" s="2" t="s">
        <v>69</v>
      </c>
      <c r="E228" s="2" t="s">
        <v>21</v>
      </c>
      <c r="F228" s="2" t="s">
        <v>15</v>
      </c>
      <c r="G228" s="2" t="s">
        <v>762</v>
      </c>
      <c r="H228" s="2" t="s">
        <v>361</v>
      </c>
      <c r="I228" s="2" t="str">
        <f>IFERROR(__xludf.DUMMYFUNCTION("GOOGLETRANSLATE(C228,""fr"",""en"")"),"Never take anything on Santiane
Very disappointed client!
Do not meet their obligation (I only had my third -party card paying for 1 year and after plsuière complaints)
And when I needed to terminate they don't accept !!
")</f>
        <v>Never take anything on Santiane
Very disappointed client!
Do not meet their obligation (I only had my third -party card paying for 1 year and after plsuière complaints)
And when I needed to terminate they don't accept !!
</v>
      </c>
    </row>
    <row r="229" ht="15.75" customHeight="1">
      <c r="A229" s="2">
        <v>1.0</v>
      </c>
      <c r="B229" s="2" t="s">
        <v>763</v>
      </c>
      <c r="C229" s="2" t="s">
        <v>764</v>
      </c>
      <c r="D229" s="2" t="s">
        <v>26</v>
      </c>
      <c r="E229" s="2" t="s">
        <v>14</v>
      </c>
      <c r="F229" s="2" t="s">
        <v>15</v>
      </c>
      <c r="G229" s="2" t="s">
        <v>765</v>
      </c>
      <c r="H229" s="2" t="s">
        <v>17</v>
      </c>
      <c r="I229" s="2" t="str">
        <f>IFERROR(__xludf.DUMMYFUNCTION("GOOGLETRANSLATE(C229,""fr"",""en"")"),"They are very dangerous. This is the third time on three different contracts that they make mistakes and that I find myself without protection while I pay. Especially not go there")</f>
        <v>They are very dangerous. This is the third time on three different contracts that they make mistakes and that I find myself without protection while I pay. Especially not go there</v>
      </c>
    </row>
    <row r="230" ht="15.75" customHeight="1">
      <c r="A230" s="2">
        <v>1.0</v>
      </c>
      <c r="B230" s="2" t="s">
        <v>766</v>
      </c>
      <c r="C230" s="2" t="s">
        <v>767</v>
      </c>
      <c r="D230" s="2" t="s">
        <v>53</v>
      </c>
      <c r="E230" s="2" t="s">
        <v>14</v>
      </c>
      <c r="F230" s="2" t="s">
        <v>15</v>
      </c>
      <c r="G230" s="2" t="s">
        <v>632</v>
      </c>
      <c r="H230" s="2" t="s">
        <v>74</v>
      </c>
      <c r="I230" s="2" t="str">
        <f>IFERROR(__xludf.DUMMYFUNCTION("GOOGLETRANSLATE(C230,""fr"",""en"")"),"I just read your comment and I strongly regret your dissatisfaction. If you wish, I invite you to contact us via the following private messaging [https://m.me/maafassurances] by indicating your contact details (name, first name, postal code and your pseud"&amp;"o opinion assurances). We can then exchange about your situation. The Maaf social media team remains at your disposal.")</f>
        <v>I just read your comment and I strongly regret your dissatisfaction. If you wish, I invite you to contact us via the following private messaging [https://m.me/maafassurances] by indicating your contact details (name, first name, postal code and your pseudo opinion assurances). We can then exchange about your situation. The Maaf social media team remains at your disposal.</v>
      </c>
    </row>
    <row r="231" ht="15.75" customHeight="1">
      <c r="A231" s="2">
        <v>2.0</v>
      </c>
      <c r="B231" s="2" t="s">
        <v>768</v>
      </c>
      <c r="C231" s="2" t="s">
        <v>769</v>
      </c>
      <c r="D231" s="2" t="s">
        <v>188</v>
      </c>
      <c r="E231" s="2" t="s">
        <v>104</v>
      </c>
      <c r="F231" s="2" t="s">
        <v>15</v>
      </c>
      <c r="G231" s="2" t="s">
        <v>770</v>
      </c>
      <c r="H231" s="2" t="s">
        <v>74</v>
      </c>
      <c r="I231" s="2" t="str">
        <f>IFERROR(__xludf.DUMMYFUNCTION("GOOGLETRANSLATE(C231,""fr"",""en"")"),"Hello
So this is the first time that it happens to me.
I declared an online loss.
I called a number to find out or was my file.
The person tells me is not the right service, I answer him when I called I was given this number. So I don't know why the p"&amp;"erson gets angry and hangs up my nose squarely.
great it is my mother who is insured and I did the steps for her. I hesitated to me too change insurer but the no thank you I keep mine.
GMF not easy to have someone local at the Tel always these platforms"&amp;" without ever having a regular interlocutor!")</f>
        <v>Hello
So this is the first time that it happens to me.
I declared an online loss.
I called a number to find out or was my file.
The person tells me is not the right service, I answer him when I called I was given this number. So I don't know why the person gets angry and hangs up my nose squarely.
great it is my mother who is insured and I did the steps for her. I hesitated to me too change insurer but the no thank you I keep mine.
GMF not easy to have someone local at the Tel always these platforms without ever having a regular interlocutor!</v>
      </c>
    </row>
    <row r="232" ht="15.75" customHeight="1">
      <c r="A232" s="2">
        <v>1.0</v>
      </c>
      <c r="B232" s="2" t="s">
        <v>771</v>
      </c>
      <c r="C232" s="2" t="s">
        <v>772</v>
      </c>
      <c r="D232" s="2" t="s">
        <v>26</v>
      </c>
      <c r="E232" s="2" t="s">
        <v>14</v>
      </c>
      <c r="F232" s="2" t="s">
        <v>15</v>
      </c>
      <c r="G232" s="2" t="s">
        <v>224</v>
      </c>
      <c r="H232" s="2" t="s">
        <v>81</v>
      </c>
      <c r="I232" s="2" t="str">
        <f>IFERROR(__xludf.DUMMYFUNCTION("GOOGLETRANSLATE(C232,""fr"",""en"")"),"Well, indeed, we judge insurance in the event of a claim .... sure that to do the quote, there is someone to help, no problem ........ but, in the event of a claim , disappointment and anger !!!! .... unimaginable !!!! .. ""your disaster will be treated w"&amp;"ithin 48 hours .... ??????? !!!!!!!"" .... ..
Sinister declared for several days, with still reception confirmation email ...... but then it's the Mega galley .. !!
No news, no contact of an advisor as promised, and the top is that, when you want to joi"&amp;"n a claim advisor, a vocal server requires the loss number .... phew! Finally !!! ..... but no !!!!! .... barely given the sinister number, the server invites you to send an email to ""your"" advisor "".... and hang up !! !! And this? X times !!!!! we sen"&amp;"d an email, two emails, without response !!! we try to call another number, but the adviser on the phone cannot pass the service concerned !! !!
This is the vehicle of my granddaughter she needs to go in college 40 km from her house .... The car is waiti"&amp;"ng at the garage without having any notion of what awaits us .... and When we get it back .. !!!!
I bitterly regret having subscribed there .... promises, nothing but promises !!!!!!!!!!!")</f>
        <v>Well, indeed, we judge insurance in the event of a claim .... sure that to do the quote, there is someone to help, no problem ........ but, in the event of a claim , disappointment and anger !!!! .... unimaginable !!!! .. "your disaster will be treated within 48 hours .... ??????? !!!!!!!" .... ..
Sinister declared for several days, with still reception confirmation email ...... but then it's the Mega galley .. !!
No news, no contact of an advisor as promised, and the top is that, when you want to join a claim advisor, a vocal server requires the loss number .... phew! Finally !!! ..... but no !!!!! .... barely given the sinister number, the server invites you to send an email to "your" advisor ".... and hang up !! !! And this? X times !!!!! we send an email, two emails, without response !!! we try to call another number, but the adviser on the phone cannot pass the service concerned !! !!
This is the vehicle of my granddaughter she needs to go in college 40 km from her house .... The car is waiting at the garage without having any notion of what awaits us .... and When we get it back .. !!!!
I bitterly regret having subscribed there .... promises, nothing but promises !!!!!!!!!!!</v>
      </c>
    </row>
    <row r="233" ht="15.75" customHeight="1">
      <c r="A233" s="2">
        <v>3.0</v>
      </c>
      <c r="B233" s="2" t="s">
        <v>773</v>
      </c>
      <c r="C233" s="2" t="s">
        <v>774</v>
      </c>
      <c r="D233" s="2" t="s">
        <v>53</v>
      </c>
      <c r="E233" s="2" t="s">
        <v>14</v>
      </c>
      <c r="F233" s="2" t="s">
        <v>15</v>
      </c>
      <c r="G233" s="2" t="s">
        <v>775</v>
      </c>
      <c r="H233" s="2" t="s">
        <v>106</v>
      </c>
      <c r="I233" s="2" t="str">
        <f>IFERROR(__xludf.DUMMYFUNCTION("GOOGLETRANSLATE(C233,""fr"",""en"")"),"Simply too expensive the double of the price offered by Direct Insurance")</f>
        <v>Simply too expensive the double of the price offered by Direct Insurance</v>
      </c>
    </row>
    <row r="234" ht="15.75" customHeight="1">
      <c r="A234" s="2">
        <v>4.0</v>
      </c>
      <c r="B234" s="2" t="s">
        <v>776</v>
      </c>
      <c r="C234" s="2" t="s">
        <v>777</v>
      </c>
      <c r="D234" s="2" t="s">
        <v>57</v>
      </c>
      <c r="E234" s="2" t="s">
        <v>14</v>
      </c>
      <c r="F234" s="2" t="s">
        <v>15</v>
      </c>
      <c r="G234" s="2" t="s">
        <v>778</v>
      </c>
      <c r="H234" s="2" t="s">
        <v>90</v>
      </c>
      <c r="I234" s="2" t="str">
        <f>IFERROR(__xludf.DUMMYFUNCTION("GOOGLETRANSLATE(C234,""fr"",""en"")"),"The Olivier site is modern and makes the subscription to a fast and efficient insurance contract. Prices are attractive for third -party car insurance.")</f>
        <v>The Olivier site is modern and makes the subscription to a fast and efficient insurance contract. Prices are attractive for third -party car insurance.</v>
      </c>
    </row>
    <row r="235" ht="15.75" customHeight="1">
      <c r="A235" s="2">
        <v>1.0</v>
      </c>
      <c r="B235" s="2" t="s">
        <v>779</v>
      </c>
      <c r="C235" s="2" t="s">
        <v>780</v>
      </c>
      <c r="D235" s="2" t="s">
        <v>143</v>
      </c>
      <c r="E235" s="2" t="s">
        <v>109</v>
      </c>
      <c r="F235" s="2" t="s">
        <v>15</v>
      </c>
      <c r="G235" s="2" t="s">
        <v>407</v>
      </c>
      <c r="H235" s="2" t="s">
        <v>90</v>
      </c>
      <c r="I235" s="2" t="str">
        <f>IFERROR(__xludf.DUMMYFUNCTION("GOOGLETRANSLATE(C235,""fr"",""en"")"),"Treatment of files awfully Looong .....
With each call of different dates as if the file was not the same each time.
About the interlocutors destabilizing like I quote ""I am not lucky to be a owner like you and yet I am sick and not taken care of"" ..."&amp;". Charming, it is worth paying insurance !!! !!!!
I advise insured people in difficulty to involve their legal insurance against this type of individual, in any case I left.")</f>
        <v>Treatment of files awfully Looong .....
With each call of different dates as if the file was not the same each time.
About the interlocutors destabilizing like I quote "I am not lucky to be a owner like you and yet I am sick and not taken care of" .... Charming, it is worth paying insurance !!! !!!!
I advise insured people in difficulty to involve their legal insurance against this type of individual, in any case I left.</v>
      </c>
    </row>
    <row r="236" ht="15.75" customHeight="1">
      <c r="A236" s="2">
        <v>3.0</v>
      </c>
      <c r="B236" s="2" t="s">
        <v>781</v>
      </c>
      <c r="C236" s="2" t="s">
        <v>782</v>
      </c>
      <c r="D236" s="2" t="s">
        <v>26</v>
      </c>
      <c r="E236" s="2" t="s">
        <v>14</v>
      </c>
      <c r="F236" s="2" t="s">
        <v>15</v>
      </c>
      <c r="G236" s="2" t="s">
        <v>783</v>
      </c>
      <c r="H236" s="2" t="s">
        <v>122</v>
      </c>
      <c r="I236" s="2" t="str">
        <f>IFERROR(__xludf.DUMMYFUNCTION("GOOGLETRANSLATE(C236,""fr"",""en"")"),"For the moment it is difficult to form an opinion on the quality of services and efficiency. I will see in use but I thank for the speed of setting up the contract.")</f>
        <v>For the moment it is difficult to form an opinion on the quality of services and efficiency. I will see in use but I thank for the speed of setting up the contract.</v>
      </c>
    </row>
    <row r="237" ht="15.75" customHeight="1">
      <c r="A237" s="2">
        <v>1.0</v>
      </c>
      <c r="B237" s="2" t="s">
        <v>784</v>
      </c>
      <c r="C237" s="2" t="s">
        <v>785</v>
      </c>
      <c r="D237" s="2" t="s">
        <v>42</v>
      </c>
      <c r="E237" s="2" t="s">
        <v>14</v>
      </c>
      <c r="F237" s="2" t="s">
        <v>15</v>
      </c>
      <c r="G237" s="2" t="s">
        <v>786</v>
      </c>
      <c r="H237" s="2" t="s">
        <v>343</v>
      </c>
      <c r="I237" s="2" t="str">
        <f>IFERROR(__xludf.DUMMYFUNCTION("GOOGLETRANSLATE(C237,""fr"",""en"")"),"I strongly advise against this insurance. I have never seen that . They take us for pawns. Very expensive, no communication, zero serious. The site is also poorly done, e.g. invoices do not appear.")</f>
        <v>I strongly advise against this insurance. I have never seen that . They take us for pawns. Very expensive, no communication, zero serious. The site is also poorly done, e.g. invoices do not appear.</v>
      </c>
    </row>
    <row r="238" ht="15.75" customHeight="1">
      <c r="A238" s="2">
        <v>1.0</v>
      </c>
      <c r="B238" s="2" t="s">
        <v>787</v>
      </c>
      <c r="C238" s="2" t="s">
        <v>788</v>
      </c>
      <c r="D238" s="2" t="s">
        <v>250</v>
      </c>
      <c r="E238" s="2" t="s">
        <v>21</v>
      </c>
      <c r="F238" s="2" t="s">
        <v>15</v>
      </c>
      <c r="G238" s="2" t="s">
        <v>789</v>
      </c>
      <c r="H238" s="2" t="s">
        <v>74</v>
      </c>
      <c r="I238" s="2" t="str">
        <f>IFERROR(__xludf.DUMMYFUNCTION("GOOGLETRANSLATE(C238,""fr"",""en"")"),"A member for many years, I ask for a reassessment of my guarantees upwards without having hospitalization or otherwise, I agree that it is possible but with an expectation of 6 months ... inadmissible, I terminated and signed with April Generali")</f>
        <v>A member for many years, I ask for a reassessment of my guarantees upwards without having hospitalization or otherwise, I agree that it is possible but with an expectation of 6 months ... inadmissible, I terminated and signed with April Generali</v>
      </c>
    </row>
    <row r="239" ht="15.75" customHeight="1">
      <c r="A239" s="2">
        <v>5.0</v>
      </c>
      <c r="B239" s="2" t="s">
        <v>790</v>
      </c>
      <c r="C239" s="2" t="s">
        <v>791</v>
      </c>
      <c r="D239" s="2" t="s">
        <v>57</v>
      </c>
      <c r="E239" s="2" t="s">
        <v>14</v>
      </c>
      <c r="F239" s="2" t="s">
        <v>15</v>
      </c>
      <c r="G239" s="2" t="s">
        <v>792</v>
      </c>
      <c r="H239" s="2" t="s">
        <v>90</v>
      </c>
      <c r="I239" s="2" t="str">
        <f>IFERROR(__xludf.DUMMYFUNCTION("GOOGLETRANSLATE(C239,""fr"",""en"")"),"I am very satisfied with the online service which remains at very affordable prices
The service, quote request, and personal account is very simple by means of accessibility
I recommend")</f>
        <v>I am very satisfied with the online service which remains at very affordable prices
The service, quote request, and personal account is very simple by means of accessibility
I recommend</v>
      </c>
    </row>
    <row r="240" ht="15.75" customHeight="1">
      <c r="A240" s="2">
        <v>5.0</v>
      </c>
      <c r="B240" s="2" t="s">
        <v>793</v>
      </c>
      <c r="C240" s="2" t="s">
        <v>794</v>
      </c>
      <c r="D240" s="2" t="s">
        <v>57</v>
      </c>
      <c r="E240" s="2" t="s">
        <v>14</v>
      </c>
      <c r="F240" s="2" t="s">
        <v>15</v>
      </c>
      <c r="G240" s="2" t="s">
        <v>795</v>
      </c>
      <c r="H240" s="2" t="s">
        <v>185</v>
      </c>
      <c r="I240" s="2" t="str">
        <f>IFERROR(__xludf.DUMMYFUNCTION("GOOGLETRANSLATE(C240,""fr"",""en"")"),"Benjamin is very good advice. Patient, attentive, available on a Saturday morning, which is not the case with our Generali agent. To be warmly recommended.")</f>
        <v>Benjamin is very good advice. Patient, attentive, available on a Saturday morning, which is not the case with our Generali agent. To be warmly recommended.</v>
      </c>
    </row>
    <row r="241" ht="15.75" customHeight="1">
      <c r="A241" s="2">
        <v>2.0</v>
      </c>
      <c r="B241" s="2" t="s">
        <v>796</v>
      </c>
      <c r="C241" s="2" t="s">
        <v>797</v>
      </c>
      <c r="D241" s="2" t="s">
        <v>143</v>
      </c>
      <c r="E241" s="2" t="s">
        <v>109</v>
      </c>
      <c r="F241" s="2" t="s">
        <v>15</v>
      </c>
      <c r="G241" s="2" t="s">
        <v>765</v>
      </c>
      <c r="H241" s="2" t="s">
        <v>17</v>
      </c>
      <c r="I241" s="2" t="str">
        <f>IFERROR(__xludf.DUMMYFUNCTION("GOOGLETRANSLATE(C241,""fr"",""en"")"),"They are bad times I am in work accident is for them it is not a LO accident I pay double and am covered for any illnesses")</f>
        <v>They are bad times I am in work accident is for them it is not a LO accident I pay double and am covered for any illnesses</v>
      </c>
    </row>
    <row r="242" ht="15.75" customHeight="1">
      <c r="A242" s="2">
        <v>4.0</v>
      </c>
      <c r="B242" s="2" t="s">
        <v>798</v>
      </c>
      <c r="C242" s="2" t="s">
        <v>799</v>
      </c>
      <c r="D242" s="2" t="s">
        <v>26</v>
      </c>
      <c r="E242" s="2" t="s">
        <v>14</v>
      </c>
      <c r="F242" s="2" t="s">
        <v>15</v>
      </c>
      <c r="G242" s="2" t="s">
        <v>529</v>
      </c>
      <c r="H242" s="2" t="s">
        <v>145</v>
      </c>
      <c r="I242" s="2" t="str">
        <f>IFERROR(__xludf.DUMMYFUNCTION("GOOGLETRANSLATE(C242,""fr"",""en"")"),"There is no need to look elsewhere, at the Direct Insurance price is very well placed, otherwise the best.
You will find nothing better with this level of services.
")</f>
        <v>There is no need to look elsewhere, at the Direct Insurance price is very well placed, otherwise the best.
You will find nothing better with this level of services.
</v>
      </c>
    </row>
    <row r="243" ht="15.75" customHeight="1">
      <c r="A243" s="2">
        <v>3.0</v>
      </c>
      <c r="B243" s="2" t="s">
        <v>800</v>
      </c>
      <c r="C243" s="2" t="s">
        <v>801</v>
      </c>
      <c r="D243" s="2" t="s">
        <v>26</v>
      </c>
      <c r="E243" s="2" t="s">
        <v>14</v>
      </c>
      <c r="F243" s="2" t="s">
        <v>15</v>
      </c>
      <c r="G243" s="2" t="s">
        <v>802</v>
      </c>
      <c r="H243" s="2" t="s">
        <v>34</v>
      </c>
      <c r="I243" s="2" t="str">
        <f>IFERROR(__xludf.DUMMYFUNCTION("GOOGLETRANSLATE(C243,""fr"",""en"")"),"This is what a sinister supported by you on February 6 is not always acted with the contract I am asked this evening to declare the claim again, and the remote customer service takes us, by their process telephone, and by the little means made available t"&amp;"o them in terms of management, for 4 -year -old children, who will have made a stupidity,")</f>
        <v>This is what a sinister supported by you on February 6 is not always acted with the contract I am asked this evening to declare the claim again, and the remote customer service takes us, by their process telephone, and by the little means made available to them in terms of management, for 4 -year -old children, who will have made a stupidity,</v>
      </c>
    </row>
    <row r="244" ht="15.75" customHeight="1">
      <c r="A244" s="2">
        <v>4.0</v>
      </c>
      <c r="B244" s="2" t="s">
        <v>803</v>
      </c>
      <c r="C244" s="2" t="s">
        <v>804</v>
      </c>
      <c r="D244" s="2" t="s">
        <v>26</v>
      </c>
      <c r="E244" s="2" t="s">
        <v>14</v>
      </c>
      <c r="F244" s="2" t="s">
        <v>15</v>
      </c>
      <c r="G244" s="2" t="s">
        <v>805</v>
      </c>
      <c r="H244" s="2" t="s">
        <v>81</v>
      </c>
      <c r="I244" s="2" t="str">
        <f>IFERROR(__xludf.DUMMYFUNCTION("GOOGLETRANSLATE(C244,""fr"",""en"")"),"I am satisfied with the sales department and the rapidity of an answer when requesting a quote on the phone. And of the contract transmitted by email")</f>
        <v>I am satisfied with the sales department and the rapidity of an answer when requesting a quote on the phone. And of the contract transmitted by email</v>
      </c>
    </row>
    <row r="245" ht="15.75" customHeight="1">
      <c r="A245" s="2">
        <v>4.0</v>
      </c>
      <c r="B245" s="2" t="s">
        <v>806</v>
      </c>
      <c r="C245" s="2" t="s">
        <v>807</v>
      </c>
      <c r="D245" s="2" t="s">
        <v>26</v>
      </c>
      <c r="E245" s="2" t="s">
        <v>14</v>
      </c>
      <c r="F245" s="2" t="s">
        <v>15</v>
      </c>
      <c r="G245" s="2" t="s">
        <v>808</v>
      </c>
      <c r="H245" s="2" t="s">
        <v>34</v>
      </c>
      <c r="I245" s="2" t="str">
        <f>IFERROR(__xludf.DUMMYFUNCTION("GOOGLETRANSLATE(C245,""fr"",""en"")"),"I just changed vehicles, and the changes are quick and simple to make! Not much to complain about, even on prices. The help of the advisor (courteous and competent, it is not so often ...) was nevertheless necessary.")</f>
        <v>I just changed vehicles, and the changes are quick and simple to make! Not much to complain about, even on prices. The help of the advisor (courteous and competent, it is not so often ...) was nevertheless necessary.</v>
      </c>
    </row>
    <row r="246" ht="15.75" customHeight="1">
      <c r="A246" s="2">
        <v>4.0</v>
      </c>
      <c r="B246" s="2" t="s">
        <v>809</v>
      </c>
      <c r="C246" s="2" t="s">
        <v>810</v>
      </c>
      <c r="D246" s="2" t="s">
        <v>26</v>
      </c>
      <c r="E246" s="2" t="s">
        <v>14</v>
      </c>
      <c r="F246" s="2" t="s">
        <v>15</v>
      </c>
      <c r="G246" s="2" t="s">
        <v>811</v>
      </c>
      <c r="H246" s="2" t="s">
        <v>185</v>
      </c>
      <c r="I246" s="2" t="str">
        <f>IFERROR(__xludf.DUMMYFUNCTION("GOOGLETRANSLATE(C246,""fr"",""en"")"),"I am satisfied with prices and services on the phone on the phone are fast and the interlocutors effective. I will stay with Direct Insurances")</f>
        <v>I am satisfied with prices and services on the phone on the phone are fast and the interlocutors effective. I will stay with Direct Insurances</v>
      </c>
    </row>
    <row r="247" ht="15.75" customHeight="1">
      <c r="A247" s="2">
        <v>4.0</v>
      </c>
      <c r="B247" s="2" t="s">
        <v>812</v>
      </c>
      <c r="C247" s="2" t="s">
        <v>813</v>
      </c>
      <c r="D247" s="2" t="s">
        <v>26</v>
      </c>
      <c r="E247" s="2" t="s">
        <v>104</v>
      </c>
      <c r="F247" s="2" t="s">
        <v>15</v>
      </c>
      <c r="G247" s="2" t="s">
        <v>814</v>
      </c>
      <c r="H247" s="2" t="s">
        <v>208</v>
      </c>
      <c r="I247" s="2" t="str">
        <f>IFERROR(__xludf.DUMMYFUNCTION("GOOGLETRANSLATE(C247,""fr"",""en"")"),"Unbearable to have to fill out multiple tracing forms to obtain a quote. I understand the desire to sell files but I am not ok with this prtatic")</f>
        <v>Unbearable to have to fill out multiple tracing forms to obtain a quote. I understand the desire to sell files but I am not ok with this prtatic</v>
      </c>
    </row>
    <row r="248" ht="15.75" customHeight="1">
      <c r="A248" s="2">
        <v>2.0</v>
      </c>
      <c r="B248" s="2" t="s">
        <v>815</v>
      </c>
      <c r="C248" s="2" t="s">
        <v>816</v>
      </c>
      <c r="D248" s="2" t="s">
        <v>20</v>
      </c>
      <c r="E248" s="2" t="s">
        <v>21</v>
      </c>
      <c r="F248" s="2" t="s">
        <v>15</v>
      </c>
      <c r="G248" s="2" t="s">
        <v>817</v>
      </c>
      <c r="H248" s="2" t="s">
        <v>818</v>
      </c>
      <c r="I248" s="2" t="str">
        <f>IFERROR(__xludf.DUMMYFUNCTION("GOOGLETRANSLATE(C248,""fr"",""en"")"),"Mandatory mutual in business. Good reimbursements but too expensive as an individual (almost 200 euros per month!)")</f>
        <v>Mandatory mutual in business. Good reimbursements but too expensive as an individual (almost 200 euros per month!)</v>
      </c>
    </row>
    <row r="249" ht="15.75" customHeight="1">
      <c r="A249" s="2">
        <v>1.0</v>
      </c>
      <c r="B249" s="2" t="s">
        <v>819</v>
      </c>
      <c r="C249" s="2" t="s">
        <v>820</v>
      </c>
      <c r="D249" s="2" t="s">
        <v>164</v>
      </c>
      <c r="E249" s="2" t="s">
        <v>43</v>
      </c>
      <c r="F249" s="2" t="s">
        <v>15</v>
      </c>
      <c r="G249" s="2" t="s">
        <v>821</v>
      </c>
      <c r="H249" s="2" t="s">
        <v>17</v>
      </c>
      <c r="I249" s="2" t="str">
        <f>IFERROR(__xludf.DUMMYFUNCTION("GOOGLETRANSLATE(C249,""fr"",""en"")"),"Scandal in the treatment of a liquidation of PERP. Since the end of August 2016, it has been 6 months since we are fighting to recover the sums due. (letters, numerous telephone calls, exchange for the start, registered letter ... To start they lose lette"&amp;"rs and ask to send them back (thing done by mail but they lose them again), since December we have been assured to recover the sums due, But I am still waiting. It is two weeks ago I sent a complaint via the link http://bit.ly/1rirw3yy on this date still "&amp;"no answer, what could be more surprising !! a total abberation for respect deceased and beneficiaries. I have just sent a letter to ACPR to alert them from their scandalous practices.")</f>
        <v>Scandal in the treatment of a liquidation of PERP. Since the end of August 2016, it has been 6 months since we are fighting to recover the sums due. (letters, numerous telephone calls, exchange for the start, registered letter ... To start they lose letters and ask to send them back (thing done by mail but they lose them again), since December we have been assured to recover the sums due, But I am still waiting. It is two weeks ago I sent a complaint via the link http://bit.ly/1rirw3yy on this date still no answer, what could be more surprising !! a total abberation for respect deceased and beneficiaries. I have just sent a letter to ACPR to alert them from their scandalous practices.</v>
      </c>
    </row>
    <row r="250" ht="15.75" customHeight="1">
      <c r="A250" s="2">
        <v>4.0</v>
      </c>
      <c r="B250" s="2" t="s">
        <v>822</v>
      </c>
      <c r="C250" s="2" t="s">
        <v>823</v>
      </c>
      <c r="D250" s="2" t="s">
        <v>188</v>
      </c>
      <c r="E250" s="2" t="s">
        <v>14</v>
      </c>
      <c r="F250" s="2" t="s">
        <v>15</v>
      </c>
      <c r="G250" s="2" t="s">
        <v>81</v>
      </c>
      <c r="H250" s="2" t="s">
        <v>81</v>
      </c>
      <c r="I250" s="2" t="str">
        <f>IFERROR(__xludf.DUMMYFUNCTION("GOOGLETRANSLATE(C250,""fr"",""en"")"),"The prices are average.
No assessment offered on the initiative of the GMF, it is really a lack!
Overall, the GMF remains good insurance.")</f>
        <v>The prices are average.
No assessment offered on the initiative of the GMF, it is really a lack!
Overall, the GMF remains good insurance.</v>
      </c>
    </row>
    <row r="251" ht="15.75" customHeight="1">
      <c r="A251" s="2">
        <v>1.0</v>
      </c>
      <c r="B251" s="2" t="s">
        <v>824</v>
      </c>
      <c r="C251" s="2" t="s">
        <v>825</v>
      </c>
      <c r="D251" s="2" t="s">
        <v>298</v>
      </c>
      <c r="E251" s="2" t="s">
        <v>38</v>
      </c>
      <c r="F251" s="2" t="s">
        <v>15</v>
      </c>
      <c r="G251" s="2" t="s">
        <v>826</v>
      </c>
      <c r="H251" s="2" t="s">
        <v>54</v>
      </c>
      <c r="I251" s="2" t="str">
        <f>IFERROR(__xludf.DUMMYFUNCTION("GOOGLETRANSLATE(C251,""fr"",""en"")"),"Catastrophic !!!!
I had an accident in 2015, I never heard from them once the motorcycle was classified EPAVE.
5 years after I have a disability rate of 14% and nothing of motorcycle insurance ... I am told that the file has been closed for 5 years "&amp;"....
forced to take a lawyer.
Impossible to join them, unique and constantly busy number ...
a shame !!! A file number and nothing more here is what we are for them.
To run away absolutely
")</f>
        <v>Catastrophic !!!!
I had an accident in 2015, I never heard from them once the motorcycle was classified EPAVE.
5 years after I have a disability rate of 14% and nothing of motorcycle insurance ... I am told that the file has been closed for 5 years ....
forced to take a lawyer.
Impossible to join them, unique and constantly busy number ...
a shame !!! A file number and nothing more here is what we are for them.
To run away absolutely
</v>
      </c>
    </row>
    <row r="252" ht="15.75" customHeight="1">
      <c r="A252" s="2">
        <v>4.0</v>
      </c>
      <c r="B252" s="2" t="s">
        <v>827</v>
      </c>
      <c r="C252" s="2" t="s">
        <v>828</v>
      </c>
      <c r="D252" s="2" t="s">
        <v>26</v>
      </c>
      <c r="E252" s="2" t="s">
        <v>14</v>
      </c>
      <c r="F252" s="2" t="s">
        <v>15</v>
      </c>
      <c r="G252" s="2" t="s">
        <v>829</v>
      </c>
      <c r="H252" s="2" t="s">
        <v>81</v>
      </c>
      <c r="I252" s="2" t="str">
        <f>IFERROR(__xludf.DUMMYFUNCTION("GOOGLETRANSLATE(C252,""fr"",""en"")"),"Rapid and effective satisfied everything went as planned no particular difficulty my requests were taken into account Help Telephonique Bienvenue")</f>
        <v>Rapid and effective satisfied everything went as planned no particular difficulty my requests were taken into account Help Telephonique Bienvenue</v>
      </c>
    </row>
    <row r="253" ht="15.75" customHeight="1">
      <c r="A253" s="2">
        <v>3.0</v>
      </c>
      <c r="B253" s="2" t="s">
        <v>830</v>
      </c>
      <c r="C253" s="2" t="s">
        <v>831</v>
      </c>
      <c r="D253" s="2" t="s">
        <v>26</v>
      </c>
      <c r="E253" s="2" t="s">
        <v>14</v>
      </c>
      <c r="F253" s="2" t="s">
        <v>15</v>
      </c>
      <c r="G253" s="2" t="s">
        <v>81</v>
      </c>
      <c r="H253" s="2" t="s">
        <v>81</v>
      </c>
      <c r="I253" s="2" t="str">
        <f>IFERROR(__xludf.DUMMYFUNCTION("GOOGLETRANSLATE(C253,""fr"",""en"")"),"okay
It's decent, not much more to add.
Thank you
This is my opinion now, I do not know your service, so not much to add. In a year we can take stock. Thank you
")</f>
        <v>okay
It's decent, not much more to add.
Thank you
This is my opinion now, I do not know your service, so not much to add. In a year we can take stock. Thank you
</v>
      </c>
    </row>
    <row r="254" ht="15.75" customHeight="1">
      <c r="A254" s="2">
        <v>4.0</v>
      </c>
      <c r="B254" s="2" t="s">
        <v>832</v>
      </c>
      <c r="C254" s="2" t="s">
        <v>833</v>
      </c>
      <c r="D254" s="2" t="s">
        <v>305</v>
      </c>
      <c r="E254" s="2" t="s">
        <v>38</v>
      </c>
      <c r="F254" s="2" t="s">
        <v>15</v>
      </c>
      <c r="G254" s="2" t="s">
        <v>153</v>
      </c>
      <c r="H254" s="2" t="s">
        <v>34</v>
      </c>
      <c r="I254" s="2" t="str">
        <f>IFERROR(__xludf.DUMMYFUNCTION("GOOGLETRANSLATE(C254,""fr"",""en"")"),"Fast and efficient, I hope I can be insured as soon as possible to be able to do the gray card as quickly as we can understand things on your site")</f>
        <v>Fast and efficient, I hope I can be insured as soon as possible to be able to do the gray card as quickly as we can understand things on your site</v>
      </c>
    </row>
    <row r="255" ht="15.75" customHeight="1">
      <c r="A255" s="2">
        <v>2.0</v>
      </c>
      <c r="B255" s="2" t="s">
        <v>834</v>
      </c>
      <c r="C255" s="2" t="s">
        <v>835</v>
      </c>
      <c r="D255" s="2" t="s">
        <v>26</v>
      </c>
      <c r="E255" s="2" t="s">
        <v>14</v>
      </c>
      <c r="F255" s="2" t="s">
        <v>15</v>
      </c>
      <c r="G255" s="2" t="s">
        <v>74</v>
      </c>
      <c r="H255" s="2" t="s">
        <v>74</v>
      </c>
      <c r="I255" s="2" t="str">
        <f>IFERROR(__xludf.DUMMYFUNCTION("GOOGLETRANSLATE(C255,""fr"",""en"")"),"For an online service, it seems absurd to have to fill for forms and send documents while we are only insured at Direct Insurance")</f>
        <v>For an online service, it seems absurd to have to fill for forms and send documents while we are only insured at Direct Insurance</v>
      </c>
    </row>
    <row r="256" ht="15.75" customHeight="1">
      <c r="A256" s="2">
        <v>3.0</v>
      </c>
      <c r="B256" s="2" t="s">
        <v>836</v>
      </c>
      <c r="C256" s="2" t="s">
        <v>837</v>
      </c>
      <c r="D256" s="2" t="s">
        <v>103</v>
      </c>
      <c r="E256" s="2" t="s">
        <v>14</v>
      </c>
      <c r="F256" s="2" t="s">
        <v>15</v>
      </c>
      <c r="G256" s="2" t="s">
        <v>838</v>
      </c>
      <c r="H256" s="2" t="s">
        <v>161</v>
      </c>
      <c r="I256" s="2" t="str">
        <f>IFERROR(__xludf.DUMMYFUNCTION("GOOGLETRANSLATE(C256,""fr"",""en"")"),"Bad taking into account the interest of the insured after claim. No answers to the questions asked")</f>
        <v>Bad taking into account the interest of the insured after claim. No answers to the questions asked</v>
      </c>
    </row>
    <row r="257" ht="15.75" customHeight="1">
      <c r="A257" s="2">
        <v>1.0</v>
      </c>
      <c r="B257" s="2" t="s">
        <v>839</v>
      </c>
      <c r="C257" s="2" t="s">
        <v>840</v>
      </c>
      <c r="D257" s="2" t="s">
        <v>57</v>
      </c>
      <c r="E257" s="2" t="s">
        <v>14</v>
      </c>
      <c r="F257" s="2" t="s">
        <v>15</v>
      </c>
      <c r="G257" s="2" t="s">
        <v>841</v>
      </c>
      <c r="H257" s="2" t="s">
        <v>208</v>
      </c>
      <c r="I257" s="2" t="str">
        <f>IFERROR(__xludf.DUMMYFUNCTION("GOOGLETRANSLATE(C257,""fr"",""en"")"),"Following a claim 6 months ago, my vehicle has been sold to your insurance since 14/10/2020 for the sum of € 31,500. Today I learn that my vehicle has been sold in Careco since 14/10/2020 and on my side I have still not been compensated. You are 1 month b"&amp;"ehind the legal period of compensation for the insurance code. All documents requested by the olive tree were sent and received. I do not understand this deadline knowing that the opposing party fully accepts the responsibilities of his insured. You have "&amp;"sold my vehicle and this session was made on my part to the one and only condition of compensation up to € 31,500! You are therefore obliged to meet me and your services are only leading us by boat and never reminds us! I seized your quality direction, I "&amp;"quickly send you a letter of formal notice also following consultation with my lawyer. You say you wait for a police report of which I was not even aware. You made us sign a non -alcohol level certificate to protect you. What are you waiting for! Insuranc"&amp;"e to flee as soon as you have a disaster, moreover, not responsible!
Claim: 2020712399")</f>
        <v>Following a claim 6 months ago, my vehicle has been sold to your insurance since 14/10/2020 for the sum of € 31,500. Today I learn that my vehicle has been sold in Careco since 14/10/2020 and on my side I have still not been compensated. You are 1 month behind the legal period of compensation for the insurance code. All documents requested by the olive tree were sent and received. I do not understand this deadline knowing that the opposing party fully accepts the responsibilities of his insured. You have sold my vehicle and this session was made on my part to the one and only condition of compensation up to € 31,500! You are therefore obliged to meet me and your services are only leading us by boat and never reminds us! I seized your quality direction, I quickly send you a letter of formal notice also following consultation with my lawyer. You say you wait for a police report of which I was not even aware. You made us sign a non -alcohol level certificate to protect you. What are you waiting for! Insurance to flee as soon as you have a disaster, moreover, not responsible!
Claim: 2020712399</v>
      </c>
    </row>
    <row r="258" ht="15.75" customHeight="1">
      <c r="A258" s="2">
        <v>1.0</v>
      </c>
      <c r="B258" s="2" t="s">
        <v>842</v>
      </c>
      <c r="C258" s="2" t="s">
        <v>843</v>
      </c>
      <c r="D258" s="2" t="s">
        <v>37</v>
      </c>
      <c r="E258" s="2" t="s">
        <v>38</v>
      </c>
      <c r="F258" s="2" t="s">
        <v>15</v>
      </c>
      <c r="G258" s="2" t="s">
        <v>844</v>
      </c>
      <c r="H258" s="2" t="s">
        <v>23</v>
      </c>
      <c r="I258" s="2" t="str">
        <f>IFERROR(__xludf.DUMMYFUNCTION("GOOGLETRANSLATE(C258,""fr"",""en"")"),"I called on August 6, 2020 this insurer to ensure a BMW 1600 GT and the person on the phone replies that the request will take more than 3 days when I had asked for insurance for the next day.
I had previously followed the Internet protocol and subscribe"&amp;"d through the web.
I therefore ask her to cancel my contract immediately and she replies that there is no problem and that it will be done.
What was my surprise when I came back from vacation to see a green insurance card at my home and of course the "&amp;"levy taken.
Nothing was done.
I try desperately to reach them but I am walking from service to services without counting the number of telephone cuts.
Today September 16 I have just had a person hoping that this problem is solved.
")</f>
        <v>I called on August 6, 2020 this insurer to ensure a BMW 1600 GT and the person on the phone replies that the request will take more than 3 days when I had asked for insurance for the next day.
I had previously followed the Internet protocol and subscribed through the web.
I therefore ask her to cancel my contract immediately and she replies that there is no problem and that it will be done.
What was my surprise when I came back from vacation to see a green insurance card at my home and of course the levy taken.
Nothing was done.
I try desperately to reach them but I am walking from service to services without counting the number of telephone cuts.
Today September 16 I have just had a person hoping that this problem is solved.
</v>
      </c>
    </row>
    <row r="259" ht="15.75" customHeight="1">
      <c r="A259" s="2">
        <v>5.0</v>
      </c>
      <c r="B259" s="2" t="s">
        <v>845</v>
      </c>
      <c r="C259" s="2" t="s">
        <v>846</v>
      </c>
      <c r="D259" s="2" t="s">
        <v>69</v>
      </c>
      <c r="E259" s="2" t="s">
        <v>21</v>
      </c>
      <c r="F259" s="2" t="s">
        <v>15</v>
      </c>
      <c r="G259" s="2" t="s">
        <v>847</v>
      </c>
      <c r="H259" s="2" t="s">
        <v>353</v>
      </c>
      <c r="I259" s="2" t="str">
        <f>IFERROR(__xludf.DUMMYFUNCTION("GOOGLETRANSLATE(C259,""fr"",""en"")"),"Hello
I had your collaborator Lamia on the phone and I am completely satisfied with it")</f>
        <v>Hello
I had your collaborator Lamia on the phone and I am completely satisfied with it</v>
      </c>
    </row>
    <row r="260" ht="15.75" customHeight="1">
      <c r="A260" s="2">
        <v>5.0</v>
      </c>
      <c r="B260" s="2" t="s">
        <v>848</v>
      </c>
      <c r="C260" s="2" t="s">
        <v>849</v>
      </c>
      <c r="D260" s="2" t="s">
        <v>26</v>
      </c>
      <c r="E260" s="2" t="s">
        <v>14</v>
      </c>
      <c r="F260" s="2" t="s">
        <v>15</v>
      </c>
      <c r="G260" s="2" t="s">
        <v>97</v>
      </c>
      <c r="H260" s="2" t="s">
        <v>28</v>
      </c>
      <c r="I260" s="2" t="str">
        <f>IFERROR(__xludf.DUMMYFUNCTION("GOOGLETRANSLATE(C260,""fr"",""en"")"),"Very practical quote to make and quite flexible and consistent offers, as well as attractive prices. It remains to be seen the effect and efficiency of insurance during the contract.")</f>
        <v>Very practical quote to make and quite flexible and consistent offers, as well as attractive prices. It remains to be seen the effect and efficiency of insurance during the contract.</v>
      </c>
    </row>
    <row r="261" ht="15.75" customHeight="1">
      <c r="A261" s="2">
        <v>3.0</v>
      </c>
      <c r="B261" s="2" t="s">
        <v>850</v>
      </c>
      <c r="C261" s="2" t="s">
        <v>851</v>
      </c>
      <c r="D261" s="2" t="s">
        <v>48</v>
      </c>
      <c r="E261" s="2" t="s">
        <v>21</v>
      </c>
      <c r="F261" s="2" t="s">
        <v>15</v>
      </c>
      <c r="G261" s="2" t="s">
        <v>189</v>
      </c>
      <c r="H261" s="2" t="s">
        <v>28</v>
      </c>
      <c r="I261" s="2" t="str">
        <f>IFERROR(__xludf.DUMMYFUNCTION("GOOGLETRANSLATE(C261,""fr"",""en"")"),"I had Intelligence Mariama satisfied with her help I USqua today no mutual problem for me excellent TV transmission is to date continue in this direction")</f>
        <v>I had Intelligence Mariama satisfied with her help I USqua today no mutual problem for me excellent TV transmission is to date continue in this direction</v>
      </c>
    </row>
    <row r="262" ht="15.75" customHeight="1">
      <c r="A262" s="2">
        <v>1.0</v>
      </c>
      <c r="B262" s="2" t="s">
        <v>852</v>
      </c>
      <c r="C262" s="2" t="s">
        <v>853</v>
      </c>
      <c r="D262" s="2" t="s">
        <v>103</v>
      </c>
      <c r="E262" s="2" t="s">
        <v>14</v>
      </c>
      <c r="F262" s="2" t="s">
        <v>15</v>
      </c>
      <c r="G262" s="2" t="s">
        <v>854</v>
      </c>
      <c r="H262" s="2" t="s">
        <v>94</v>
      </c>
      <c r="I262" s="2" t="str">
        <f>IFERROR(__xludf.DUMMYFUNCTION("GOOGLETRANSLATE(C262,""fr"",""en"")"),"To flee in emergency! Are not insurers but vulgar sellers of contracts where the customer is just a good gogo to pay to never be reimbursed!")</f>
        <v>To flee in emergency! Are not insurers but vulgar sellers of contracts where the customer is just a good gogo to pay to never be reimbursed!</v>
      </c>
    </row>
    <row r="263" ht="15.75" customHeight="1">
      <c r="A263" s="2">
        <v>2.0</v>
      </c>
      <c r="B263" s="2" t="s">
        <v>855</v>
      </c>
      <c r="C263" s="2" t="s">
        <v>856</v>
      </c>
      <c r="D263" s="2" t="s">
        <v>188</v>
      </c>
      <c r="E263" s="2" t="s">
        <v>14</v>
      </c>
      <c r="F263" s="2" t="s">
        <v>15</v>
      </c>
      <c r="G263" s="2" t="s">
        <v>857</v>
      </c>
      <c r="H263" s="2" t="s">
        <v>173</v>
      </c>
      <c r="I263" s="2" t="str">
        <f>IFERROR(__xludf.DUMMYFUNCTION("GOOGLETRANSLATE(C263,""fr"",""en"")"),"Three years after a non -responsible accident (a stop struck by a very large truck), the only compensation received to date, have been a check of an amount representing the market value of my vehicle and a small advance on my bodily harm.
For the rest (c"&amp;"ompensation for bodily injury, reimbursement of costs incurred, compensation for material damage), such as sister Anne and despite several letters with A.R, I do not see anything coming ... I would not say that the GMF is undoubtedly human. I would rather"&amp;" say that the GMF is undoubtedly to be avoided.
")</f>
        <v>Three years after a non -responsible accident (a stop struck by a very large truck), the only compensation received to date, have been a check of an amount representing the market value of my vehicle and a small advance on my bodily harm.
For the rest (compensation for bodily injury, reimbursement of costs incurred, compensation for material damage), such as sister Anne and despite several letters with A.R, I do not see anything coming ... I would not say that the GMF is undoubtedly human. I would rather say that the GMF is undoubtedly to be avoided.
</v>
      </c>
    </row>
    <row r="264" ht="15.75" customHeight="1">
      <c r="A264" s="2">
        <v>1.0</v>
      </c>
      <c r="B264" s="2" t="s">
        <v>858</v>
      </c>
      <c r="C264" s="2" t="s">
        <v>859</v>
      </c>
      <c r="D264" s="2" t="s">
        <v>26</v>
      </c>
      <c r="E264" s="2" t="s">
        <v>14</v>
      </c>
      <c r="F264" s="2" t="s">
        <v>15</v>
      </c>
      <c r="G264" s="2" t="s">
        <v>860</v>
      </c>
      <c r="H264" s="2" t="s">
        <v>122</v>
      </c>
      <c r="I264" s="2" t="str">
        <f>IFERROR(__xludf.DUMMYFUNCTION("GOOGLETRANSLATE(C264,""fr"",""en"")"),"More and more expensive and less and less advantageous, people on the incompetent phone, do not understand our requests. No claim and insurance that increases by 100 euros !!!!!")</f>
        <v>More and more expensive and less and less advantageous, people on the incompetent phone, do not understand our requests. No claim and insurance that increases by 100 euros !!!!!</v>
      </c>
    </row>
    <row r="265" ht="15.75" customHeight="1">
      <c r="A265" s="2">
        <v>2.0</v>
      </c>
      <c r="B265" s="2" t="s">
        <v>861</v>
      </c>
      <c r="C265" s="2" t="s">
        <v>862</v>
      </c>
      <c r="D265" s="2" t="s">
        <v>338</v>
      </c>
      <c r="E265" s="2" t="s">
        <v>14</v>
      </c>
      <c r="F265" s="2" t="s">
        <v>15</v>
      </c>
      <c r="G265" s="2" t="s">
        <v>863</v>
      </c>
      <c r="H265" s="2" t="s">
        <v>343</v>
      </c>
      <c r="I265" s="2" t="str">
        <f>IFERROR(__xludf.DUMMYFUNCTION("GOOGLETRANSLATE(C265,""fr"",""en"")"),"Almost become a customer but as they had the kindness of finding my file always incomplete and not precise (often the questionnaire was not complete so following that easy to find inaccuracies) I deduced that in my case their goal was more Pocket the 3 mo"&amp;"nths of insurance already settled and to be flee. This was the case; As a former employee of the office I decided to quickly ""leave the boat"" because if from the start we do not understand how will be if an accident occurs or my box breaks down or I don"&amp;"'t know what.
The icing on the cake without having signed the real contract they made me deduct from termination costs so on € 110 they reimbursed € 2 and a crumb ..... all that to have was an almost assured.")</f>
        <v>Almost become a customer but as they had the kindness of finding my file always incomplete and not precise (often the questionnaire was not complete so following that easy to find inaccuracies) I deduced that in my case their goal was more Pocket the 3 months of insurance already settled and to be flee. This was the case; As a former employee of the office I decided to quickly "leave the boat" because if from the start we do not understand how will be if an accident occurs or my box breaks down or I don't know what.
The icing on the cake without having signed the real contract they made me deduct from termination costs so on € 110 they reimbursed € 2 and a crumb ..... all that to have was an almost assured.</v>
      </c>
    </row>
    <row r="266" ht="15.75" customHeight="1">
      <c r="A266" s="2">
        <v>2.0</v>
      </c>
      <c r="B266" s="2" t="s">
        <v>864</v>
      </c>
      <c r="C266" s="2" t="s">
        <v>865</v>
      </c>
      <c r="D266" s="2" t="s">
        <v>84</v>
      </c>
      <c r="E266" s="2" t="s">
        <v>104</v>
      </c>
      <c r="F266" s="2" t="s">
        <v>15</v>
      </c>
      <c r="G266" s="2" t="s">
        <v>866</v>
      </c>
      <c r="H266" s="2" t="s">
        <v>566</v>
      </c>
      <c r="I266" s="2" t="str">
        <f>IFERROR(__xludf.DUMMYFUNCTION("GOOGLETRANSLATE(C266,""fr"",""en"")"),"Client has always been in Maif, that is to say for over 20 years, I have always been satisfied with their service, until today. My house has suffered damage following the Amélie storm and there I fall from very high: unsuitable emergency interventions, an"&amp;" assistance service which the interlocutors constantly change which does not advance the file. Every Monday I was forced to recall the facts ... which strongly affected my morale. That's not all, the expert mandated to see the damage on the house I rented"&amp;", did not know the file. He thought he represented my tenant. It was incorrect with us by constantly questioning our good time, did not even bother to look at the roof and the exterior of the damaged house. On these tips I brought in a specialized company"&amp;" that did the work of the expert and spent 2 hours measured, explore the frame. The company has noticed the link with the storm by producing supporting photos. The expert who saw nothing ... considers that the wind is not the cause of the damage or so lit"&amp;"tle 5% when there was no damage before the storm! As I had all confident in my insurer, I was naive! I should have been represented by an independent expert. This is what I will have to do. What has become of my insurance whose service I boasted, listenin"&amp;"g, and the fact that we were treated with humanity? Who are these experts who mistreat us and for whom we see a priori cheaters? I have the impression of being at any lambda insurer and more in the maif! I recall the commitment of my insurer: it exercises"&amp;" its activity for the sole benefit of its members, to whom it guarantees the quality and sustainability of its protection and its services. Both insurer and insured, each member is a full member of a community whose values ​​and rules he shares.")</f>
        <v>Client has always been in Maif, that is to say for over 20 years, I have always been satisfied with their service, until today. My house has suffered damage following the Amélie storm and there I fall from very high: unsuitable emergency interventions, an assistance service which the interlocutors constantly change which does not advance the file. Every Monday I was forced to recall the facts ... which strongly affected my morale. That's not all, the expert mandated to see the damage on the house I rented, did not know the file. He thought he represented my tenant. It was incorrect with us by constantly questioning our good time, did not even bother to look at the roof and the exterior of the damaged house. On these tips I brought in a specialized company that did the work of the expert and spent 2 hours measured, explore the frame. The company has noticed the link with the storm by producing supporting photos. The expert who saw nothing ... considers that the wind is not the cause of the damage or so little 5% when there was no damage before the storm! As I had all confident in my insurer, I was naive! I should have been represented by an independent expert. This is what I will have to do. What has become of my insurance whose service I boasted, listening, and the fact that we were treated with humanity? Who are these experts who mistreat us and for whom we see a priori cheaters? I have the impression of being at any lambda insurer and more in the maif! I recall the commitment of my insurer: it exercises its activity for the sole benefit of its members, to whom it guarantees the quality and sustainability of its protection and its services. Both insurer and insured, each member is a full member of a community whose values ​​and rules he shares.</v>
      </c>
    </row>
    <row r="267" ht="15.75" customHeight="1">
      <c r="A267" s="2">
        <v>5.0</v>
      </c>
      <c r="B267" s="2" t="s">
        <v>867</v>
      </c>
      <c r="C267" s="2" t="s">
        <v>868</v>
      </c>
      <c r="D267" s="2" t="s">
        <v>57</v>
      </c>
      <c r="E267" s="2" t="s">
        <v>14</v>
      </c>
      <c r="F267" s="2" t="s">
        <v>15</v>
      </c>
      <c r="G267" s="2" t="s">
        <v>423</v>
      </c>
      <c r="H267" s="2" t="s">
        <v>34</v>
      </c>
      <c r="I267" s="2" t="str">
        <f>IFERROR(__xludf.DUMMYFUNCTION("GOOGLETRANSLATE(C267,""fr"",""en"")"),"I am satisfied with the service and the price of my insurance.
The Internet service is easy and my interlocutor was available, clear and concise.
I will recommend this insurance.")</f>
        <v>I am satisfied with the service and the price of my insurance.
The Internet service is easy and my interlocutor was available, clear and concise.
I will recommend this insurance.</v>
      </c>
    </row>
    <row r="268" ht="15.75" customHeight="1">
      <c r="A268" s="2">
        <v>2.0</v>
      </c>
      <c r="B268" s="2" t="s">
        <v>869</v>
      </c>
      <c r="C268" s="2" t="s">
        <v>870</v>
      </c>
      <c r="D268" s="2" t="s">
        <v>188</v>
      </c>
      <c r="E268" s="2" t="s">
        <v>14</v>
      </c>
      <c r="F268" s="2" t="s">
        <v>15</v>
      </c>
      <c r="G268" s="2" t="s">
        <v>871</v>
      </c>
      <c r="H268" s="2" t="s">
        <v>28</v>
      </c>
      <c r="I268" s="2" t="str">
        <f>IFERROR(__xludf.DUMMYFUNCTION("GOOGLETRANSLATE(C268,""fr"",""en"")"),"I am more or less satisfied but I find that the price remains more expensive for because after more than 10 years of subscription, no significant drop for us taxpayers knowing when this difficult period of such increase and yet the short of life increases"&amp;".
To review the prices for the coming year.")</f>
        <v>I am more or less satisfied but I find that the price remains more expensive for because after more than 10 years of subscription, no significant drop for us taxpayers knowing when this difficult period of such increase and yet the short of life increases.
To review the prices for the coming year.</v>
      </c>
    </row>
    <row r="269" ht="15.75" customHeight="1">
      <c r="A269" s="2">
        <v>3.0</v>
      </c>
      <c r="B269" s="2" t="s">
        <v>872</v>
      </c>
      <c r="C269" s="2" t="s">
        <v>873</v>
      </c>
      <c r="D269" s="2" t="s">
        <v>31</v>
      </c>
      <c r="E269" s="2" t="s">
        <v>32</v>
      </c>
      <c r="F269" s="2" t="s">
        <v>15</v>
      </c>
      <c r="G269" s="2" t="s">
        <v>874</v>
      </c>
      <c r="H269" s="2" t="s">
        <v>28</v>
      </c>
      <c r="I269" s="2" t="str">
        <f>IFERROR(__xludf.DUMMYFUNCTION("GOOGLETRANSLATE(C269,""fr"",""en"")"),"The price suits me perfectly, I am waiting to know if my husband's membership will suit me. Thank you. Pending your response which I hope will be favorable to us.")</f>
        <v>The price suits me perfectly, I am waiting to know if my husband's membership will suit me. Thank you. Pending your response which I hope will be favorable to us.</v>
      </c>
    </row>
    <row r="270" ht="15.75" customHeight="1">
      <c r="A270" s="2">
        <v>4.0</v>
      </c>
      <c r="B270" s="2" t="s">
        <v>875</v>
      </c>
      <c r="C270" s="2" t="s">
        <v>876</v>
      </c>
      <c r="D270" s="2" t="s">
        <v>305</v>
      </c>
      <c r="E270" s="2" t="s">
        <v>38</v>
      </c>
      <c r="F270" s="2" t="s">
        <v>15</v>
      </c>
      <c r="G270" s="2" t="s">
        <v>877</v>
      </c>
      <c r="H270" s="2" t="s">
        <v>81</v>
      </c>
      <c r="I270" s="2" t="str">
        <f>IFERROR(__xludf.DUMMYFUNCTION("GOOGLETRANSLATE(C270,""fr"",""en"")"),"I am satisfied with the service and the prices as well as the speed of the operation.
I highly recommend April Moto to all those around me. I hope that in case of need you will also be responsive.")</f>
        <v>I am satisfied with the service and the prices as well as the speed of the operation.
I highly recommend April Moto to all those around me. I hope that in case of need you will also be responsive.</v>
      </c>
    </row>
    <row r="271" ht="15.75" customHeight="1">
      <c r="A271" s="2">
        <v>3.0</v>
      </c>
      <c r="B271" s="2" t="s">
        <v>878</v>
      </c>
      <c r="C271" s="2" t="s">
        <v>879</v>
      </c>
      <c r="D271" s="2" t="s">
        <v>880</v>
      </c>
      <c r="E271" s="2" t="s">
        <v>109</v>
      </c>
      <c r="F271" s="2" t="s">
        <v>15</v>
      </c>
      <c r="G271" s="2" t="s">
        <v>881</v>
      </c>
      <c r="H271" s="2" t="s">
        <v>361</v>
      </c>
      <c r="I271" s="2" t="str">
        <f>IFERROR(__xludf.DUMMYFUNCTION("GOOGLETRANSLATE(C271,""fr"",""en"")"),"It is a mutual that grows each year, recently won references are a positive image of our mutual which is chosen from other people by different ministers: Bravo")</f>
        <v>It is a mutual that grows each year, recently won references are a positive image of our mutual which is chosen from other people by different ministers: Bravo</v>
      </c>
    </row>
    <row r="272" ht="15.75" customHeight="1">
      <c r="A272" s="2">
        <v>2.0</v>
      </c>
      <c r="B272" s="2" t="s">
        <v>882</v>
      </c>
      <c r="C272" s="2" t="s">
        <v>883</v>
      </c>
      <c r="D272" s="2" t="s">
        <v>188</v>
      </c>
      <c r="E272" s="2" t="s">
        <v>14</v>
      </c>
      <c r="F272" s="2" t="s">
        <v>15</v>
      </c>
      <c r="G272" s="2" t="s">
        <v>884</v>
      </c>
      <c r="H272" s="2" t="s">
        <v>54</v>
      </c>
      <c r="I272" s="2" t="str">
        <f>IFERROR(__xludf.DUMMYFUNCTION("GOOGLETRANSLATE(C272,""fr"",""en"")"),"Currently a member of GMF for several 10 groits of mother years (fungal) in son, and insured for the car, the house, the motorcycle (currently).
Now I am really disappointed with the way that this insurer has become a war company that no longer respects "&amp;"its former customers, that I am.
Shame!.
B.Baert")</f>
        <v>Currently a member of GMF for several 10 groits of mother years (fungal) in son, and insured for the car, the house, the motorcycle (currently).
Now I am really disappointed with the way that this insurer has become a war company that no longer respects its former customers, that I am.
Shame!.
B.Baert</v>
      </c>
    </row>
    <row r="273" ht="15.75" customHeight="1">
      <c r="A273" s="2">
        <v>1.0</v>
      </c>
      <c r="B273" s="2" t="s">
        <v>885</v>
      </c>
      <c r="C273" s="2" t="s">
        <v>886</v>
      </c>
      <c r="D273" s="2" t="s">
        <v>53</v>
      </c>
      <c r="E273" s="2" t="s">
        <v>104</v>
      </c>
      <c r="F273" s="2" t="s">
        <v>15</v>
      </c>
      <c r="G273" s="2" t="s">
        <v>667</v>
      </c>
      <c r="H273" s="2" t="s">
        <v>161</v>
      </c>
      <c r="I273" s="2" t="str">
        <f>IFERROR(__xludf.DUMMYFUNCTION("GOOGLETRANSLATE(C273,""fr"",""en"")"),"After having declared a disaster home on the site directly, no response after 2 months. An email sent ... nothing ... call: unreachable !!
On the monitoring of the loss on the Internet always in ""support"" status with in addition a number of such ""advi"&amp;"sor"" which sends me back to another company! Genial I complained of my old insurance but at least they had settled a sinter in 3 days. Inadmissible for a company that I thought was serious. From my loss adjusted (if one day settled), I leave from home.")</f>
        <v>After having declared a disaster home on the site directly, no response after 2 months. An email sent ... nothing ... call: unreachable !!
On the monitoring of the loss on the Internet always in "support" status with in addition a number of such "advisor" which sends me back to another company! Genial I complained of my old insurance but at least they had settled a sinter in 3 days. Inadmissible for a company that I thought was serious. From my loss adjusted (if one day settled), I leave from home.</v>
      </c>
    </row>
    <row r="274" ht="15.75" customHeight="1">
      <c r="A274" s="2">
        <v>2.0</v>
      </c>
      <c r="B274" s="2" t="s">
        <v>887</v>
      </c>
      <c r="C274" s="2" t="s">
        <v>888</v>
      </c>
      <c r="D274" s="2" t="s">
        <v>262</v>
      </c>
      <c r="E274" s="2" t="s">
        <v>104</v>
      </c>
      <c r="F274" s="2" t="s">
        <v>15</v>
      </c>
      <c r="G274" s="2" t="s">
        <v>889</v>
      </c>
      <c r="H274" s="2" t="s">
        <v>361</v>
      </c>
      <c r="I274" s="2" t="str">
        <f>IFERROR(__xludf.DUMMYFUNCTION("GOOGLETRANSLATE(C274,""fr"",""en"")"),"Service far from being up to par.
No communication. No answer to my questions. No following.
And of course, no refund in the event of a problem. The insurer does not honor the part of his contract.
In short, to flee!")</f>
        <v>Service far from being up to par.
No communication. No answer to my questions. No following.
And of course, no refund in the event of a problem. The insurer does not honor the part of his contract.
In short, to flee!</v>
      </c>
    </row>
    <row r="275" ht="15.75" customHeight="1">
      <c r="A275" s="2">
        <v>4.0</v>
      </c>
      <c r="B275" s="2" t="s">
        <v>890</v>
      </c>
      <c r="C275" s="2" t="s">
        <v>891</v>
      </c>
      <c r="D275" s="2" t="s">
        <v>305</v>
      </c>
      <c r="E275" s="2" t="s">
        <v>38</v>
      </c>
      <c r="F275" s="2" t="s">
        <v>15</v>
      </c>
      <c r="G275" s="2" t="s">
        <v>892</v>
      </c>
      <c r="H275" s="2" t="s">
        <v>515</v>
      </c>
      <c r="I275" s="2" t="str">
        <f>IFERROR(__xludf.DUMMYFUNCTION("GOOGLETRANSLATE(C275,""fr"",""en"")"),"It is the cheapest that I found so I am satisfied with this transaction, I hope I have no accident now but otherwise I recommend")</f>
        <v>It is the cheapest that I found so I am satisfied with this transaction, I hope I have no accident now but otherwise I recommend</v>
      </c>
    </row>
    <row r="276" ht="15.75" customHeight="1">
      <c r="A276" s="2">
        <v>2.0</v>
      </c>
      <c r="B276" s="2" t="s">
        <v>893</v>
      </c>
      <c r="C276" s="2" t="s">
        <v>894</v>
      </c>
      <c r="D276" s="2" t="s">
        <v>37</v>
      </c>
      <c r="E276" s="2" t="s">
        <v>38</v>
      </c>
      <c r="F276" s="2" t="s">
        <v>15</v>
      </c>
      <c r="G276" s="2" t="s">
        <v>895</v>
      </c>
      <c r="H276" s="2" t="s">
        <v>122</v>
      </c>
      <c r="I276" s="2" t="str">
        <f>IFERROR(__xludf.DUMMYFUNCTION("GOOGLETRANSLATE(C276,""fr"",""en"")"),"Following an accident, AMV leaves the procedure dragged and criticizes me for not taking care of it ...
Having all -risk insurance and ending up with everything with everything is just lunar.
World champion of bad faith!
")</f>
        <v>Following an accident, AMV leaves the procedure dragged and criticizes me for not taking care of it ...
Having all -risk insurance and ending up with everything with everything is just lunar.
World champion of bad faith!
</v>
      </c>
    </row>
    <row r="277" ht="15.75" customHeight="1">
      <c r="A277" s="2">
        <v>4.0</v>
      </c>
      <c r="B277" s="2" t="s">
        <v>896</v>
      </c>
      <c r="C277" s="2" t="s">
        <v>897</v>
      </c>
      <c r="D277" s="2" t="s">
        <v>26</v>
      </c>
      <c r="E277" s="2" t="s">
        <v>14</v>
      </c>
      <c r="F277" s="2" t="s">
        <v>15</v>
      </c>
      <c r="G277" s="2" t="s">
        <v>898</v>
      </c>
      <c r="H277" s="2" t="s">
        <v>185</v>
      </c>
      <c r="I277" s="2" t="str">
        <f>IFERROR(__xludf.DUMMYFUNCTION("GOOGLETRANSLATE(C277,""fr"",""en"")"),"Super deals and quality of operators. Not having a claims and I hope not to have them, I do not give an opinion on the responsiveness of the services on this subject. Continue!")</f>
        <v>Super deals and quality of operators. Not having a claims and I hope not to have them, I do not give an opinion on the responsiveness of the services on this subject. Continue!</v>
      </c>
    </row>
    <row r="278" ht="15.75" customHeight="1">
      <c r="A278" s="2">
        <v>1.0</v>
      </c>
      <c r="B278" s="2" t="s">
        <v>899</v>
      </c>
      <c r="C278" s="2" t="s">
        <v>900</v>
      </c>
      <c r="D278" s="2" t="s">
        <v>901</v>
      </c>
      <c r="E278" s="2" t="s">
        <v>32</v>
      </c>
      <c r="F278" s="2" t="s">
        <v>15</v>
      </c>
      <c r="G278" s="2" t="s">
        <v>902</v>
      </c>
      <c r="H278" s="2" t="s">
        <v>166</v>
      </c>
      <c r="I278" s="2" t="str">
        <f>IFERROR(__xludf.DUMMYFUNCTION("GOOGLETRANSLATE(C278,""fr"",""en"")"),"Hello,
I am looking to contact you since 23.04.20 following your formal notice when my check was sent ... but never received in this particular context.
Following my last 5 email (dip@metlife.fr) without any response from you, I remind you that I made o"&amp;"pposition to my check since you have never received it on your premises.
I also sent a complaint letter with Ar in Courbevois and after 10 days still no receipt !!
What is going on ?! Ghost society !!? No one on the phone and nobody behind their screen!"&amp;" ???
I don't have Facebook so we will not be able to respond to your FB communication request.
Thank you for your answer, and to contact me quickly.
This situation is unacceptable!
Aurélie Chabrier")</f>
        <v>Hello,
I am looking to contact you since 23.04.20 following your formal notice when my check was sent ... but never received in this particular context.
Following my last 5 email (dip@metlife.fr) without any response from you, I remind you that I made opposition to my check since you have never received it on your premises.
I also sent a complaint letter with Ar in Courbevois and after 10 days still no receipt !!
What is going on ?! Ghost society !!? No one on the phone and nobody behind their screen! ???
I don't have Facebook so we will not be able to respond to your FB communication request.
Thank you for your answer, and to contact me quickly.
This situation is unacceptable!
Aurélie Chabrier</v>
      </c>
    </row>
    <row r="279" ht="15.75" customHeight="1">
      <c r="A279" s="2">
        <v>2.0</v>
      </c>
      <c r="B279" s="2" t="s">
        <v>903</v>
      </c>
      <c r="C279" s="2" t="s">
        <v>904</v>
      </c>
      <c r="D279" s="2" t="s">
        <v>338</v>
      </c>
      <c r="E279" s="2" t="s">
        <v>14</v>
      </c>
      <c r="F279" s="2" t="s">
        <v>15</v>
      </c>
      <c r="G279" s="2" t="s">
        <v>905</v>
      </c>
      <c r="H279" s="2" t="s">
        <v>63</v>
      </c>
      <c r="I279" s="2" t="str">
        <f>IFERROR(__xludf.DUMMYFUNCTION("GOOGLETRANSLATE(C279,""fr"",""en"")")," I terminated my contract in July 2020 and they continued the direct debits until November claiming that they did not receive the requested documents when I sent them by email and by mail. To date I still expect regularization.")</f>
        <v> I terminated my contract in July 2020 and they continued the direct debits until November claiming that they did not receive the requested documents when I sent them by email and by mail. To date I still expect regularization.</v>
      </c>
    </row>
    <row r="280" ht="15.75" customHeight="1">
      <c r="A280" s="2">
        <v>5.0</v>
      </c>
      <c r="B280" s="2" t="s">
        <v>906</v>
      </c>
      <c r="C280" s="2" t="s">
        <v>907</v>
      </c>
      <c r="D280" s="2" t="s">
        <v>908</v>
      </c>
      <c r="E280" s="2" t="s">
        <v>212</v>
      </c>
      <c r="F280" s="2" t="s">
        <v>15</v>
      </c>
      <c r="G280" s="2" t="s">
        <v>909</v>
      </c>
      <c r="H280" s="2" t="s">
        <v>185</v>
      </c>
      <c r="I280" s="2" t="str">
        <f>IFERROR(__xludf.DUMMYFUNCTION("GOOGLETRANSLATE(C280,""fr"",""en"")"),"My cat has been insured for 1 year. More high -end (high -end) full formula at € 36 per month.
Refunds in time for the two interventions he had to undergo + hospitalization.
Out of € 1480 of costs, I only paid only € 75 (franchise)
I recommend. Their a"&amp;"pplication ""my companion"" top !!")</f>
        <v>My cat has been insured for 1 year. More high -end (high -end) full formula at € 36 per month.
Refunds in time for the two interventions he had to undergo + hospitalization.
Out of € 1480 of costs, I only paid only € 75 (franchise)
I recommend. Their application "my companion" top !!</v>
      </c>
    </row>
    <row r="281" ht="15.75" customHeight="1">
      <c r="A281" s="2">
        <v>5.0</v>
      </c>
      <c r="B281" s="2" t="s">
        <v>910</v>
      </c>
      <c r="C281" s="2" t="s">
        <v>911</v>
      </c>
      <c r="D281" s="2" t="s">
        <v>48</v>
      </c>
      <c r="E281" s="2" t="s">
        <v>21</v>
      </c>
      <c r="F281" s="2" t="s">
        <v>15</v>
      </c>
      <c r="G281" s="2" t="s">
        <v>378</v>
      </c>
      <c r="H281" s="2" t="s">
        <v>379</v>
      </c>
      <c r="I281" s="2" t="str">
        <f>IFERROR(__xludf.DUMMYFUNCTION("GOOGLETRANSLATE(C281,""fr"",""en"")"),"I wanted to thank Erika for this contact of this day, very good advisor, she answered my questions and above all well advised so that my file advances faster")</f>
        <v>I wanted to thank Erika for this contact of this day, very good advisor, she answered my questions and above all well advised so that my file advances faster</v>
      </c>
    </row>
    <row r="282" ht="15.75" customHeight="1">
      <c r="A282" s="2">
        <v>3.0</v>
      </c>
      <c r="B282" s="2" t="s">
        <v>912</v>
      </c>
      <c r="C282" s="2" t="s">
        <v>913</v>
      </c>
      <c r="D282" s="2" t="s">
        <v>69</v>
      </c>
      <c r="E282" s="2" t="s">
        <v>21</v>
      </c>
      <c r="F282" s="2" t="s">
        <v>15</v>
      </c>
      <c r="G282" s="2" t="s">
        <v>914</v>
      </c>
      <c r="H282" s="2" t="s">
        <v>50</v>
      </c>
      <c r="I282" s="2" t="str">
        <f>IFERROR(__xludf.DUMMYFUNCTION("GOOGLETRANSLATE(C282,""fr"",""en"")"),"Very dissatisfied with the NEOLIANE call service on 01 40 89 15 85! I called Santiane customer service on 04 93 81 88 10 where my Gwendal interlocutor was listening, kind, very responsive and very professional! Really well done because this is not always "&amp;"the case with the ""online call"" services")</f>
        <v>Very dissatisfied with the NEOLIANE call service on 01 40 89 15 85! I called Santiane customer service on 04 93 81 88 10 where my Gwendal interlocutor was listening, kind, very responsive and very professional! Really well done because this is not always the case with the "online call" services</v>
      </c>
    </row>
    <row r="283" ht="15.75" customHeight="1">
      <c r="A283" s="2">
        <v>1.0</v>
      </c>
      <c r="B283" s="2" t="s">
        <v>915</v>
      </c>
      <c r="C283" s="2" t="s">
        <v>916</v>
      </c>
      <c r="D283" s="2" t="s">
        <v>571</v>
      </c>
      <c r="E283" s="2" t="s">
        <v>21</v>
      </c>
      <c r="F283" s="2" t="s">
        <v>15</v>
      </c>
      <c r="G283" s="2" t="s">
        <v>917</v>
      </c>
      <c r="H283" s="2" t="s">
        <v>17</v>
      </c>
      <c r="I283" s="2" t="str">
        <f>IFERROR(__xludf.DUMMYFUNCTION("GOOGLETRANSLATE(C283,""fr"",""en"")"),"Quite good guarantees, correct reimbursements, but too many increases each year, 10% minimum, it quickly becomes very expensive")</f>
        <v>Quite good guarantees, correct reimbursements, but too many increases each year, 10% minimum, it quickly becomes very expensive</v>
      </c>
    </row>
    <row r="284" ht="15.75" customHeight="1">
      <c r="A284" s="2">
        <v>5.0</v>
      </c>
      <c r="B284" s="2" t="s">
        <v>918</v>
      </c>
      <c r="C284" s="2" t="s">
        <v>919</v>
      </c>
      <c r="D284" s="2" t="s">
        <v>69</v>
      </c>
      <c r="E284" s="2" t="s">
        <v>21</v>
      </c>
      <c r="F284" s="2" t="s">
        <v>15</v>
      </c>
      <c r="G284" s="2" t="s">
        <v>920</v>
      </c>
      <c r="H284" s="2" t="s">
        <v>741</v>
      </c>
      <c r="I284" s="2" t="str">
        <f>IFERROR(__xludf.DUMMYFUNCTION("GOOGLETRANSLATE(C284,""fr"",""en"")"),"Very happy with the possibility offered by this mutual, very pleasant telephone exchange service with relevant questions about my situation and my needs, my Youness telephone advisor is to be emphasized.")</f>
        <v>Very happy with the possibility offered by this mutual, very pleasant telephone exchange service with relevant questions about my situation and my needs, my Youness telephone advisor is to be emphasized.</v>
      </c>
    </row>
    <row r="285" ht="15.75" customHeight="1">
      <c r="A285" s="2">
        <v>1.0</v>
      </c>
      <c r="B285" s="2" t="s">
        <v>921</v>
      </c>
      <c r="C285" s="2" t="s">
        <v>922</v>
      </c>
      <c r="D285" s="2" t="s">
        <v>164</v>
      </c>
      <c r="E285" s="2" t="s">
        <v>43</v>
      </c>
      <c r="F285" s="2" t="s">
        <v>15</v>
      </c>
      <c r="G285" s="2" t="s">
        <v>857</v>
      </c>
      <c r="H285" s="2" t="s">
        <v>173</v>
      </c>
      <c r="I285" s="2" t="str">
        <f>IFERROR(__xludf.DUMMYFUNCTION("GOOGLETRANSLATE(C285,""fr"",""en"")"),"Following the implementation of the Epargne Handicap option on 08/02/218, I asked for a certificate for this option. I have not received anything to date despite many reports")</f>
        <v>Following the implementation of the Epargne Handicap option on 08/02/218, I asked for a certificate for this option. I have not received anything to date despite many reports</v>
      </c>
    </row>
    <row r="286" ht="15.75" customHeight="1">
      <c r="A286" s="2">
        <v>2.0</v>
      </c>
      <c r="B286" s="2" t="s">
        <v>923</v>
      </c>
      <c r="C286" s="2" t="s">
        <v>924</v>
      </c>
      <c r="D286" s="2" t="s">
        <v>57</v>
      </c>
      <c r="E286" s="2" t="s">
        <v>14</v>
      </c>
      <c r="F286" s="2" t="s">
        <v>15</v>
      </c>
      <c r="G286" s="2" t="s">
        <v>925</v>
      </c>
      <c r="H286" s="2" t="s">
        <v>926</v>
      </c>
      <c r="I286" s="2" t="str">
        <f>IFERROR(__xludf.DUMMYFUNCTION("GOOGLETRANSLATE(C286,""fr"",""en"")"),"I wanted to change insurer following the successive increases without disaster my choice fell on the olive tree.
Customer service has proven to be a disaster there is hardly only the attractive price, the relationships between the sales department and th"&amp;"e customer are disastrous, I did a year for my 3 vehicles and I left")</f>
        <v>I wanted to change insurer following the successive increases without disaster my choice fell on the olive tree.
Customer service has proven to be a disaster there is hardly only the attractive price, the relationships between the sales department and the customer are disastrous, I did a year for my 3 vehicles and I left</v>
      </c>
    </row>
    <row r="287" ht="15.75" customHeight="1">
      <c r="A287" s="2">
        <v>4.0</v>
      </c>
      <c r="B287" s="2" t="s">
        <v>927</v>
      </c>
      <c r="C287" s="2" t="s">
        <v>928</v>
      </c>
      <c r="D287" s="2" t="s">
        <v>26</v>
      </c>
      <c r="E287" s="2" t="s">
        <v>14</v>
      </c>
      <c r="F287" s="2" t="s">
        <v>15</v>
      </c>
      <c r="G287" s="2" t="s">
        <v>385</v>
      </c>
      <c r="H287" s="2" t="s">
        <v>185</v>
      </c>
      <c r="I287" s="2" t="str">
        <f>IFERROR(__xludf.DUMMYFUNCTION("GOOGLETRANSLATE(C287,""fr"",""en"")"),"I am packing through the service The prices are competitive!
the salespeople respond immediately we are directed to the desired service
Waiting deadlines are reduced everything goes very quickly; And the prices are interesting even for a young drive"&amp;"r!")</f>
        <v>I am packing through the service The prices are competitive!
the salespeople respond immediately we are directed to the desired service
Waiting deadlines are reduced everything goes very quickly; And the prices are interesting even for a young driver!</v>
      </c>
    </row>
    <row r="288" ht="15.75" customHeight="1">
      <c r="A288" s="2">
        <v>3.0</v>
      </c>
      <c r="B288" s="2" t="s">
        <v>929</v>
      </c>
      <c r="C288" s="2" t="s">
        <v>930</v>
      </c>
      <c r="D288" s="2" t="s">
        <v>13</v>
      </c>
      <c r="E288" s="2" t="s">
        <v>14</v>
      </c>
      <c r="F288" s="2" t="s">
        <v>15</v>
      </c>
      <c r="G288" s="2" t="s">
        <v>931</v>
      </c>
      <c r="H288" s="2" t="s">
        <v>86</v>
      </c>
      <c r="I288" s="2" t="str">
        <f>IFERROR(__xludf.DUMMYFUNCTION("GOOGLETRANSLATE(C288,""fr"",""en"")"),"Disappointed by insurance, we had on the phone this January 8 at 6:55 p.m. Tuesday, very badly friendly, cut the floor. Did not want to send us an information statement by e-mail when an advisor told us that he could do. Call recorded, Madame had to be in"&amp;" a hurry to leave or her usual behavior. You will lose a client ... in short very disappointed, aggressive, pressed, badly kind ... and not the temp")</f>
        <v>Disappointed by insurance, we had on the phone this January 8 at 6:55 p.m. Tuesday, very badly friendly, cut the floor. Did not want to send us an information statement by e-mail when an advisor told us that he could do. Call recorded, Madame had to be in a hurry to leave or her usual behavior. You will lose a client ... in short very disappointed, aggressive, pressed, badly kind ... and not the temp</v>
      </c>
    </row>
    <row r="289" ht="15.75" customHeight="1">
      <c r="A289" s="2">
        <v>1.0</v>
      </c>
      <c r="B289" s="2" t="s">
        <v>932</v>
      </c>
      <c r="C289" s="2" t="s">
        <v>933</v>
      </c>
      <c r="D289" s="2" t="s">
        <v>250</v>
      </c>
      <c r="E289" s="2" t="s">
        <v>21</v>
      </c>
      <c r="F289" s="2" t="s">
        <v>15</v>
      </c>
      <c r="G289" s="2" t="s">
        <v>934</v>
      </c>
      <c r="H289" s="2" t="s">
        <v>691</v>
      </c>
      <c r="I289" s="2" t="str">
        <f>IFERROR(__xludf.DUMMYFUNCTION("GOOGLETRANSLATE(C289,""fr"",""en"")"),"Despite a withdrawal made within the deadlines (14 days) by mail with acknowledgment of reception at the agency of Lorient which was not to seek this recommended for the Post Office. I receive payment reminders. Center of Tours and many telephone calls no"&amp;"w a formal notice ... The agency is unreachable and the hotline is not in conjunction with the management center ?? impossible to have a responsible contact. oppose the bank so that they stop taking. I am amazed at the lack of responsiveness of this mutua"&amp;"l (55 days according to the hotline). I have all the proofs of my good faith sent to Tours but he Make a deaf ear! It is easier to adhere than to leave this mutual ...
I will not fail to make a bad ad if a quick solution is not found !!")</f>
        <v>Despite a withdrawal made within the deadlines (14 days) by mail with acknowledgment of reception at the agency of Lorient which was not to seek this recommended for the Post Office. I receive payment reminders. Center of Tours and many telephone calls now a formal notice ... The agency is unreachable and the hotline is not in conjunction with the management center ?? impossible to have a responsible contact. oppose the bank so that they stop taking. I am amazed at the lack of responsiveness of this mutual (55 days according to the hotline). I have all the proofs of my good faith sent to Tours but he Make a deaf ear! It is easier to adhere than to leave this mutual ...
I will not fail to make a bad ad if a quick solution is not found !!</v>
      </c>
    </row>
    <row r="290" ht="15.75" customHeight="1">
      <c r="A290" s="2">
        <v>1.0</v>
      </c>
      <c r="B290" s="2" t="s">
        <v>935</v>
      </c>
      <c r="C290" s="2" t="s">
        <v>936</v>
      </c>
      <c r="D290" s="2" t="s">
        <v>250</v>
      </c>
      <c r="E290" s="2" t="s">
        <v>21</v>
      </c>
      <c r="F290" s="2" t="s">
        <v>15</v>
      </c>
      <c r="G290" s="2" t="s">
        <v>937</v>
      </c>
      <c r="H290" s="2" t="s">
        <v>45</v>
      </c>
      <c r="I290" s="2" t="str">
        <f>IFERROR(__xludf.DUMMYFUNCTION("GOOGLETRANSLATE(C290,""fr"",""en"")"),"I do not recommend this mutual insurance for those beneficiaries of ACS make you pay before the registration of the contract is not able to terminate the old one in the meantime because no certificate suddenly you find yourself with two mutuals to pay whi"&amp;"le you are supposed to have help and to top it all I have to advance the costs because does not send me a card because old mutual insurance on social security you are supposed to have help because little income in the end you find with the double of mutua"&amp;"l insurance And in addition to advance the costs and send the invoices since no mutual card is just ironic I do not recommend this mutual for those with shameful ACS checks! And I just opened the contract it starts well")</f>
        <v>I do not recommend this mutual insurance for those beneficiaries of ACS make you pay before the registration of the contract is not able to terminate the old one in the meantime because no certificate suddenly you find yourself with two mutuals to pay while you are supposed to have help and to top it all I have to advance the costs because does not send me a card because old mutual insurance on social security you are supposed to have help because little income in the end you find with the double of mutual insurance And in addition to advance the costs and send the invoices since no mutual card is just ironic I do not recommend this mutual for those with shameful ACS checks! And I just opened the contract it starts well</v>
      </c>
    </row>
    <row r="291" ht="15.75" customHeight="1">
      <c r="A291" s="2">
        <v>4.0</v>
      </c>
      <c r="B291" s="2" t="s">
        <v>938</v>
      </c>
      <c r="C291" s="2" t="s">
        <v>939</v>
      </c>
      <c r="D291" s="2" t="s">
        <v>69</v>
      </c>
      <c r="E291" s="2" t="s">
        <v>21</v>
      </c>
      <c r="F291" s="2" t="s">
        <v>15</v>
      </c>
      <c r="G291" s="2" t="s">
        <v>357</v>
      </c>
      <c r="H291" s="2" t="s">
        <v>34</v>
      </c>
      <c r="I291" s="2" t="str">
        <f>IFERROR(__xludf.DUMMYFUNCTION("GOOGLETRANSLATE(C291,""fr"",""en"")"),"Manal is very professional and patient
She explained to me the various methods of transmission of documents
She created me my access codes without any worries
Cdlt
")</f>
        <v>Manal is very professional and patient
She explained to me the various methods of transmission of documents
She created me my access codes without any worries
Cdlt
</v>
      </c>
    </row>
    <row r="292" ht="15.75" customHeight="1">
      <c r="A292" s="2">
        <v>4.0</v>
      </c>
      <c r="B292" s="2" t="s">
        <v>940</v>
      </c>
      <c r="C292" s="2" t="s">
        <v>941</v>
      </c>
      <c r="D292" s="2" t="s">
        <v>26</v>
      </c>
      <c r="E292" s="2" t="s">
        <v>14</v>
      </c>
      <c r="F292" s="2" t="s">
        <v>15</v>
      </c>
      <c r="G292" s="2" t="s">
        <v>808</v>
      </c>
      <c r="H292" s="2" t="s">
        <v>34</v>
      </c>
      <c r="I292" s="2" t="str">
        <f>IFERROR(__xludf.DUMMYFUNCTION("GOOGLETRANSLATE(C292,""fr"",""en"")"),"Thank you for making our life easier !!! It's so practical to obtain a paperless insurance contract when you get home from work without needing to be absent to do so.")</f>
        <v>Thank you for making our life easier !!! It's so practical to obtain a paperless insurance contract when you get home from work without needing to be absent to do so.</v>
      </c>
    </row>
    <row r="293" ht="15.75" customHeight="1">
      <c r="A293" s="2">
        <v>4.0</v>
      </c>
      <c r="B293" s="2" t="s">
        <v>942</v>
      </c>
      <c r="C293" s="2" t="s">
        <v>943</v>
      </c>
      <c r="D293" s="2" t="s">
        <v>13</v>
      </c>
      <c r="E293" s="2" t="s">
        <v>14</v>
      </c>
      <c r="F293" s="2" t="s">
        <v>15</v>
      </c>
      <c r="G293" s="2" t="s">
        <v>944</v>
      </c>
      <c r="H293" s="2" t="s">
        <v>515</v>
      </c>
      <c r="I293" s="2" t="str">
        <f>IFERROR(__xludf.DUMMYFUNCTION("GOOGLETRANSLATE(C293,""fr"",""en"")"),"Impeccable care following an accident on the A1 motorway, whether on the part of assistance and care by Pacifica. Congratulations for your welcome and listening ... I recommend this insurer ??")</f>
        <v>Impeccable care following an accident on the A1 motorway, whether on the part of assistance and care by Pacifica. Congratulations for your welcome and listening ... I recommend this insurer ??</v>
      </c>
    </row>
    <row r="294" ht="15.75" customHeight="1">
      <c r="A294" s="2">
        <v>1.0</v>
      </c>
      <c r="B294" s="2" t="s">
        <v>945</v>
      </c>
      <c r="C294" s="2" t="s">
        <v>946</v>
      </c>
      <c r="D294" s="2" t="s">
        <v>42</v>
      </c>
      <c r="E294" s="2" t="s">
        <v>14</v>
      </c>
      <c r="F294" s="2" t="s">
        <v>15</v>
      </c>
      <c r="G294" s="2" t="s">
        <v>947</v>
      </c>
      <c r="H294" s="2" t="s">
        <v>194</v>
      </c>
      <c r="I294" s="2" t="str">
        <f>IFERROR(__xludf.DUMMYFUNCTION("GOOGLETRANSLATE(C294,""fr"",""en"")"),"I am more than disappointed by Allianz insurance, because having needed to use it, I really was plucked. Insured any risk and she refused to support repairs. To read the comments I see that I am not the only one in this case. Welcome to the Pigeons club !"&amp;"!!")</f>
        <v>I am more than disappointed by Allianz insurance, because having needed to use it, I really was plucked. Insured any risk and she refused to support repairs. To read the comments I see that I am not the only one in this case. Welcome to the Pigeons club !!!</v>
      </c>
    </row>
    <row r="295" ht="15.75" customHeight="1">
      <c r="A295" s="2">
        <v>5.0</v>
      </c>
      <c r="B295" s="2" t="s">
        <v>948</v>
      </c>
      <c r="C295" s="2" t="s">
        <v>949</v>
      </c>
      <c r="D295" s="2" t="s">
        <v>152</v>
      </c>
      <c r="E295" s="2" t="s">
        <v>109</v>
      </c>
      <c r="F295" s="2" t="s">
        <v>15</v>
      </c>
      <c r="G295" s="2" t="s">
        <v>950</v>
      </c>
      <c r="H295" s="2" t="s">
        <v>122</v>
      </c>
      <c r="I295" s="2" t="str">
        <f>IFERROR(__xludf.DUMMYFUNCTION("GOOGLETRANSLATE(C295,""fr"",""en"")"),"Very professional. Very satisfied. I am happy with the service and the price is reasonable. Too bad it is not label ... I could have been reimbursed by my town hall employer")</f>
        <v>Very professional. Very satisfied. I am happy with the service and the price is reasonable. Too bad it is not label ... I could have been reimbursed by my town hall employer</v>
      </c>
    </row>
    <row r="296" ht="15.75" customHeight="1">
      <c r="A296" s="2">
        <v>5.0</v>
      </c>
      <c r="B296" s="2" t="s">
        <v>951</v>
      </c>
      <c r="C296" s="2" t="s">
        <v>952</v>
      </c>
      <c r="D296" s="2" t="s">
        <v>305</v>
      </c>
      <c r="E296" s="2" t="s">
        <v>38</v>
      </c>
      <c r="F296" s="2" t="s">
        <v>15</v>
      </c>
      <c r="G296" s="2" t="s">
        <v>953</v>
      </c>
      <c r="H296" s="2" t="s">
        <v>122</v>
      </c>
      <c r="I296" s="2" t="str">
        <f>IFERROR(__xludf.DUMMYFUNCTION("GOOGLETRANSLATE(C296,""fr"",""en"")"),"I am satisfied the price suits me
Thank you for your quick service.
I'm going to rliminate your insurance to those around me? And I would like to get the betting system for you")</f>
        <v>I am satisfied the price suits me
Thank you for your quick service.
I'm going to rliminate your insurance to those around me? And I would like to get the betting system for you</v>
      </c>
    </row>
    <row r="297" ht="15.75" customHeight="1">
      <c r="A297" s="2">
        <v>1.0</v>
      </c>
      <c r="B297" s="2" t="s">
        <v>954</v>
      </c>
      <c r="C297" s="2" t="s">
        <v>955</v>
      </c>
      <c r="D297" s="2" t="s">
        <v>48</v>
      </c>
      <c r="E297" s="2" t="s">
        <v>21</v>
      </c>
      <c r="F297" s="2" t="s">
        <v>15</v>
      </c>
      <c r="G297" s="2" t="s">
        <v>956</v>
      </c>
      <c r="H297" s="2" t="s">
        <v>106</v>
      </c>
      <c r="I297" s="2" t="str">
        <f>IFERROR(__xludf.DUMMYFUNCTION("GOOGLETRANSLATE(C297,""fr"",""en"")"),"On 10/26/2017, telephone canvassing by a person pretending to be social security, and telling me that there was a problem with my file. This person tells me that with the Macron law, hospital costs would no longer be taken into account by social security "&amp;"and the mutual, and that the costs could be exorbitant. After asking me for confirmation of my date of birth and my address, this person manages to offer me the subscription of additional insurance taking charge of the daily hospitalization allowances for"&amp;" my wife and myself. Very convincing, this person manages to make me communicate my bank details and my laptop number to finalize the file. On my laptop, I then receive the following message: ""Hello, the XXXXX code allows you to sign your Néoliane insura"&amp;"nce contract which will start on 01/12/2017 for a direct debit of 22.79 €/month"".
Upon receipt of this SMS, the person makes me read the message and tells me that I will receive the written contract within about 15 days and he then leaves me a phone num"&amp;"ber that I can call if I did not receive the file.
After talking about it with my wife, she tries to contact them several times, but of course no answer. We therefore turn to Néoliane's customer service who confirms to us then that there is a validated c"&amp;"ontract, something that seems impossible to us since we have not communicated the code sent by SMS, allowing the signature of this .
Customer service then offers us to contact the broker who offered us this contract, something impossible since they do no"&amp;"t answer on the phone.
How to withdraw from a contract within the deadlines provided, if we have neither the contract, the member number, nor the special conditions and nor the contact details of this so-called broker working on behalf of Néoliane.")</f>
        <v>On 10/26/2017, telephone canvassing by a person pretending to be social security, and telling me that there was a problem with my file. This person tells me that with the Macron law, hospital costs would no longer be taken into account by social security and the mutual, and that the costs could be exorbitant. After asking me for confirmation of my date of birth and my address, this person manages to offer me the subscription of additional insurance taking charge of the daily hospitalization allowances for my wife and myself. Very convincing, this person manages to make me communicate my bank details and my laptop number to finalize the file. On my laptop, I then receive the following message: "Hello, the XXXXX code allows you to sign your Néoliane insurance contract which will start on 01/12/2017 for a direct debit of 22.79 €/month".
Upon receipt of this SMS, the person makes me read the message and tells me that I will receive the written contract within about 15 days and he then leaves me a phone number that I can call if I did not receive the file.
After talking about it with my wife, she tries to contact them several times, but of course no answer. We therefore turn to Néoliane's customer service who confirms to us then that there is a validated contract, something that seems impossible to us since we have not communicated the code sent by SMS, allowing the signature of this .
Customer service then offers us to contact the broker who offered us this contract, something impossible since they do not answer on the phone.
How to withdraw from a contract within the deadlines provided, if we have neither the contract, the member number, nor the special conditions and nor the contact details of this so-called broker working on behalf of Néoliane.</v>
      </c>
    </row>
    <row r="298" ht="15.75" customHeight="1">
      <c r="A298" s="2">
        <v>4.0</v>
      </c>
      <c r="B298" s="2" t="s">
        <v>957</v>
      </c>
      <c r="C298" s="2" t="s">
        <v>958</v>
      </c>
      <c r="D298" s="2" t="s">
        <v>57</v>
      </c>
      <c r="E298" s="2" t="s">
        <v>14</v>
      </c>
      <c r="F298" s="2" t="s">
        <v>15</v>
      </c>
      <c r="G298" s="2" t="s">
        <v>302</v>
      </c>
      <c r="H298" s="2" t="s">
        <v>28</v>
      </c>
      <c r="I298" s="2" t="str">
        <f>IFERROR(__xludf.DUMMYFUNCTION("GOOGLETRANSLATE(C298,""fr"",""en"")"),"I am satisfied with services and price. Good value for money. I highly recommend this insurance to my relatives and friends who are not satisfied with their insurance.")</f>
        <v>I am satisfied with services and price. Good value for money. I highly recommend this insurance to my relatives and friends who are not satisfied with their insurance.</v>
      </c>
    </row>
    <row r="299" ht="15.75" customHeight="1">
      <c r="A299" s="2">
        <v>4.0</v>
      </c>
      <c r="B299" s="2" t="s">
        <v>959</v>
      </c>
      <c r="C299" s="2" t="s">
        <v>960</v>
      </c>
      <c r="D299" s="2" t="s">
        <v>152</v>
      </c>
      <c r="E299" s="2" t="s">
        <v>21</v>
      </c>
      <c r="F299" s="2" t="s">
        <v>15</v>
      </c>
      <c r="G299" s="2" t="s">
        <v>961</v>
      </c>
      <c r="H299" s="2" t="s">
        <v>23</v>
      </c>
      <c r="I299" s="2" t="str">
        <f>IFERROR(__xludf.DUMMYFUNCTION("GOOGLETRANSLATE(C299,""fr"",""en"")"),"Mutual without problem for reimbursements, fast and clear.
 Easily reachable by phone, with patient and available interlocutors.")</f>
        <v>Mutual without problem for reimbursements, fast and clear.
 Easily reachable by phone, with patient and available interlocutors.</v>
      </c>
    </row>
    <row r="300" ht="15.75" customHeight="1">
      <c r="A300" s="2">
        <v>1.0</v>
      </c>
      <c r="B300" s="2" t="s">
        <v>962</v>
      </c>
      <c r="C300" s="2" t="s">
        <v>963</v>
      </c>
      <c r="D300" s="2" t="s">
        <v>192</v>
      </c>
      <c r="E300" s="2" t="s">
        <v>21</v>
      </c>
      <c r="F300" s="2" t="s">
        <v>15</v>
      </c>
      <c r="G300" s="2" t="s">
        <v>964</v>
      </c>
      <c r="H300" s="2" t="s">
        <v>547</v>
      </c>
      <c r="I300" s="2" t="str">
        <f>IFERROR(__xludf.DUMMYFUNCTION("GOOGLETRANSLATE(C300,""fr"",""en"")"),"Mediocrity to a name: Mgen!")</f>
        <v>Mediocrity to a name: Mgen!</v>
      </c>
    </row>
    <row r="301" ht="15.75" customHeight="1">
      <c r="A301" s="2">
        <v>1.0</v>
      </c>
      <c r="B301" s="2" t="s">
        <v>965</v>
      </c>
      <c r="C301" s="2" t="s">
        <v>966</v>
      </c>
      <c r="D301" s="2" t="s">
        <v>53</v>
      </c>
      <c r="E301" s="2" t="s">
        <v>14</v>
      </c>
      <c r="F301" s="2" t="s">
        <v>15</v>
      </c>
      <c r="G301" s="2" t="s">
        <v>967</v>
      </c>
      <c r="H301" s="2" t="s">
        <v>50</v>
      </c>
      <c r="I301" s="2" t="str">
        <f>IFERROR(__xludf.DUMMYFUNCTION("GOOGLETRANSLATE(C301,""fr"",""en"")"),"A advice, to flee! The advisers have no competence, no one ever says the same thing (having tried several MAAF agencies). Being a client for many years and no compensation made during a disaster and in addition no kindness when you have a problem.
")</f>
        <v>A advice, to flee! The advisers have no competence, no one ever says the same thing (having tried several MAAF agencies). Being a client for many years and no compensation made during a disaster and in addition no kindness when you have a problem.
</v>
      </c>
    </row>
    <row r="302" ht="15.75" customHeight="1">
      <c r="A302" s="2">
        <v>1.0</v>
      </c>
      <c r="B302" s="2" t="s">
        <v>968</v>
      </c>
      <c r="C302" s="2" t="s">
        <v>969</v>
      </c>
      <c r="D302" s="2" t="s">
        <v>315</v>
      </c>
      <c r="E302" s="2" t="s">
        <v>14</v>
      </c>
      <c r="F302" s="2" t="s">
        <v>15</v>
      </c>
      <c r="G302" s="2" t="s">
        <v>970</v>
      </c>
      <c r="H302" s="2" t="s">
        <v>218</v>
      </c>
      <c r="I302" s="2" t="str">
        <f>IFERROR(__xludf.DUMMYFUNCTION("GOOGLETRANSLATE(C302,""fr"",""en"")"),"Extremely disappointed by Eurofil. We are insured at Eurofil and they do everything to hang on to the slightest question to find out more and have information about their refusal to take care of our claim when we are assured of all risks. At the subscript"&amp;"ion my companion did not think of the last tiny responsible accidents that we had and according to Eurofil, this gives them the opportunity not to make sure, ok, but we paid and our claim must be taken care of, payment = insurance, the processing of files"&amp;" is deplorable")</f>
        <v>Extremely disappointed by Eurofil. We are insured at Eurofil and they do everything to hang on to the slightest question to find out more and have information about their refusal to take care of our claim when we are assured of all risks. At the subscription my companion did not think of the last tiny responsible accidents that we had and according to Eurofil, this gives them the opportunity not to make sure, ok, but we paid and our claim must be taken care of, payment = insurance, the processing of files is deplorable</v>
      </c>
    </row>
    <row r="303" ht="15.75" customHeight="1">
      <c r="A303" s="2">
        <v>2.0</v>
      </c>
      <c r="B303" s="2" t="s">
        <v>971</v>
      </c>
      <c r="C303" s="2" t="s">
        <v>972</v>
      </c>
      <c r="D303" s="2" t="s">
        <v>26</v>
      </c>
      <c r="E303" s="2" t="s">
        <v>14</v>
      </c>
      <c r="F303" s="2" t="s">
        <v>15</v>
      </c>
      <c r="G303" s="2" t="s">
        <v>973</v>
      </c>
      <c r="H303" s="2" t="s">
        <v>50</v>
      </c>
      <c r="I303" s="2" t="str">
        <f>IFERROR(__xludf.DUMMYFUNCTION("GOOGLETRANSLATE(C303,""fr"",""en"")"),"In mid-2019, a car fits me in it. I contact my direct insurance insurance that asks me to do things: declaration DELI of leak, etc. At the end of the year I receive a maturity notice with 26% penalty. Real anything")</f>
        <v>In mid-2019, a car fits me in it. I contact my direct insurance insurance that asks me to do things: declaration DELI of leak, etc. At the end of the year I receive a maturity notice with 26% penalty. Real anything</v>
      </c>
    </row>
    <row r="304" ht="15.75" customHeight="1">
      <c r="A304" s="2">
        <v>3.0</v>
      </c>
      <c r="B304" s="2" t="s">
        <v>974</v>
      </c>
      <c r="C304" s="2" t="s">
        <v>975</v>
      </c>
      <c r="D304" s="2" t="s">
        <v>262</v>
      </c>
      <c r="E304" s="2" t="s">
        <v>14</v>
      </c>
      <c r="F304" s="2" t="s">
        <v>15</v>
      </c>
      <c r="G304" s="2" t="s">
        <v>976</v>
      </c>
      <c r="H304" s="2" t="s">
        <v>185</v>
      </c>
      <c r="I304" s="2" t="str">
        <f>IFERROR(__xludf.DUMMYFUNCTION("GOOGLETRANSLATE(C304,""fr"",""en"")"),"It turns out that over time (every 6 months approximately) monthly contributions whatever the contracts increase even when we do not declare claims and although negotiation of farestral prices on appointment is done 'Do not get significant discounts")</f>
        <v>It turns out that over time (every 6 months approximately) monthly contributions whatever the contracts increase even when we do not declare claims and although negotiation of farestral prices on appointment is done 'Do not get significant discounts</v>
      </c>
    </row>
    <row r="305" ht="15.75" customHeight="1">
      <c r="A305" s="2">
        <v>1.0</v>
      </c>
      <c r="B305" s="2" t="s">
        <v>977</v>
      </c>
      <c r="C305" s="2" t="s">
        <v>978</v>
      </c>
      <c r="D305" s="2" t="s">
        <v>152</v>
      </c>
      <c r="E305" s="2" t="s">
        <v>21</v>
      </c>
      <c r="F305" s="2" t="s">
        <v>15</v>
      </c>
      <c r="G305" s="2" t="s">
        <v>979</v>
      </c>
      <c r="H305" s="2" t="s">
        <v>980</v>
      </c>
      <c r="I305" s="2" t="str">
        <f>IFERROR(__xludf.DUMMYFUNCTION("GOOGLETRANSLATE(C305,""fr"",""en"")"),"My mother has been a member for over 40 years, we take her € 86 per month, she has just been made a dental device, so hold on, for an invoice of € 870, the security reimburses € 158.03 and the MGP € 67.72 is scandalous. I have only one regret is not to ha"&amp;"ve stopped it earlier because we are required to wait until December 31, 2017, but believe me in September we will cancel the contract with relief. To avoid....")</f>
        <v>My mother has been a member for over 40 years, we take her € 86 per month, she has just been made a dental device, so hold on, for an invoice of € 870, the security reimburses € 158.03 and the MGP € 67.72 is scandalous. I have only one regret is not to have stopped it earlier because we are required to wait until December 31, 2017, but believe me in September we will cancel the contract with relief. To avoid....</v>
      </c>
    </row>
    <row r="306" ht="15.75" customHeight="1">
      <c r="A306" s="2">
        <v>3.0</v>
      </c>
      <c r="B306" s="2" t="s">
        <v>981</v>
      </c>
      <c r="C306" s="2" t="s">
        <v>982</v>
      </c>
      <c r="D306" s="2" t="s">
        <v>37</v>
      </c>
      <c r="E306" s="2" t="s">
        <v>38</v>
      </c>
      <c r="F306" s="2" t="s">
        <v>15</v>
      </c>
      <c r="G306" s="2" t="s">
        <v>983</v>
      </c>
      <c r="H306" s="2" t="s">
        <v>74</v>
      </c>
      <c r="I306" s="2" t="str">
        <f>IFERROR(__xludf.DUMMYFUNCTION("GOOGLETRANSLATE(C306,""fr"",""en"")"),"Customer satisfaction
Interesting price
Competitive I
Strongly recommends this insurance wide choice of insurance nothing to complain about very reactive")</f>
        <v>Customer satisfaction
Interesting price
Competitive I
Strongly recommends this insurance wide choice of insurance nothing to complain about very reactive</v>
      </c>
    </row>
    <row r="307" ht="15.75" customHeight="1">
      <c r="A307" s="2">
        <v>1.0</v>
      </c>
      <c r="B307" s="2" t="s">
        <v>984</v>
      </c>
      <c r="C307" s="2" t="s">
        <v>985</v>
      </c>
      <c r="D307" s="2" t="s">
        <v>42</v>
      </c>
      <c r="E307" s="2" t="s">
        <v>104</v>
      </c>
      <c r="F307" s="2" t="s">
        <v>15</v>
      </c>
      <c r="G307" s="2" t="s">
        <v>986</v>
      </c>
      <c r="H307" s="2" t="s">
        <v>208</v>
      </c>
      <c r="I307" s="2" t="str">
        <f>IFERROR(__xludf.DUMMYFUNCTION("GOOGLETRANSLATE(C307,""fr"",""en"")"),"Extremely disappointed with this insurance, whether housing or civil insurance.
We had a water damage paid at our expense because 4 months of waiting no compensation no professionalism. Incompetent expert !!
Same for a car accident no help !! I remove a"&amp;"ll my contracts from your home !!! Simply run away")</f>
        <v>Extremely disappointed with this insurance, whether housing or civil insurance.
We had a water damage paid at our expense because 4 months of waiting no compensation no professionalism. Incompetent expert !!
Same for a car accident no help !! I remove all my contracts from your home !!! Simply run away</v>
      </c>
    </row>
    <row r="308" ht="15.75" customHeight="1">
      <c r="A308" s="2">
        <v>5.0</v>
      </c>
      <c r="B308" s="2" t="s">
        <v>987</v>
      </c>
      <c r="C308" s="2" t="s">
        <v>988</v>
      </c>
      <c r="D308" s="2" t="s">
        <v>57</v>
      </c>
      <c r="E308" s="2" t="s">
        <v>14</v>
      </c>
      <c r="F308" s="2" t="s">
        <v>15</v>
      </c>
      <c r="G308" s="2" t="s">
        <v>234</v>
      </c>
      <c r="H308" s="2" t="s">
        <v>34</v>
      </c>
      <c r="I308" s="2" t="str">
        <f>IFERROR(__xludf.DUMMYFUNCTION("GOOGLETRANSLATE(C308,""fr"",""en"")"),"Satisfied with the service, easy and pleasant subscription, good relationships with phones. Have duration! The olive tree seems to want to maintain pleasant relationships with its customers.")</f>
        <v>Satisfied with the service, easy and pleasant subscription, good relationships with phones. Have duration! The olive tree seems to want to maintain pleasant relationships with its customers.</v>
      </c>
    </row>
    <row r="309" ht="15.75" customHeight="1">
      <c r="A309" s="2">
        <v>5.0</v>
      </c>
      <c r="B309" s="2" t="s">
        <v>989</v>
      </c>
      <c r="C309" s="2" t="s">
        <v>990</v>
      </c>
      <c r="D309" s="2" t="s">
        <v>37</v>
      </c>
      <c r="E309" s="2" t="s">
        <v>38</v>
      </c>
      <c r="F309" s="2" t="s">
        <v>15</v>
      </c>
      <c r="G309" s="2" t="s">
        <v>991</v>
      </c>
      <c r="H309" s="2" t="s">
        <v>74</v>
      </c>
      <c r="I309" s="2" t="str">
        <f>IFERROR(__xludf.DUMMYFUNCTION("GOOGLETRANSLATE(C309,""fr"",""en"")"),"They are at the top. Prices level, excellent communication/ relational level.
No worries with AMV.
Change of fast online contract.
Advisor to Tel very pleasant and very pro.")</f>
        <v>They are at the top. Prices level, excellent communication/ relational level.
No worries with AMV.
Change of fast online contract.
Advisor to Tel very pleasant and very pro.</v>
      </c>
    </row>
    <row r="310" ht="15.75" customHeight="1">
      <c r="A310" s="2">
        <v>4.0</v>
      </c>
      <c r="B310" s="2" t="s">
        <v>992</v>
      </c>
      <c r="C310" s="2" t="s">
        <v>993</v>
      </c>
      <c r="D310" s="2" t="s">
        <v>57</v>
      </c>
      <c r="E310" s="2" t="s">
        <v>14</v>
      </c>
      <c r="F310" s="2" t="s">
        <v>15</v>
      </c>
      <c r="G310" s="2" t="s">
        <v>649</v>
      </c>
      <c r="H310" s="2" t="s">
        <v>74</v>
      </c>
      <c r="I310" s="2" t="str">
        <f>IFERROR(__xludf.DUMMYFUNCTION("GOOGLETRANSLATE(C310,""fr"",""en"")"),"I am fully satisfied with my car insurance contract. I hope to stay in this insurance company for a long time and maybe I will assure my motorcycle.
")</f>
        <v>I am fully satisfied with my car insurance contract. I hope to stay in this insurance company for a long time and maybe I will assure my motorcycle.
</v>
      </c>
    </row>
    <row r="311" ht="15.75" customHeight="1">
      <c r="A311" s="2">
        <v>2.0</v>
      </c>
      <c r="B311" s="2" t="s">
        <v>994</v>
      </c>
      <c r="C311" s="2" t="s">
        <v>995</v>
      </c>
      <c r="D311" s="2" t="s">
        <v>996</v>
      </c>
      <c r="E311" s="2" t="s">
        <v>43</v>
      </c>
      <c r="F311" s="2" t="s">
        <v>15</v>
      </c>
      <c r="G311" s="2" t="s">
        <v>997</v>
      </c>
      <c r="H311" s="2" t="s">
        <v>926</v>
      </c>
      <c r="I311" s="2" t="str">
        <f>IFERROR(__xludf.DUMMYFUNCTION("GOOGLETRANSLATE(C311,""fr"",""en"")"),"I haven't been able to access my account for two months. Impossible to have useful contact with an AFER agent. My advisor only knows how to sell products but is completely ineffective elsewhere. No one responds to the phone or emails. I am very worried ab"&amp;"out the situation of my accounts, especially since the AFER site does not mention the existence of a mediator within it.")</f>
        <v>I haven't been able to access my account for two months. Impossible to have useful contact with an AFER agent. My advisor only knows how to sell products but is completely ineffective elsewhere. No one responds to the phone or emails. I am very worried about the situation of my accounts, especially since the AFER site does not mention the existence of a mediator within it.</v>
      </c>
    </row>
    <row r="312" ht="15.75" customHeight="1">
      <c r="A312" s="2">
        <v>1.0</v>
      </c>
      <c r="B312" s="2" t="s">
        <v>998</v>
      </c>
      <c r="C312" s="2" t="s">
        <v>999</v>
      </c>
      <c r="D312" s="2" t="s">
        <v>37</v>
      </c>
      <c r="E312" s="2" t="s">
        <v>38</v>
      </c>
      <c r="F312" s="2" t="s">
        <v>15</v>
      </c>
      <c r="G312" s="2" t="s">
        <v>1000</v>
      </c>
      <c r="H312" s="2" t="s">
        <v>252</v>
      </c>
      <c r="I312" s="2" t="str">
        <f>IFERROR(__xludf.DUMMYFUNCTION("GOOGLETRANSLATE(C312,""fr"",""en"")"),"What to start with? their endless processing time? their rudeness? The way of giving their client work.
It's been almost a month and formed that I declared a disaster, I had to make the appointment with the expert and the garage myself, something that "&amp;"I never had to do with any of my previous insurers , the expert has passed for over a month now and still nothing. I am not responsible so a priori nothing to pay for AMV. Difficult to understand what is going on. Especially since we do their work and in "&amp;"addition to that we are talking about badly.
Just incredible !!!")</f>
        <v>What to start with? their endless processing time? their rudeness? The way of giving their client work.
It's been almost a month and formed that I declared a disaster, I had to make the appointment with the expert and the garage myself, something that I never had to do with any of my previous insurers , the expert has passed for over a month now and still nothing. I am not responsible so a priori nothing to pay for AMV. Difficult to understand what is going on. Especially since we do their work and in addition to that we are talking about badly.
Just incredible !!!</v>
      </c>
    </row>
    <row r="313" ht="15.75" customHeight="1">
      <c r="A313" s="2">
        <v>1.0</v>
      </c>
      <c r="B313" s="2" t="s">
        <v>1001</v>
      </c>
      <c r="C313" s="2" t="s">
        <v>1002</v>
      </c>
      <c r="D313" s="2" t="s">
        <v>61</v>
      </c>
      <c r="E313" s="2" t="s">
        <v>109</v>
      </c>
      <c r="F313" s="2" t="s">
        <v>15</v>
      </c>
      <c r="G313" s="2" t="s">
        <v>1003</v>
      </c>
      <c r="H313" s="2" t="s">
        <v>329</v>
      </c>
      <c r="I313" s="2" t="str">
        <f>IFERROR(__xludf.DUMMYFUNCTION("GOOGLETRANSLATE(C313,""fr"",""en"")"),"To flee !!!! Waiting for a regulations since May ... use the RIB planned to make me a refund to set up samples which do not have to be a reimbursement still not done ... pretext Delay from to the various bridge of the May of May then an Effective under th"&amp;"e summer holidays ... To be flee.")</f>
        <v>To flee !!!! Waiting for a regulations since May ... use the RIB planned to make me a refund to set up samples which do not have to be a reimbursement still not done ... pretext Delay from to the various bridge of the May of May then an Effective under the summer holidays ... To be flee.</v>
      </c>
    </row>
    <row r="314" ht="15.75" customHeight="1">
      <c r="A314" s="2">
        <v>2.0</v>
      </c>
      <c r="B314" s="2" t="s">
        <v>1004</v>
      </c>
      <c r="C314" s="2" t="s">
        <v>1005</v>
      </c>
      <c r="D314" s="2" t="s">
        <v>26</v>
      </c>
      <c r="E314" s="2" t="s">
        <v>104</v>
      </c>
      <c r="F314" s="2" t="s">
        <v>15</v>
      </c>
      <c r="G314" s="2" t="s">
        <v>1006</v>
      </c>
      <c r="H314" s="2" t="s">
        <v>482</v>
      </c>
      <c r="I314" s="2" t="str">
        <f>IFERROR(__xludf.DUMMYFUNCTION("GOOGLETRANSLATE(C314,""fr"",""en"")"),"Being a customer for many years for housing and car, having led to several people around me to join Direct Assurance, due to the attractive prices it must be recognized. I had to leave Direct Insurance for the vehicle because it does not provide company v"&amp;"ehicles. Having temporary cash difficulties, Direct Assurance terminated me despite that I have settled my subscription a few days behind.
No commercial gesture of the steep, without your possibility of discussing.
No listening no sense of trade, a mach"&amp;"ine would do not better on the relational level.
")</f>
        <v>Being a customer for many years for housing and car, having led to several people around me to join Direct Assurance, due to the attractive prices it must be recognized. I had to leave Direct Insurance for the vehicle because it does not provide company vehicles. Having temporary cash difficulties, Direct Assurance terminated me despite that I have settled my subscription a few days behind.
No commercial gesture of the steep, without your possibility of discussing.
No listening no sense of trade, a machine would do not better on the relational level.
</v>
      </c>
    </row>
    <row r="315" ht="15.75" customHeight="1">
      <c r="A315" s="2">
        <v>4.0</v>
      </c>
      <c r="B315" s="2" t="s">
        <v>1007</v>
      </c>
      <c r="C315" s="2" t="s">
        <v>1008</v>
      </c>
      <c r="D315" s="2" t="s">
        <v>26</v>
      </c>
      <c r="E315" s="2" t="s">
        <v>14</v>
      </c>
      <c r="F315" s="2" t="s">
        <v>15</v>
      </c>
      <c r="G315" s="2" t="s">
        <v>1009</v>
      </c>
      <c r="H315" s="2" t="s">
        <v>90</v>
      </c>
      <c r="I315" s="2" t="str">
        <f>IFERROR(__xludf.DUMMYFUNCTION("GOOGLETRANSLATE(C315,""fr"",""en"")"),"
Very satisfied with the services of your site to quickly ensure my vehicle. The prices are very attractive to my expectations? THANK YOU?")</f>
        <v>
Very satisfied with the services of your site to quickly ensure my vehicle. The prices are very attractive to my expectations? THANK YOU?</v>
      </c>
    </row>
    <row r="316" ht="15.75" customHeight="1">
      <c r="A316" s="2">
        <v>5.0</v>
      </c>
      <c r="B316" s="2" t="s">
        <v>1010</v>
      </c>
      <c r="C316" s="2" t="s">
        <v>1011</v>
      </c>
      <c r="D316" s="2" t="s">
        <v>57</v>
      </c>
      <c r="E316" s="2" t="s">
        <v>14</v>
      </c>
      <c r="F316" s="2" t="s">
        <v>15</v>
      </c>
      <c r="G316" s="2" t="s">
        <v>475</v>
      </c>
      <c r="H316" s="2" t="s">
        <v>81</v>
      </c>
      <c r="I316" s="2" t="str">
        <f>IFERROR(__xludf.DUMMYFUNCTION("GOOGLETRANSLATE(C316,""fr"",""en"")"),"The customer service advisor was very clear in his explanations. The prices are very competitive. To see in time and in the event of a disaster.")</f>
        <v>The customer service advisor was very clear in his explanations. The prices are very competitive. To see in time and in the event of a disaster.</v>
      </c>
    </row>
    <row r="317" ht="15.75" customHeight="1">
      <c r="A317" s="2">
        <v>2.0</v>
      </c>
      <c r="B317" s="2" t="s">
        <v>1012</v>
      </c>
      <c r="C317" s="2" t="s">
        <v>1013</v>
      </c>
      <c r="D317" s="2" t="s">
        <v>26</v>
      </c>
      <c r="E317" s="2" t="s">
        <v>14</v>
      </c>
      <c r="F317" s="2" t="s">
        <v>15</v>
      </c>
      <c r="G317" s="2" t="s">
        <v>237</v>
      </c>
      <c r="H317" s="2" t="s">
        <v>166</v>
      </c>
      <c r="I317" s="2" t="str">
        <f>IFERROR(__xludf.DUMMYFUNCTION("GOOGLETRANSLATE(C317,""fr"",""en"")"),"It is really simple and practical and easy to achieve by more people and the prices are affordable, that is all I can say.")</f>
        <v>It is really simple and practical and easy to achieve by more people and the prices are affordable, that is all I can say.</v>
      </c>
    </row>
    <row r="318" ht="15.75" customHeight="1">
      <c r="A318" s="2">
        <v>4.0</v>
      </c>
      <c r="B318" s="2" t="s">
        <v>1014</v>
      </c>
      <c r="C318" s="2" t="s">
        <v>1015</v>
      </c>
      <c r="D318" s="2" t="s">
        <v>57</v>
      </c>
      <c r="E318" s="2" t="s">
        <v>14</v>
      </c>
      <c r="F318" s="2" t="s">
        <v>15</v>
      </c>
      <c r="G318" s="2" t="s">
        <v>895</v>
      </c>
      <c r="H318" s="2" t="s">
        <v>122</v>
      </c>
      <c r="I318" s="2" t="str">
        <f>IFERROR(__xludf.DUMMYFUNCTION("GOOGLETRANSLATE(C318,""fr"",""en"")"),"I am satisfied with the price of offers, simple and quick to work on the Internet. I want to recommend insurance for other people I know.")</f>
        <v>I am satisfied with the price of offers, simple and quick to work on the Internet. I want to recommend insurance for other people I know.</v>
      </c>
    </row>
    <row r="319" ht="15.75" customHeight="1">
      <c r="A319" s="2">
        <v>1.0</v>
      </c>
      <c r="B319" s="2" t="s">
        <v>1016</v>
      </c>
      <c r="C319" s="2" t="s">
        <v>1017</v>
      </c>
      <c r="D319" s="2" t="s">
        <v>42</v>
      </c>
      <c r="E319" s="2" t="s">
        <v>104</v>
      </c>
      <c r="F319" s="2" t="s">
        <v>15</v>
      </c>
      <c r="G319" s="2" t="s">
        <v>1018</v>
      </c>
      <c r="H319" s="2" t="s">
        <v>74</v>
      </c>
      <c r="I319" s="2" t="str">
        <f>IFERROR(__xludf.DUMMYFUNCTION("GOOGLETRANSLATE(C319,""fr"",""en"")"),"Customer Since September 2005, my premium went from € 23.30 in 2013, to 29.97 in 2018 (28 % in 5 years), then 33.66 in 2019 and now 39.35 in 2020, or 69 % of Increase since the origin of the contract !!!!!! When I ask why my home insurance subscription in"&amp;"creased by 17% in 2020, and also by 12% in 2019, while the media announces increases of around 1.5 to 2.2%, possibly Up to 5% in exceptional cases, nobody answers me? I'm still waiting to receive plausible supporting documents.
I understood: the sums rec"&amp;"overed from our contributions go to advertising and sports organizations, Allianz should do its job as an insurer, becoming more competitive and respecting its customers, instead of ""sending them to walk"", to stay polite. I'm tired of getting a walk for"&amp;" 3 years with their evasive answers, and again, when they deign to answer.
This opinion concerns the home insurance, while the damage I have suffered were caused by the neighboring neighbors. For the car, having no claim, I have nothing to say, but I sup"&amp;"pose it would have been the same.
Note: I have already expressed myself on Allianz advertisements on Facebook, but you can broadcast.")</f>
        <v>Customer Since September 2005, my premium went from € 23.30 in 2013, to 29.97 in 2018 (28 % in 5 years), then 33.66 in 2019 and now 39.35 in 2020, or 69 % of Increase since the origin of the contract !!!!!! When I ask why my home insurance subscription increased by 17% in 2020, and also by 12% in 2019, while the media announces increases of around 1.5 to 2.2%, possibly Up to 5% in exceptional cases, nobody answers me? I'm still waiting to receive plausible supporting documents.
I understood: the sums recovered from our contributions go to advertising and sports organizations, Allianz should do its job as an insurer, becoming more competitive and respecting its customers, instead of "sending them to walk", to stay polite. I'm tired of getting a walk for 3 years with their evasive answers, and again, when they deign to answer.
This opinion concerns the home insurance, while the damage I have suffered were caused by the neighboring neighbors. For the car, having no claim, I have nothing to say, but I suppose it would have been the same.
Note: I have already expressed myself on Allianz advertisements on Facebook, but you can broadcast.</v>
      </c>
    </row>
    <row r="320" ht="15.75" customHeight="1">
      <c r="A320" s="2">
        <v>5.0</v>
      </c>
      <c r="B320" s="2" t="s">
        <v>1019</v>
      </c>
      <c r="C320" s="2" t="s">
        <v>1020</v>
      </c>
      <c r="D320" s="2" t="s">
        <v>26</v>
      </c>
      <c r="E320" s="2" t="s">
        <v>14</v>
      </c>
      <c r="F320" s="2" t="s">
        <v>15</v>
      </c>
      <c r="G320" s="2" t="s">
        <v>189</v>
      </c>
      <c r="H320" s="2" t="s">
        <v>28</v>
      </c>
      <c r="I320" s="2" t="str">
        <f>IFERROR(__xludf.DUMMYFUNCTION("GOOGLETRANSLATE(C320,""fr"",""en"")"),"I am satisfied thank you to you
Contract very quickly thank you for your efficiency
I hope very quickly and that we will stay with you for a very long time")</f>
        <v>I am satisfied thank you to you
Contract very quickly thank you for your efficiency
I hope very quickly and that we will stay with you for a very long time</v>
      </c>
    </row>
    <row r="321" ht="15.75" customHeight="1">
      <c r="A321" s="2">
        <v>1.0</v>
      </c>
      <c r="B321" s="2" t="s">
        <v>1021</v>
      </c>
      <c r="C321" s="2" t="s">
        <v>1022</v>
      </c>
      <c r="D321" s="2" t="s">
        <v>13</v>
      </c>
      <c r="E321" s="2" t="s">
        <v>14</v>
      </c>
      <c r="F321" s="2" t="s">
        <v>15</v>
      </c>
      <c r="G321" s="2" t="s">
        <v>1023</v>
      </c>
      <c r="H321" s="2" t="s">
        <v>361</v>
      </c>
      <c r="I321" s="2" t="str">
        <f>IFERROR(__xludf.DUMMYFUNCTION("GOOGLETRANSLATE(C321,""fr"",""en"")"),"XXXXXXXXXXXXXXXXXXXXXXXXXXXXXXXXXXXXXXXXXXXXXXXXXXXXXXXXXXXXXXXXXXXXXXXXXXXXXXXXXXXXXXXXXXXXXXXXXXXXXXXXXXXXXXXXXXXXXXXXXXXXXXXXXXXXXXXXXXXXXXXXXXXXXXXXXXXXXXXXXXXXXXXXXXXXXXXXXXXXXXXXXXXXXXXXXXXXXXXXXXXXXXXXXXXXXXXXXXXXXXXXXXXXXXXXXXXXXXXXXXXXXXXXXXXXXXX"&amp;"XXXXXXXXXXXXXXXXXXXXXXXXXXXXXXXXXXXXXXXXXXXXXXXXXXXXXXXXXXXXXXXXXXXXXXXXXXXXXXXXXXXXXXXXXXXXXXXXXXXXXXXXXXXXXXXXXXXXXXXXXXXXXXXXXXXXXXXXXXXXXXXXXXXXXXXXXXXXXXXXXXXXXXXXXXXXXXXXXXXXXXXXXXXXXXXXXXXXXXXXXXXXXXXXXXXXXXXXXXXXXXXXXXXXXXXXXXXXXXXXXXXXXXXXXXXXXXX")</f>
        <v>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v>
      </c>
    </row>
    <row r="322" ht="15.75" customHeight="1">
      <c r="A322" s="2">
        <v>1.0</v>
      </c>
      <c r="B322" s="2" t="s">
        <v>1024</v>
      </c>
      <c r="C322" s="2" t="s">
        <v>1025</v>
      </c>
      <c r="D322" s="2" t="s">
        <v>84</v>
      </c>
      <c r="E322" s="2" t="s">
        <v>104</v>
      </c>
      <c r="F322" s="2" t="s">
        <v>15</v>
      </c>
      <c r="G322" s="2" t="s">
        <v>1026</v>
      </c>
      <c r="H322" s="2" t="s">
        <v>818</v>
      </c>
      <c r="I322" s="2" t="str">
        <f>IFERROR(__xludf.DUMMYFUNCTION("GOOGLETRANSLATE(C322,""fr"",""en"")"),"I am very disappointed with the maif with whom I have always been insured. Everything was fine until I had a disaster. I have several contracts, but all the apologies are good not to reimburse. No wonder we feel stolen, we are just good to pay but if nece"&amp;"ssary, no one to help us. I think I compare customer opinions on other insurances and leave MAIF.")</f>
        <v>I am very disappointed with the maif with whom I have always been insured. Everything was fine until I had a disaster. I have several contracts, but all the apologies are good not to reimburse. No wonder we feel stolen, we are just good to pay but if necessary, no one to help us. I think I compare customer opinions on other insurances and leave MAIF.</v>
      </c>
    </row>
    <row r="323" ht="15.75" customHeight="1">
      <c r="A323" s="2">
        <v>1.0</v>
      </c>
      <c r="B323" s="2" t="s">
        <v>1027</v>
      </c>
      <c r="C323" s="2" t="s">
        <v>1028</v>
      </c>
      <c r="D323" s="2" t="s">
        <v>571</v>
      </c>
      <c r="E323" s="2" t="s">
        <v>21</v>
      </c>
      <c r="F323" s="2" t="s">
        <v>15</v>
      </c>
      <c r="G323" s="2" t="s">
        <v>1029</v>
      </c>
      <c r="H323" s="2" t="s">
        <v>818</v>
      </c>
      <c r="I323" s="2" t="str">
        <f>IFERROR(__xludf.DUMMYFUNCTION("GOOGLETRANSLATE(C323,""fr"",""en"")"),"Their advisor extracted a signature from my aged mother by pretending to be her true mutual, shameful !!")</f>
        <v>Their advisor extracted a signature from my aged mother by pretending to be her true mutual, shameful !!</v>
      </c>
    </row>
    <row r="324" ht="15.75" customHeight="1">
      <c r="A324" s="2">
        <v>1.0</v>
      </c>
      <c r="B324" s="2" t="s">
        <v>1030</v>
      </c>
      <c r="C324" s="2" t="s">
        <v>1031</v>
      </c>
      <c r="D324" s="2" t="s">
        <v>164</v>
      </c>
      <c r="E324" s="2" t="s">
        <v>43</v>
      </c>
      <c r="F324" s="2" t="s">
        <v>15</v>
      </c>
      <c r="G324" s="2" t="s">
        <v>1032</v>
      </c>
      <c r="H324" s="2" t="s">
        <v>593</v>
      </c>
      <c r="I324" s="2" t="str">
        <f>IFERROR(__xludf.DUMMYFUNCTION("GOOGLETRANSLATE(C324,""fr"",""en"")"),"1568.84 euros placed on Cortal Life Insurance in January 2000, a contract which was modified in 2006 to become a ""major"" of cardif in Cortal Consort Open Heritage PC units. Today there are 1099.26 euros, or -29.9% in 18 years.
Company to avoid like the"&amp;" plague")</f>
        <v>1568.84 euros placed on Cortal Life Insurance in January 2000, a contract which was modified in 2006 to become a "major" of cardif in Cortal Consort Open Heritage PC units. Today there are 1099.26 euros, or -29.9% in 18 years.
Company to avoid like the plague</v>
      </c>
    </row>
    <row r="325" ht="15.75" customHeight="1">
      <c r="A325" s="2">
        <v>5.0</v>
      </c>
      <c r="B325" s="2" t="s">
        <v>1033</v>
      </c>
      <c r="C325" s="2" t="s">
        <v>1034</v>
      </c>
      <c r="D325" s="2" t="s">
        <v>26</v>
      </c>
      <c r="E325" s="2" t="s">
        <v>14</v>
      </c>
      <c r="F325" s="2" t="s">
        <v>15</v>
      </c>
      <c r="G325" s="2" t="s">
        <v>783</v>
      </c>
      <c r="H325" s="2" t="s">
        <v>122</v>
      </c>
      <c r="I325" s="2" t="str">
        <f>IFERROR(__xludf.DUMMYFUNCTION("GOOGLETRANSLATE(C325,""fr"",""en"")"),"I am sattfee with direct assurance these not tros cheap, May the kilomite these is not good, 50 km these and not good at aperte half, these't good with 25 km thank you")</f>
        <v>I am sattfee with direct assurance these not tros cheap, May the kilomite these is not good, 50 km these and not good at aperte half, these't good with 25 km thank you</v>
      </c>
    </row>
    <row r="326" ht="15.75" customHeight="1">
      <c r="A326" s="2">
        <v>2.0</v>
      </c>
      <c r="B326" s="2" t="s">
        <v>1035</v>
      </c>
      <c r="C326" s="2" t="s">
        <v>1036</v>
      </c>
      <c r="D326" s="2" t="s">
        <v>53</v>
      </c>
      <c r="E326" s="2" t="s">
        <v>14</v>
      </c>
      <c r="F326" s="2" t="s">
        <v>15</v>
      </c>
      <c r="G326" s="2" t="s">
        <v>1037</v>
      </c>
      <c r="H326" s="2" t="s">
        <v>149</v>
      </c>
      <c r="I326" s="2" t="str">
        <f>IFERROR(__xludf.DUMMYFUNCTION("GOOGLETRANSLATE(C326,""fr"",""en"")"),"Until now no worries but by the concern of economy has not assumed the reception of the result agency 1 hour waiting to give a paper and ask a question. It becomes really unacceptable. The soaps are good but at one point there are also customers.")</f>
        <v>Until now no worries but by the concern of economy has not assumed the reception of the result agency 1 hour waiting to give a paper and ask a question. It becomes really unacceptable. The soaps are good but at one point there are also customers.</v>
      </c>
    </row>
    <row r="327" ht="15.75" customHeight="1">
      <c r="A327" s="2">
        <v>4.0</v>
      </c>
      <c r="B327" s="2" t="s">
        <v>1038</v>
      </c>
      <c r="C327" s="2" t="s">
        <v>1039</v>
      </c>
      <c r="D327" s="2" t="s">
        <v>26</v>
      </c>
      <c r="E327" s="2" t="s">
        <v>14</v>
      </c>
      <c r="F327" s="2" t="s">
        <v>15</v>
      </c>
      <c r="G327" s="2" t="s">
        <v>1040</v>
      </c>
      <c r="H327" s="2" t="s">
        <v>28</v>
      </c>
      <c r="I327" s="2" t="str">
        <f>IFERROR(__xludf.DUMMYFUNCTION("GOOGLETRANSLATE(C327,""fr"",""en"")"),"Ok but could be cheaper. Home insurance contract and car for 7 years. No offer for seniority.
Top and fast customer service.")</f>
        <v>Ok but could be cheaper. Home insurance contract and car for 7 years. No offer for seniority.
Top and fast customer service.</v>
      </c>
    </row>
    <row r="328" ht="15.75" customHeight="1">
      <c r="A328" s="2">
        <v>4.0</v>
      </c>
      <c r="B328" s="2" t="s">
        <v>1041</v>
      </c>
      <c r="C328" s="2" t="s">
        <v>1042</v>
      </c>
      <c r="D328" s="2" t="s">
        <v>57</v>
      </c>
      <c r="E328" s="2" t="s">
        <v>14</v>
      </c>
      <c r="F328" s="2" t="s">
        <v>15</v>
      </c>
      <c r="G328" s="2" t="s">
        <v>276</v>
      </c>
      <c r="H328" s="2" t="s">
        <v>81</v>
      </c>
      <c r="I328" s="2" t="str">
        <f>IFERROR(__xludf.DUMMYFUNCTION("GOOGLETRANSLATE(C328,""fr"",""en"")"),"A very professional, very friendly, very efficient and very kind televendor. A very short waiting period which I really appreciate. I highly recommend.")</f>
        <v>A very professional, very friendly, very efficient and very kind televendor. A very short waiting period which I really appreciate. I highly recommend.</v>
      </c>
    </row>
    <row r="329" ht="15.75" customHeight="1">
      <c r="A329" s="2">
        <v>5.0</v>
      </c>
      <c r="B329" s="2" t="s">
        <v>1043</v>
      </c>
      <c r="C329" s="2" t="s">
        <v>1044</v>
      </c>
      <c r="D329" s="2" t="s">
        <v>26</v>
      </c>
      <c r="E329" s="2" t="s">
        <v>14</v>
      </c>
      <c r="F329" s="2" t="s">
        <v>15</v>
      </c>
      <c r="G329" s="2" t="s">
        <v>953</v>
      </c>
      <c r="H329" s="2" t="s">
        <v>122</v>
      </c>
      <c r="I329" s="2" t="str">
        <f>IFERROR(__xludf.DUMMYFUNCTION("GOOGLETRANSLATE(C329,""fr"",""en"")"),"I am really satisfied with your service, top customer service, advantageous prices, I recommend 10,000 times, best insurance, best customer relationship")</f>
        <v>I am really satisfied with your service, top customer service, advantageous prices, I recommend 10,000 times, best insurance, best customer relationship</v>
      </c>
    </row>
    <row r="330" ht="15.75" customHeight="1">
      <c r="A330" s="2">
        <v>3.0</v>
      </c>
      <c r="B330" s="2" t="s">
        <v>1045</v>
      </c>
      <c r="C330" s="2" t="s">
        <v>1046</v>
      </c>
      <c r="D330" s="2" t="s">
        <v>57</v>
      </c>
      <c r="E330" s="2" t="s">
        <v>14</v>
      </c>
      <c r="F330" s="2" t="s">
        <v>15</v>
      </c>
      <c r="G330" s="2" t="s">
        <v>1047</v>
      </c>
      <c r="H330" s="2" t="s">
        <v>74</v>
      </c>
      <c r="I330" s="2" t="str">
        <f>IFERROR(__xludf.DUMMYFUNCTION("GOOGLETRANSLATE(C330,""fr"",""en"")"),"The prices offered by the olive tree for this contract suit me compared to the previous contract. I cannot yet judge the effectiveness of the service offered")</f>
        <v>The prices offered by the olive tree for this contract suit me compared to the previous contract. I cannot yet judge the effectiveness of the service offered</v>
      </c>
    </row>
    <row r="331" ht="15.75" customHeight="1">
      <c r="A331" s="2">
        <v>3.0</v>
      </c>
      <c r="B331" s="2" t="s">
        <v>1048</v>
      </c>
      <c r="C331" s="2" t="s">
        <v>1049</v>
      </c>
      <c r="D331" s="2" t="s">
        <v>26</v>
      </c>
      <c r="E331" s="2" t="s">
        <v>14</v>
      </c>
      <c r="F331" s="2" t="s">
        <v>15</v>
      </c>
      <c r="G331" s="2" t="s">
        <v>1050</v>
      </c>
      <c r="H331" s="2" t="s">
        <v>185</v>
      </c>
      <c r="I331" s="2" t="str">
        <f>IFERROR(__xludf.DUMMYFUNCTION("GOOGLETRANSLATE(C331,""fr"",""en"")"),"The service deteriorates from year to year and prices are increasing. Certain contract changes cannot be made online, so you must attach customer service which is a regrettable waste of time. In addition, there is very little clarity on the conditions of "&amp;"the contract or termination, everything could be displayed more clearly on the page of the user profile.")</f>
        <v>The service deteriorates from year to year and prices are increasing. Certain contract changes cannot be made online, so you must attach customer service which is a regrettable waste of time. In addition, there is very little clarity on the conditions of the contract or termination, everything could be displayed more clearly on the page of the user profile.</v>
      </c>
    </row>
    <row r="332" ht="15.75" customHeight="1">
      <c r="A332" s="2">
        <v>5.0</v>
      </c>
      <c r="B332" s="2" t="s">
        <v>1051</v>
      </c>
      <c r="C332" s="2" t="s">
        <v>1052</v>
      </c>
      <c r="D332" s="2" t="s">
        <v>305</v>
      </c>
      <c r="E332" s="2" t="s">
        <v>38</v>
      </c>
      <c r="F332" s="2" t="s">
        <v>15</v>
      </c>
      <c r="G332" s="2" t="s">
        <v>1053</v>
      </c>
      <c r="H332" s="2" t="s">
        <v>74</v>
      </c>
      <c r="I332" s="2" t="str">
        <f>IFERROR(__xludf.DUMMYFUNCTION("GOOGLETRANSLATE(C332,""fr"",""en"")"),"I am satisfied and convinced of the service.
Prices suit me.
Very useful to secure by phone or computer.
Very good insurance service")</f>
        <v>I am satisfied and convinced of the service.
Prices suit me.
Very useful to secure by phone or computer.
Very good insurance service</v>
      </c>
    </row>
    <row r="333" ht="15.75" customHeight="1">
      <c r="A333" s="2">
        <v>3.0</v>
      </c>
      <c r="B333" s="2" t="s">
        <v>1054</v>
      </c>
      <c r="C333" s="2" t="s">
        <v>1055</v>
      </c>
      <c r="D333" s="2" t="s">
        <v>26</v>
      </c>
      <c r="E333" s="2" t="s">
        <v>14</v>
      </c>
      <c r="F333" s="2" t="s">
        <v>15</v>
      </c>
      <c r="G333" s="2" t="s">
        <v>1056</v>
      </c>
      <c r="H333" s="2" t="s">
        <v>122</v>
      </c>
      <c r="I333" s="2" t="str">
        <f>IFERROR(__xludf.DUMMYFUNCTION("GOOGLETRANSLATE(C333,""fr"",""en"")"),"I am dissatisfied with the sinister service.
I declared a claim on 04/14 by asking for the procedure to follow. Ice broken with third parties identified.
To date on 19/04 no return ... I don't know how to act?")</f>
        <v>I am dissatisfied with the sinister service.
I declared a claim on 04/14 by asking for the procedure to follow. Ice broken with third parties identified.
To date on 19/04 no return ... I don't know how to act?</v>
      </c>
    </row>
    <row r="334" ht="15.75" customHeight="1">
      <c r="A334" s="2">
        <v>1.0</v>
      </c>
      <c r="B334" s="2" t="s">
        <v>1057</v>
      </c>
      <c r="C334" s="2" t="s">
        <v>1058</v>
      </c>
      <c r="D334" s="2" t="s">
        <v>188</v>
      </c>
      <c r="E334" s="2" t="s">
        <v>14</v>
      </c>
      <c r="F334" s="2" t="s">
        <v>15</v>
      </c>
      <c r="G334" s="2" t="s">
        <v>1059</v>
      </c>
      <c r="H334" s="2" t="s">
        <v>343</v>
      </c>
      <c r="I334" s="2" t="str">
        <f>IFERROR(__xludf.DUMMYFUNCTION("GOOGLETRANSLATE(C334,""fr"",""en"")"),"Supposedly a top customer service ... Yes if you want to lose a day every 15 days to make an appointment and go to an agency ...
No online service ...")</f>
        <v>Supposedly a top customer service ... Yes if you want to lose a day every 15 days to make an appointment and go to an agency ...
No online service ...</v>
      </c>
    </row>
    <row r="335" ht="15.75" customHeight="1">
      <c r="A335" s="2">
        <v>2.0</v>
      </c>
      <c r="B335" s="2" t="s">
        <v>1060</v>
      </c>
      <c r="C335" s="2" t="s">
        <v>1061</v>
      </c>
      <c r="D335" s="2" t="s">
        <v>410</v>
      </c>
      <c r="E335" s="2" t="s">
        <v>104</v>
      </c>
      <c r="F335" s="2" t="s">
        <v>15</v>
      </c>
      <c r="G335" s="2" t="s">
        <v>1062</v>
      </c>
      <c r="H335" s="2" t="s">
        <v>566</v>
      </c>
      <c r="I335" s="2" t="str">
        <f>IFERROR(__xludf.DUMMYFUNCTION("GOOGLETRANSLATE(C335,""fr"",""en"")"),"Up to this day, no claim, it has been enough for the Mistral to win and break my gutters so that I plan to change insurance. Limit limit expertise: Cost about 1000 euros including 250 (franchise + dilapidated) of my pocket, but that we do not know as long"&amp;" as the affiliated craftsman did not pass ... how to say: it will stay like that !! !!!!! Impossible to join the inter insurance number, 3 calls of 10 minutes on a 0800: we are asked to wait for 10 minutes and ""due to too many calls we thank you for rene"&amp;"wing your request""
Matmut client for 12 years now I have seriously considering repatriated all my contracts elsewhere
Nothing to say motorcycle insurance because no claim to date
As for my ""pro"" car she went to the bank")</f>
        <v>Up to this day, no claim, it has been enough for the Mistral to win and break my gutters so that I plan to change insurance. Limit limit expertise: Cost about 1000 euros including 250 (franchise + dilapidated) of my pocket, but that we do not know as long as the affiliated craftsman did not pass ... how to say: it will stay like that !! !!!!! Impossible to join the inter insurance number, 3 calls of 10 minutes on a 0800: we are asked to wait for 10 minutes and "due to too many calls we thank you for renewing your request"
Matmut client for 12 years now I have seriously considering repatriated all my contracts elsewhere
Nothing to say motorcycle insurance because no claim to date
As for my "pro" car she went to the bank</v>
      </c>
    </row>
    <row r="336" ht="15.75" customHeight="1">
      <c r="A336" s="2">
        <v>3.0</v>
      </c>
      <c r="B336" s="2" t="s">
        <v>1063</v>
      </c>
      <c r="C336" s="2" t="s">
        <v>1064</v>
      </c>
      <c r="D336" s="2" t="s">
        <v>26</v>
      </c>
      <c r="E336" s="2" t="s">
        <v>14</v>
      </c>
      <c r="F336" s="2" t="s">
        <v>15</v>
      </c>
      <c r="G336" s="2" t="s">
        <v>1065</v>
      </c>
      <c r="H336" s="2" t="s">
        <v>166</v>
      </c>
      <c r="I336" s="2" t="str">
        <f>IFERROR(__xludf.DUMMYFUNCTION("GOOGLETRANSLATE(C336,""fr"",""en"")"),"The prices are advantageous and quote fast, everything is simple. But the PRUX is correct over a year then the insurance premium increases. So you have to re -evaluate. has been his contract")</f>
        <v>The prices are advantageous and quote fast, everything is simple. But the PRUX is correct over a year then the insurance premium increases. So you have to re -evaluate. has been his contract</v>
      </c>
    </row>
    <row r="337" ht="15.75" customHeight="1">
      <c r="A337" s="2">
        <v>1.0</v>
      </c>
      <c r="B337" s="2" t="s">
        <v>1066</v>
      </c>
      <c r="C337" s="2" t="s">
        <v>1067</v>
      </c>
      <c r="D337" s="2" t="s">
        <v>188</v>
      </c>
      <c r="E337" s="2" t="s">
        <v>14</v>
      </c>
      <c r="F337" s="2" t="s">
        <v>15</v>
      </c>
      <c r="G337" s="2" t="s">
        <v>1068</v>
      </c>
      <c r="H337" s="2" t="s">
        <v>122</v>
      </c>
      <c r="I337" s="2" t="str">
        <f>IFERROR(__xludf.DUMMYFUNCTION("GOOGLETRANSLATE(C337,""fr"",""en"")"),"Go to Bourges agency yesterday after several online quotes. The person was most incorrect and incompetent by his lack of listening despite our attempt to explain our needs to him. After 35 years of multiple contracts at GMF, the observation is the simples"&amp;"t they are no longer up to what they claim.
")</f>
        <v>Go to Bourges agency yesterday after several online quotes. The person was most incorrect and incompetent by his lack of listening despite our attempt to explain our needs to him. After 35 years of multiple contracts at GMF, the observation is the simplest they are no longer up to what they claim.
</v>
      </c>
    </row>
    <row r="338" ht="15.75" customHeight="1">
      <c r="A338" s="2">
        <v>4.0</v>
      </c>
      <c r="B338" s="2" t="s">
        <v>1069</v>
      </c>
      <c r="C338" s="2" t="s">
        <v>1070</v>
      </c>
      <c r="D338" s="2" t="s">
        <v>26</v>
      </c>
      <c r="E338" s="2" t="s">
        <v>14</v>
      </c>
      <c r="F338" s="2" t="s">
        <v>15</v>
      </c>
      <c r="G338" s="2" t="s">
        <v>1071</v>
      </c>
      <c r="H338" s="2" t="s">
        <v>81</v>
      </c>
      <c r="I338" s="2" t="str">
        <f>IFERROR(__xludf.DUMMYFUNCTION("GOOGLETRANSLATE(C338,""fr"",""en"")"),"The approach is easy, it is clear and quick.
I would have liked to define a higher amount of the goods guaranteed in the vehicle but it was not possible.")</f>
        <v>The approach is easy, it is clear and quick.
I would have liked to define a higher amount of the goods guaranteed in the vehicle but it was not possible.</v>
      </c>
    </row>
    <row r="339" ht="15.75" customHeight="1">
      <c r="A339" s="2">
        <v>3.0</v>
      </c>
      <c r="B339" s="2" t="s">
        <v>1072</v>
      </c>
      <c r="C339" s="2" t="s">
        <v>1073</v>
      </c>
      <c r="D339" s="2" t="s">
        <v>152</v>
      </c>
      <c r="E339" s="2" t="s">
        <v>21</v>
      </c>
      <c r="F339" s="2" t="s">
        <v>15</v>
      </c>
      <c r="G339" s="2" t="s">
        <v>176</v>
      </c>
      <c r="H339" s="2" t="s">
        <v>34</v>
      </c>
      <c r="I339" s="2" t="str">
        <f>IFERROR(__xludf.DUMMYFUNCTION("GOOGLETRANSLATE(C339,""fr"",""en"")"),"Always friendly and responsive customer service.
The link for reimbursements should simply be made automatically with the CPAM.
********")</f>
        <v>Always friendly and responsive customer service.
The link for reimbursements should simply be made automatically with the CPAM.
********</v>
      </c>
    </row>
    <row r="340" ht="15.75" customHeight="1">
      <c r="A340" s="2">
        <v>1.0</v>
      </c>
      <c r="B340" s="2" t="s">
        <v>1074</v>
      </c>
      <c r="C340" s="2" t="s">
        <v>1075</v>
      </c>
      <c r="D340" s="2" t="s">
        <v>13</v>
      </c>
      <c r="E340" s="2" t="s">
        <v>14</v>
      </c>
      <c r="F340" s="2" t="s">
        <v>15</v>
      </c>
      <c r="G340" s="2" t="s">
        <v>1076</v>
      </c>
      <c r="H340" s="2" t="s">
        <v>145</v>
      </c>
      <c r="I340" s="2" t="str">
        <f>IFERROR(__xludf.DUMMYFUNCTION("GOOGLETRANSLATE(C340,""fr"",""en"")"),"Following a request for modification of validated car contract and confirmed through our intermediary the LCL I learn with stupor 2 months after my vehicle insurance was terminated !!! Explanation more than confused of the LCL platform (since I have their"&amp;" different modifying letters, validating my request !!!) and above all impossible I say impossible to reach the Pacifica company, I even travel to the province and the door I will stay closed !! Unheard of in disrespect, bad faith not to say more. The onl"&amp;"y way to contact customer service is done by mail and according to consumer returns on the web no response made in return, what a great company .....")</f>
        <v>Following a request for modification of validated car contract and confirmed through our intermediary the LCL I learn with stupor 2 months after my vehicle insurance was terminated !!! Explanation more than confused of the LCL platform (since I have their different modifying letters, validating my request !!!) and above all impossible I say impossible to reach the Pacifica company, I even travel to the province and the door I will stay closed !! Unheard of in disrespect, bad faith not to say more. The only way to contact customer service is done by mail and according to consumer returns on the web no response made in return, what a great company .....</v>
      </c>
    </row>
    <row r="341" ht="15.75" customHeight="1">
      <c r="A341" s="2">
        <v>1.0</v>
      </c>
      <c r="B341" s="2" t="s">
        <v>1077</v>
      </c>
      <c r="C341" s="2" t="s">
        <v>1078</v>
      </c>
      <c r="D341" s="2" t="s">
        <v>61</v>
      </c>
      <c r="E341" s="2" t="s">
        <v>43</v>
      </c>
      <c r="F341" s="2" t="s">
        <v>15</v>
      </c>
      <c r="G341" s="2" t="s">
        <v>1079</v>
      </c>
      <c r="H341" s="2" t="s">
        <v>566</v>
      </c>
      <c r="I341" s="2" t="str">
        <f>IFERROR(__xludf.DUMMYFUNCTION("GOOGLETRANSLATE(C341,""fr"",""en"")"),"I have been a customer at Swiss Life for 28 years. I needed to make a partial acquisition of my contract. I've been fighting for months. Dozens of phone calls where you are told that someone will remind you, which has ever happened. Mail to N to finish or"&amp;" we answer you from time to time to tell you that everything is good but still no payment. They announce a date of payment and money never arrives. And still papers to fill out because another person took the file. All incapable. If I worked like that in "&amp;"my businesses I would not have many customers.")</f>
        <v>I have been a customer at Swiss Life for 28 years. I needed to make a partial acquisition of my contract. I've been fighting for months. Dozens of phone calls where you are told that someone will remind you, which has ever happened. Mail to N to finish or we answer you from time to time to tell you that everything is good but still no payment. They announce a date of payment and money never arrives. And still papers to fill out because another person took the file. All incapable. If I worked like that in my businesses I would not have many customers.</v>
      </c>
    </row>
    <row r="342" ht="15.75" customHeight="1">
      <c r="A342" s="2">
        <v>5.0</v>
      </c>
      <c r="B342" s="2" t="s">
        <v>1080</v>
      </c>
      <c r="C342" s="2" t="s">
        <v>1081</v>
      </c>
      <c r="D342" s="2" t="s">
        <v>57</v>
      </c>
      <c r="E342" s="2" t="s">
        <v>14</v>
      </c>
      <c r="F342" s="2" t="s">
        <v>15</v>
      </c>
      <c r="G342" s="2" t="s">
        <v>1082</v>
      </c>
      <c r="H342" s="2" t="s">
        <v>1083</v>
      </c>
      <c r="I342" s="2" t="str">
        <f>IFERROR(__xludf.DUMMYFUNCTION("GOOGLETRANSLATE(C342,""fr"",""en"")"),"I have been at the Olivier for several months and everything is going well. I recommend this insurer without problem.")</f>
        <v>I have been at the Olivier for several months and everything is going well. I recommend this insurer without problem.</v>
      </c>
    </row>
    <row r="343" ht="15.75" customHeight="1">
      <c r="A343" s="2">
        <v>5.0</v>
      </c>
      <c r="B343" s="2" t="s">
        <v>1084</v>
      </c>
      <c r="C343" s="2" t="s">
        <v>1085</v>
      </c>
      <c r="D343" s="2" t="s">
        <v>26</v>
      </c>
      <c r="E343" s="2" t="s">
        <v>14</v>
      </c>
      <c r="F343" s="2" t="s">
        <v>15</v>
      </c>
      <c r="G343" s="2" t="s">
        <v>1086</v>
      </c>
      <c r="H343" s="2" t="s">
        <v>28</v>
      </c>
      <c r="I343" s="2" t="str">
        <f>IFERROR(__xludf.DUMMYFUNCTION("GOOGLETRANSLATE(C343,""fr"",""en"")"),"Excellent company. I am completely satisfied. Good value for money. After a negative experience with my former insurer, I am delighted to have chosen Direct Insurance to ensure my car.")</f>
        <v>Excellent company. I am completely satisfied. Good value for money. After a negative experience with my former insurer, I am delighted to have chosen Direct Insurance to ensure my car.</v>
      </c>
    </row>
    <row r="344" ht="15.75" customHeight="1">
      <c r="A344" s="2">
        <v>3.0</v>
      </c>
      <c r="B344" s="2" t="s">
        <v>1087</v>
      </c>
      <c r="C344" s="2" t="s">
        <v>1088</v>
      </c>
      <c r="D344" s="2" t="s">
        <v>26</v>
      </c>
      <c r="E344" s="2" t="s">
        <v>14</v>
      </c>
      <c r="F344" s="2" t="s">
        <v>15</v>
      </c>
      <c r="G344" s="2" t="s">
        <v>1089</v>
      </c>
      <c r="H344" s="2" t="s">
        <v>90</v>
      </c>
      <c r="I344" s="2" t="str">
        <f>IFERROR(__xludf.DUMMYFUNCTION("GOOGLETRANSLATE(C344,""fr"",""en"")"),"I am satisfied with the care.
The follow -up is well done and is regular.
The information requested is clear and founded.
The level of services are good.")</f>
        <v>I am satisfied with the care.
The follow -up is well done and is regular.
The information requested is clear and founded.
The level of services are good.</v>
      </c>
    </row>
    <row r="345" ht="15.75" customHeight="1">
      <c r="A345" s="2">
        <v>1.0</v>
      </c>
      <c r="B345" s="2" t="s">
        <v>1090</v>
      </c>
      <c r="C345" s="2" t="s">
        <v>1091</v>
      </c>
      <c r="D345" s="2" t="s">
        <v>571</v>
      </c>
      <c r="E345" s="2" t="s">
        <v>21</v>
      </c>
      <c r="F345" s="2" t="s">
        <v>15</v>
      </c>
      <c r="G345" s="2" t="s">
        <v>469</v>
      </c>
      <c r="H345" s="2" t="s">
        <v>122</v>
      </c>
      <c r="I345" s="2" t="str">
        <f>IFERROR(__xludf.DUMMYFUNCTION("GOOGLETRANSLATE(C345,""fr"",""en"")"),"I have been assured at Cegema since January 2021 I have sent dental reimbursements since the beginning of February and since nothing, I have called several times, finally a person answers me that the reimbursement goes within week, for it has been two mon"&amp;"ths !! , on the other hand the contributions are taken on a fixed date !! I don't think I renew my contract")</f>
        <v>I have been assured at Cegema since January 2021 I have sent dental reimbursements since the beginning of February and since nothing, I have called several times, finally a person answers me that the reimbursement goes within week, for it has been two months !! , on the other hand the contributions are taken on a fixed date !! I don't think I renew my contract</v>
      </c>
    </row>
    <row r="346" ht="15.75" customHeight="1">
      <c r="A346" s="2">
        <v>3.0</v>
      </c>
      <c r="B346" s="2" t="s">
        <v>1092</v>
      </c>
      <c r="C346" s="2" t="s">
        <v>1093</v>
      </c>
      <c r="D346" s="2" t="s">
        <v>37</v>
      </c>
      <c r="E346" s="2" t="s">
        <v>38</v>
      </c>
      <c r="F346" s="2" t="s">
        <v>15</v>
      </c>
      <c r="G346" s="2" t="s">
        <v>1094</v>
      </c>
      <c r="H346" s="2" t="s">
        <v>547</v>
      </c>
      <c r="I346" s="2" t="str">
        <f>IFERROR(__xludf.DUMMYFUNCTION("GOOGLETRANSLATE(C346,""fr"",""en"")"),"Flee, I had a disaster in June we are in January, a non -responsible disaster. A car came struck by my brother's motorcycle and mine (every 2 at AMV). The opposing assurance that of the accepted car Taking charge of the car then my brother's motorbike but"&amp;" refuses mine because for them the car struck the first motorcycle and c the motorcycle which struck the second (mine). had one for 1,700 e of repair. AMV refuses to take care of, the other insurance too, I end up with the invoice at my dealer who is not "&amp;"always settled, 6 months that it lasts, I find myself doing the job Insurers to contact the 2 insurances that relaunch the ball, the only solution that AMV offers me C to pay me mm the franchise while waiting for the opposing insurance pay (450 th deducti"&amp;"ble), and the dealer threatens me with bailiff if tjrs quickly settled (normal they did the work). I refuse to pay r for a disaster that I suffered, a shame. Of course that for insurance C to my brother's insurance to take care of mine and C AMV, MM insur"&amp;"ance. I will have to initiate a procedure")</f>
        <v>Flee, I had a disaster in June we are in January, a non -responsible disaster. A car came struck by my brother's motorcycle and mine (every 2 at AMV). The opposing assurance that of the accepted car Taking charge of the car then my brother's motorbike but refuses mine because for them the car struck the first motorcycle and c the motorcycle which struck the second (mine). had one for 1,700 e of repair. AMV refuses to take care of, the other insurance too, I end up with the invoice at my dealer who is not always settled, 6 months that it lasts, I find myself doing the job Insurers to contact the 2 insurances that relaunch the ball, the only solution that AMV offers me C to pay me mm the franchise while waiting for the opposing insurance pay (450 th deductible), and the dealer threatens me with bailiff if tjrs quickly settled (normal they did the work). I refuse to pay r for a disaster that I suffered, a shame. Of course that for insurance C to my brother's insurance to take care of mine and C AMV, MM insurance. I will have to initiate a procedure</v>
      </c>
    </row>
    <row r="347" ht="15.75" customHeight="1">
      <c r="A347" s="2">
        <v>1.0</v>
      </c>
      <c r="B347" s="2" t="s">
        <v>1095</v>
      </c>
      <c r="C347" s="2" t="s">
        <v>1096</v>
      </c>
      <c r="D347" s="2" t="s">
        <v>305</v>
      </c>
      <c r="E347" s="2" t="s">
        <v>38</v>
      </c>
      <c r="F347" s="2" t="s">
        <v>15</v>
      </c>
      <c r="G347" s="2" t="s">
        <v>1097</v>
      </c>
      <c r="H347" s="2" t="s">
        <v>54</v>
      </c>
      <c r="I347" s="2" t="str">
        <f>IFERROR(__xludf.DUMMYFUNCTION("GOOGLETRANSLATE(C347,""fr"",""en"")"),"Our online account is never updated despite several reminders. They do not take into account address changes or make lots of errors.
I also asked for termination under cover of the Hamon law and they turn a deaf ear and make believe that they did not rec"&amp;"eive the letter from my new insurance despite evidence. They do not take into account the emails either with a copy of this said mail.
Justice procedure that will be launched in order to be able to gain the case !!")</f>
        <v>Our online account is never updated despite several reminders. They do not take into account address changes or make lots of errors.
I also asked for termination under cover of the Hamon law and they turn a deaf ear and make believe that they did not receive the letter from my new insurance despite evidence. They do not take into account the emails either with a copy of this said mail.
Justice procedure that will be launched in order to be able to gain the case !!</v>
      </c>
    </row>
    <row r="348" ht="15.75" customHeight="1">
      <c r="A348" s="2">
        <v>5.0</v>
      </c>
      <c r="B348" s="2" t="s">
        <v>1098</v>
      </c>
      <c r="C348" s="2" t="s">
        <v>1099</v>
      </c>
      <c r="D348" s="2" t="s">
        <v>57</v>
      </c>
      <c r="E348" s="2" t="s">
        <v>14</v>
      </c>
      <c r="F348" s="2" t="s">
        <v>15</v>
      </c>
      <c r="G348" s="2" t="s">
        <v>1100</v>
      </c>
      <c r="H348" s="2" t="s">
        <v>74</v>
      </c>
      <c r="I348" s="2" t="str">
        <f>IFERROR(__xludf.DUMMYFUNCTION("GOOGLETRANSLATE(C348,""fr"",""en"")"),"Simple quote to fill out, when I needed information the advisor I had on the phone was able to answer my requests. The prices seem attractive to the guarantees offered.")</f>
        <v>Simple quote to fill out, when I needed information the advisor I had on the phone was able to answer my requests. The prices seem attractive to the guarantees offered.</v>
      </c>
    </row>
    <row r="349" ht="15.75" customHeight="1">
      <c r="A349" s="2">
        <v>1.0</v>
      </c>
      <c r="B349" s="2" t="s">
        <v>1101</v>
      </c>
      <c r="C349" s="2" t="s">
        <v>1102</v>
      </c>
      <c r="D349" s="2" t="s">
        <v>42</v>
      </c>
      <c r="E349" s="2" t="s">
        <v>14</v>
      </c>
      <c r="F349" s="2" t="s">
        <v>15</v>
      </c>
      <c r="G349" s="2" t="s">
        <v>1103</v>
      </c>
      <c r="H349" s="2" t="s">
        <v>157</v>
      </c>
      <c r="I349" s="2" t="str">
        <f>IFERROR(__xludf.DUMMYFUNCTION("GOOGLETRANSLATE(C349,""fr"",""en"")"),"This is the first time that I have needed them for a minimum of 20 for a hanging or I am 100/100 in my rights and I have been waiting for the invoice for reimbursement for 15 days because it takes time to think before Make the check which nevertheless cor"&amp;"responds to the quote accepted by scandalous insurance")</f>
        <v>This is the first time that I have needed them for a minimum of 20 for a hanging or I am 100/100 in my rights and I have been waiting for the invoice for reimbursement for 15 days because it takes time to think before Make the check which nevertheless corresponds to the quote accepted by scandalous insurance</v>
      </c>
    </row>
    <row r="350" ht="15.75" customHeight="1">
      <c r="A350" s="2">
        <v>1.0</v>
      </c>
      <c r="B350" s="2" t="s">
        <v>1104</v>
      </c>
      <c r="C350" s="2" t="s">
        <v>1105</v>
      </c>
      <c r="D350" s="2" t="s">
        <v>262</v>
      </c>
      <c r="E350" s="2" t="s">
        <v>104</v>
      </c>
      <c r="F350" s="2" t="s">
        <v>15</v>
      </c>
      <c r="G350" s="2" t="s">
        <v>73</v>
      </c>
      <c r="H350" s="2" t="s">
        <v>74</v>
      </c>
      <c r="I350" s="2" t="str">
        <f>IFERROR(__xludf.DUMMYFUNCTION("GOOGLETRANSLATE(C350,""fr"",""en"")"),"We were the victim of the strong thunderstorms in June therefore floods of the house. It is the 1st claim that we are the victim. The state has recognized natural disaster. AXA offers a cleaning company with a deductible of € 380. Nothing more .... 2 days"&amp;" later I receive a recommended because it terminates my contract following this disaster .... we contribute for nothing
As by chance, no one reminds you because they know that they are wrong")</f>
        <v>We were the victim of the strong thunderstorms in June therefore floods of the house. It is the 1st claim that we are the victim. The state has recognized natural disaster. AXA offers a cleaning company with a deductible of € 380. Nothing more .... 2 days later I receive a recommended because it terminates my contract following this disaster .... we contribute for nothing
As by chance, no one reminds you because they know that they are wrong</v>
      </c>
    </row>
    <row r="351" ht="15.75" customHeight="1">
      <c r="A351" s="2">
        <v>4.0</v>
      </c>
      <c r="B351" s="2" t="s">
        <v>1106</v>
      </c>
      <c r="C351" s="2" t="s">
        <v>1107</v>
      </c>
      <c r="D351" s="2" t="s">
        <v>48</v>
      </c>
      <c r="E351" s="2" t="s">
        <v>21</v>
      </c>
      <c r="F351" s="2" t="s">
        <v>15</v>
      </c>
      <c r="G351" s="2" t="s">
        <v>445</v>
      </c>
      <c r="H351" s="2" t="s">
        <v>140</v>
      </c>
      <c r="I351" s="2" t="str">
        <f>IFERROR(__xludf.DUMMYFUNCTION("GOOGLETRANSLATE(C351,""fr"",""en"")"),"Hello I contacted the service following an access problem to my member space and I was informed by Georges who was very professional and fast….
I thank him for his responsiveness and for the management of my request")</f>
        <v>Hello I contacted the service following an access problem to my member space and I was informed by Georges who was very professional and fast….
I thank him for his responsiveness and for the management of my request</v>
      </c>
    </row>
    <row r="352" ht="15.75" customHeight="1">
      <c r="A352" s="2">
        <v>5.0</v>
      </c>
      <c r="B352" s="2" t="s">
        <v>1108</v>
      </c>
      <c r="C352" s="2" t="s">
        <v>1109</v>
      </c>
      <c r="D352" s="2" t="s">
        <v>26</v>
      </c>
      <c r="E352" s="2" t="s">
        <v>14</v>
      </c>
      <c r="F352" s="2" t="s">
        <v>15</v>
      </c>
      <c r="G352" s="2" t="s">
        <v>221</v>
      </c>
      <c r="H352" s="2" t="s">
        <v>28</v>
      </c>
      <c r="I352" s="2" t="str">
        <f>IFERROR(__xludf.DUMMYFUNCTION("GOOGLETRANSLATE(C352,""fr"",""en"")"),"I am satisfied with prices and guarantees compared to other company. And also the ease to subscribe to the site. I recommend direct insurance without problem")</f>
        <v>I am satisfied with prices and guarantees compared to other company. And also the ease to subscribe to the site. I recommend direct insurance without problem</v>
      </c>
    </row>
    <row r="353" ht="15.75" customHeight="1">
      <c r="A353" s="2">
        <v>3.0</v>
      </c>
      <c r="B353" s="2" t="s">
        <v>1110</v>
      </c>
      <c r="C353" s="2" t="s">
        <v>1111</v>
      </c>
      <c r="D353" s="2" t="s">
        <v>26</v>
      </c>
      <c r="E353" s="2" t="s">
        <v>14</v>
      </c>
      <c r="F353" s="2" t="s">
        <v>15</v>
      </c>
      <c r="G353" s="2" t="s">
        <v>118</v>
      </c>
      <c r="H353" s="2" t="s">
        <v>81</v>
      </c>
      <c r="I353" s="2" t="str">
        <f>IFERROR(__xludf.DUMMYFUNCTION("GOOGLETRANSLATE(C353,""fr"",""en"")"),"Too bad there is an increase in the price per month even for some euros
And the franchises are very excessive
Otherwise simple and quick to
I will not nhsite to say to my friends dassuring at home")</f>
        <v>Too bad there is an increase in the price per month even for some euros
And the franchises are very excessive
Otherwise simple and quick to
I will not nhsite to say to my friends dassuring at home</v>
      </c>
    </row>
    <row r="354" ht="15.75" customHeight="1">
      <c r="A354" s="2">
        <v>4.0</v>
      </c>
      <c r="B354" s="2" t="s">
        <v>1112</v>
      </c>
      <c r="C354" s="2" t="s">
        <v>1113</v>
      </c>
      <c r="D354" s="2" t="s">
        <v>69</v>
      </c>
      <c r="E354" s="2" t="s">
        <v>21</v>
      </c>
      <c r="F354" s="2" t="s">
        <v>15</v>
      </c>
      <c r="G354" s="2" t="s">
        <v>526</v>
      </c>
      <c r="H354" s="2" t="s">
        <v>28</v>
      </c>
      <c r="I354" s="2" t="str">
        <f>IFERROR(__xludf.DUMMYFUNCTION("GOOGLETRANSLATE(C354,""fr"",""en"")"),"very competent and benevolent advisor
She knew how to respond to all my requests.
She quickly found my files, it's much better than my last call or I didn't have an answer.")</f>
        <v>very competent and benevolent advisor
She knew how to respond to all my requests.
She quickly found my files, it's much better than my last call or I didn't have an answer.</v>
      </c>
    </row>
    <row r="355" ht="15.75" customHeight="1">
      <c r="A355" s="2">
        <v>1.0</v>
      </c>
      <c r="B355" s="2" t="s">
        <v>1114</v>
      </c>
      <c r="C355" s="2" t="s">
        <v>1115</v>
      </c>
      <c r="D355" s="2" t="s">
        <v>37</v>
      </c>
      <c r="E355" s="2" t="s">
        <v>38</v>
      </c>
      <c r="F355" s="2" t="s">
        <v>15</v>
      </c>
      <c r="G355" s="2" t="s">
        <v>1116</v>
      </c>
      <c r="H355" s="2" t="s">
        <v>347</v>
      </c>
      <c r="I355" s="2" t="str">
        <f>IFERROR(__xludf.DUMMYFUNCTION("GOOGLETRANSLATE(C355,""fr"",""en"")"),"As long as you have no worries everything is fine, biker friends after having changed motorcycles and therefore not linked to the same insurance, ensuring at a dealership you finish at AMV as a Honda most part are their subsidiary. An accident and you are"&amp;" obliged to flattered them for a refund when of course you manage to have one of the councilors formatted at the end of the line")</f>
        <v>As long as you have no worries everything is fine, biker friends after having changed motorcycles and therefore not linked to the same insurance, ensuring at a dealership you finish at AMV as a Honda most part are their subsidiary. An accident and you are obliged to flattered them for a refund when of course you manage to have one of the councilors formatted at the end of the line</v>
      </c>
    </row>
    <row r="356" ht="15.75" customHeight="1">
      <c r="A356" s="2">
        <v>1.0</v>
      </c>
      <c r="B356" s="2" t="s">
        <v>1117</v>
      </c>
      <c r="C356" s="2" t="s">
        <v>1118</v>
      </c>
      <c r="D356" s="2" t="s">
        <v>1119</v>
      </c>
      <c r="E356" s="2" t="s">
        <v>109</v>
      </c>
      <c r="F356" s="2" t="s">
        <v>15</v>
      </c>
      <c r="G356" s="2" t="s">
        <v>1120</v>
      </c>
      <c r="H356" s="2" t="s">
        <v>111</v>
      </c>
      <c r="I356" s="2" t="str">
        <f>IFERROR(__xludf.DUMMYFUNCTION("GOOGLETRANSLATE(C356,""fr"",""en"")"),"Products with a high margin for the insurer, problematic after -sales service")</f>
        <v>Products with a high margin for the insurer, problematic after -sales service</v>
      </c>
    </row>
    <row r="357" ht="15.75" customHeight="1">
      <c r="A357" s="2">
        <v>1.0</v>
      </c>
      <c r="B357" s="2" t="s">
        <v>1121</v>
      </c>
      <c r="C357" s="2" t="s">
        <v>1122</v>
      </c>
      <c r="D357" s="2" t="s">
        <v>57</v>
      </c>
      <c r="E357" s="2" t="s">
        <v>14</v>
      </c>
      <c r="F357" s="2" t="s">
        <v>15</v>
      </c>
      <c r="G357" s="2" t="s">
        <v>1123</v>
      </c>
      <c r="H357" s="2" t="s">
        <v>252</v>
      </c>
      <c r="I357" s="2" t="str">
        <f>IFERROR(__xludf.DUMMYFUNCTION("GOOGLETRANSLATE(C357,""fr"",""en"")"),"Very decreed by this insurer. My vehicle was sold two years ago and they continue to debit money (350 euros) every year when I provided all the documents attesting to the resale of the vehicle (disposal disposal). Their communication is also lamentable, a"&amp;"ll my requests for the termination and reimbursement of the money unjustly percupement remain a dead letter ... in short insurer that I do not recommend at all")</f>
        <v>Very decreed by this insurer. My vehicle was sold two years ago and they continue to debit money (350 euros) every year when I provided all the documents attesting to the resale of the vehicle (disposal disposal). Their communication is also lamentable, all my requests for the termination and reimbursement of the money unjustly percupement remain a dead letter ... in short insurer that I do not recommend at all</v>
      </c>
    </row>
    <row r="358" ht="15.75" customHeight="1">
      <c r="A358" s="2">
        <v>4.0</v>
      </c>
      <c r="B358" s="2" t="s">
        <v>1124</v>
      </c>
      <c r="C358" s="2" t="s">
        <v>1125</v>
      </c>
      <c r="D358" s="2" t="s">
        <v>26</v>
      </c>
      <c r="E358" s="2" t="s">
        <v>14</v>
      </c>
      <c r="F358" s="2" t="s">
        <v>15</v>
      </c>
      <c r="G358" s="2" t="s">
        <v>423</v>
      </c>
      <c r="H358" s="2" t="s">
        <v>34</v>
      </c>
      <c r="I358" s="2" t="str">
        <f>IFERROR(__xludf.DUMMYFUNCTION("GOOGLETRANSLATE(C358,""fr"",""en"")"),"I am satisfied with the service, and the value for money, and the force of proposals according to my expectations.
On the other hand, make a discount offer for the right drivers and customers")</f>
        <v>I am satisfied with the service, and the value for money, and the force of proposals according to my expectations.
On the other hand, make a discount offer for the right drivers and customers</v>
      </c>
    </row>
    <row r="359" ht="15.75" customHeight="1">
      <c r="A359" s="2">
        <v>1.0</v>
      </c>
      <c r="B359" s="2" t="s">
        <v>1126</v>
      </c>
      <c r="C359" s="2" t="s">
        <v>1127</v>
      </c>
      <c r="D359" s="2" t="s">
        <v>57</v>
      </c>
      <c r="E359" s="2" t="s">
        <v>14</v>
      </c>
      <c r="F359" s="2" t="s">
        <v>15</v>
      </c>
      <c r="G359" s="2" t="s">
        <v>1128</v>
      </c>
      <c r="H359" s="2" t="s">
        <v>23</v>
      </c>
      <c r="I359" s="2" t="str">
        <f>IFERROR(__xludf.DUMMYFUNCTION("GOOGLETRANSLATE(C359,""fr"",""en"")"),"Horrible this insurance !! I do not recommend if you want problems in this case it is the top! You sell your car and they have to register your sale on ANTS otherwise they refuse the end of your contract. They must have agreements between the two because "&amp;"registration on ANTS is not compulsory because other insurances never ask for it already and the seller as the buyer can make their gray card everywhere else if they want!")</f>
        <v>Horrible this insurance !! I do not recommend if you want problems in this case it is the top! You sell your car and they have to register your sale on ANTS otherwise they refuse the end of your contract. They must have agreements between the two because registration on ANTS is not compulsory because other insurances never ask for it already and the seller as the buyer can make their gray card everywhere else if they want!</v>
      </c>
    </row>
    <row r="360" ht="15.75" customHeight="1">
      <c r="A360" s="2">
        <v>5.0</v>
      </c>
      <c r="B360" s="2" t="s">
        <v>1129</v>
      </c>
      <c r="C360" s="2" t="s">
        <v>1130</v>
      </c>
      <c r="D360" s="2" t="s">
        <v>57</v>
      </c>
      <c r="E360" s="2" t="s">
        <v>14</v>
      </c>
      <c r="F360" s="2" t="s">
        <v>15</v>
      </c>
      <c r="G360" s="2" t="s">
        <v>1131</v>
      </c>
      <c r="H360" s="2" t="s">
        <v>122</v>
      </c>
      <c r="I360" s="2" t="str">
        <f>IFERROR(__xludf.DUMMYFUNCTION("GOOGLETRANSLATE(C360,""fr"",""en"")"),"Satisfied - Ease of subscription and customer relations: Correct person on the phone.
attractive price and correct offer compared to market prices")</f>
        <v>Satisfied - Ease of subscription and customer relations: Correct person on the phone.
attractive price and correct offer compared to market prices</v>
      </c>
    </row>
    <row r="361" ht="15.75" customHeight="1">
      <c r="A361" s="2">
        <v>2.0</v>
      </c>
      <c r="B361" s="2" t="s">
        <v>1132</v>
      </c>
      <c r="C361" s="2" t="s">
        <v>1133</v>
      </c>
      <c r="D361" s="2" t="s">
        <v>103</v>
      </c>
      <c r="E361" s="2" t="s">
        <v>104</v>
      </c>
      <c r="F361" s="2" t="s">
        <v>15</v>
      </c>
      <c r="G361" s="2" t="s">
        <v>1134</v>
      </c>
      <c r="H361" s="2" t="s">
        <v>395</v>
      </c>
      <c r="I361" s="2" t="str">
        <f>IFERROR(__xludf.DUMMYFUNCTION("GOOGLETRANSLATE(C361,""fr"",""en"")"),"After a water damage (DDE) concerning the condominium (leak of a heating pipe integrated into the ceiling), the expert sent by the Macif did everything to reduce the invoice presented for the repair of the paintings, in particular highlighting of a coeffi"&amp;"cient of dilapidation, which is notoriously illegal in the case of a DDE questioning the condominium as I have learned since. In total I received in compensation a third of the amount of catering costs. When you are a customer at the Macif, you should not"&amp;" hesitate to consult (and pay) an independent expert.")</f>
        <v>After a water damage (DDE) concerning the condominium (leak of a heating pipe integrated into the ceiling), the expert sent by the Macif did everything to reduce the invoice presented for the repair of the paintings, in particular highlighting of a coefficient of dilapidation, which is notoriously illegal in the case of a DDE questioning the condominium as I have learned since. In total I received in compensation a third of the amount of catering costs. When you are a customer at the Macif, you should not hesitate to consult (and pay) an independent expert.</v>
      </c>
    </row>
    <row r="362" ht="15.75" customHeight="1">
      <c r="A362" s="2">
        <v>3.0</v>
      </c>
      <c r="B362" s="2" t="s">
        <v>1135</v>
      </c>
      <c r="C362" s="2" t="s">
        <v>1136</v>
      </c>
      <c r="D362" s="2" t="s">
        <v>250</v>
      </c>
      <c r="E362" s="2" t="s">
        <v>21</v>
      </c>
      <c r="F362" s="2" t="s">
        <v>15</v>
      </c>
      <c r="G362" s="2" t="s">
        <v>1137</v>
      </c>
      <c r="H362" s="2" t="s">
        <v>115</v>
      </c>
      <c r="I362" s="2" t="str">
        <f>IFERROR(__xludf.DUMMYFUNCTION("GOOGLETRANSLATE(C362,""fr"",""en"")"),"The worst mutual insurance company that I have never known the sheets that disappear the unprecedented explanations. All my loved ones are at home and we will all leave this pitiful mutual in late 2017")</f>
        <v>The worst mutual insurance company that I have never known the sheets that disappear the unprecedented explanations. All my loved ones are at home and we will all leave this pitiful mutual in late 2017</v>
      </c>
    </row>
    <row r="363" ht="15.75" customHeight="1">
      <c r="A363" s="2">
        <v>5.0</v>
      </c>
      <c r="B363" s="2" t="s">
        <v>1138</v>
      </c>
      <c r="C363" s="2" t="s">
        <v>1139</v>
      </c>
      <c r="D363" s="2" t="s">
        <v>69</v>
      </c>
      <c r="E363" s="2" t="s">
        <v>21</v>
      </c>
      <c r="F363" s="2" t="s">
        <v>15</v>
      </c>
      <c r="G363" s="2" t="s">
        <v>976</v>
      </c>
      <c r="H363" s="2" t="s">
        <v>185</v>
      </c>
      <c r="I363" s="2" t="str">
        <f>IFERROR(__xludf.DUMMYFUNCTION("GOOGLETRANSLATE(C363,""fr"",""en"")"),"Thank you Emeline, it was very clear! I find the welcome very pleasant at Santiane.
While waiting for the start of my contract !!!!
Beautiful day, cordially,")</f>
        <v>Thank you Emeline, it was very clear! I find the welcome very pleasant at Santiane.
While waiting for the start of my contract !!!!
Beautiful day, cordially,</v>
      </c>
    </row>
    <row r="364" ht="15.75" customHeight="1">
      <c r="A364" s="2">
        <v>5.0</v>
      </c>
      <c r="B364" s="2" t="s">
        <v>1140</v>
      </c>
      <c r="C364" s="2" t="s">
        <v>1141</v>
      </c>
      <c r="D364" s="2" t="s">
        <v>37</v>
      </c>
      <c r="E364" s="2" t="s">
        <v>38</v>
      </c>
      <c r="F364" s="2" t="s">
        <v>15</v>
      </c>
      <c r="G364" s="2" t="s">
        <v>382</v>
      </c>
      <c r="H364" s="2" t="s">
        <v>81</v>
      </c>
      <c r="I364" s="2" t="str">
        <f>IFERROR(__xludf.DUMMYFUNCTION("GOOGLETRANSLATE(C364,""fr"",""en"")"),"I am satisfied with the service
Correct price and clear and detailed proposal
I recommend this insurance to those around me
Well -constructed website
")</f>
        <v>I am satisfied with the service
Correct price and clear and detailed proposal
I recommend this insurance to those around me
Well -constructed website
</v>
      </c>
    </row>
    <row r="365" ht="15.75" customHeight="1">
      <c r="A365" s="2">
        <v>1.0</v>
      </c>
      <c r="B365" s="2" t="s">
        <v>1142</v>
      </c>
      <c r="C365" s="2" t="s">
        <v>1143</v>
      </c>
      <c r="D365" s="2" t="s">
        <v>57</v>
      </c>
      <c r="E365" s="2" t="s">
        <v>14</v>
      </c>
      <c r="F365" s="2" t="s">
        <v>15</v>
      </c>
      <c r="G365" s="2" t="s">
        <v>1144</v>
      </c>
      <c r="H365" s="2" t="s">
        <v>593</v>
      </c>
      <c r="I365" s="2" t="str">
        <f>IFERROR(__xludf.DUMMYFUNCTION("GOOGLETRANSLATE(C365,""fr"",""en"")"),"Be careful when you subscribe to the Olivier Insurance car insurance.
Above all, make no mistakes in the questions asked very quickly, because it will cost you € 15 to modify the contract and especially if you have neglected not to declare a non -respons"&amp;"ible accident or a break of ice then there on the cake for my share a surprise of 100 and a few euros.
Result of the races I pay more expensive than my old insurance.
I just spent 3 automotive contracts at the olive tree, from my past year, I go to my f"&amp;"ormer insurer.
There at least we can discuss and we know the final price of our insurance
Cordially
")</f>
        <v>Be careful when you subscribe to the Olivier Insurance car insurance.
Above all, make no mistakes in the questions asked very quickly, because it will cost you € 15 to modify the contract and especially if you have neglected not to declare a non -responsible accident or a break of ice then there on the cake for my share a surprise of 100 and a few euros.
Result of the races I pay more expensive than my old insurance.
I just spent 3 automotive contracts at the olive tree, from my past year, I go to my former insurer.
There at least we can discuss and we know the final price of our insurance
Cordially
</v>
      </c>
    </row>
    <row r="366" ht="15.75" customHeight="1">
      <c r="A366" s="2">
        <v>1.0</v>
      </c>
      <c r="B366" s="2" t="s">
        <v>1145</v>
      </c>
      <c r="C366" s="2" t="s">
        <v>1146</v>
      </c>
      <c r="D366" s="2" t="s">
        <v>996</v>
      </c>
      <c r="E366" s="2" t="s">
        <v>43</v>
      </c>
      <c r="F366" s="2" t="s">
        <v>15</v>
      </c>
      <c r="G366" s="2" t="s">
        <v>1147</v>
      </c>
      <c r="H366" s="2" t="s">
        <v>452</v>
      </c>
      <c r="I366" s="2" t="str">
        <f>IFERROR(__xludf.DUMMYFUNCTION("GOOGLETRANSLATE(C366,""fr"",""en"")"),"A lack of respect and total consideration for his savers. Non -existent, disrespectful customer service
Impossible to have your RIB changed, a height. I dare not imagine a buyout. Should we take a lawyer?")</f>
        <v>A lack of respect and total consideration for his savers. Non -existent, disrespectful customer service
Impossible to have your RIB changed, a height. I dare not imagine a buyout. Should we take a lawyer?</v>
      </c>
    </row>
    <row r="367" ht="15.75" customHeight="1">
      <c r="A367" s="2">
        <v>3.0</v>
      </c>
      <c r="B367" s="2" t="s">
        <v>1148</v>
      </c>
      <c r="C367" s="2" t="s">
        <v>1149</v>
      </c>
      <c r="D367" s="2" t="s">
        <v>26</v>
      </c>
      <c r="E367" s="2" t="s">
        <v>14</v>
      </c>
      <c r="F367" s="2" t="s">
        <v>15</v>
      </c>
      <c r="G367" s="2" t="s">
        <v>1150</v>
      </c>
      <c r="H367" s="2" t="s">
        <v>74</v>
      </c>
      <c r="I367" s="2" t="str">
        <f>IFERROR(__xludf.DUMMYFUNCTION("GOOGLETRANSLATE(C367,""fr"",""en"")"),"Rapid registration, the options offered your thought
The answer is direct no waiting or make you take.
Very well I have homemade RAS insurance")</f>
        <v>Rapid registration, the options offered your thought
The answer is direct no waiting or make you take.
Very well I have homemade RAS insurance</v>
      </c>
    </row>
    <row r="368" ht="15.75" customHeight="1">
      <c r="A368" s="2">
        <v>5.0</v>
      </c>
      <c r="B368" s="2" t="s">
        <v>1151</v>
      </c>
      <c r="C368" s="2" t="s">
        <v>1152</v>
      </c>
      <c r="D368" s="2" t="s">
        <v>57</v>
      </c>
      <c r="E368" s="2" t="s">
        <v>14</v>
      </c>
      <c r="F368" s="2" t="s">
        <v>15</v>
      </c>
      <c r="G368" s="2" t="s">
        <v>1153</v>
      </c>
      <c r="H368" s="2" t="s">
        <v>23</v>
      </c>
      <c r="I368" s="2" t="str">
        <f>IFERROR(__xludf.DUMMYFUNCTION("GOOGLETRANSLATE(C368,""fr"",""en"")"),"Simple, fast, efficient, listening. Not yet had a driving level problem etc so to see for that. But if not entirely satisfied with the speed of management of my file. To see guaranteed level if necessary.")</f>
        <v>Simple, fast, efficient, listening. Not yet had a driving level problem etc so to see for that. But if not entirely satisfied with the speed of management of my file. To see guaranteed level if necessary.</v>
      </c>
    </row>
    <row r="369" ht="15.75" customHeight="1">
      <c r="A369" s="2">
        <v>3.0</v>
      </c>
      <c r="B369" s="2" t="s">
        <v>1154</v>
      </c>
      <c r="C369" s="2" t="s">
        <v>1155</v>
      </c>
      <c r="D369" s="2" t="s">
        <v>26</v>
      </c>
      <c r="E369" s="2" t="s">
        <v>14</v>
      </c>
      <c r="F369" s="2" t="s">
        <v>15</v>
      </c>
      <c r="G369" s="2" t="s">
        <v>1156</v>
      </c>
      <c r="H369" s="2" t="s">
        <v>34</v>
      </c>
      <c r="I369" s="2" t="str">
        <f>IFERROR(__xludf.DUMMYFUNCTION("GOOGLETRANSLATE(C369,""fr"",""en"")"),"Simple and practical, good value for money. I strongly advise this insurance. Too bad that he did not align my current insurance for my automotive contract, otherwise I would stay with them.")</f>
        <v>Simple and practical, good value for money. I strongly advise this insurance. Too bad that he did not align my current insurance for my automotive contract, otherwise I would stay with them.</v>
      </c>
    </row>
    <row r="370" ht="15.75" customHeight="1">
      <c r="A370" s="2">
        <v>3.0</v>
      </c>
      <c r="B370" s="2" t="s">
        <v>1157</v>
      </c>
      <c r="C370" s="2" t="s">
        <v>1158</v>
      </c>
      <c r="D370" s="2" t="s">
        <v>26</v>
      </c>
      <c r="E370" s="2" t="s">
        <v>14</v>
      </c>
      <c r="F370" s="2" t="s">
        <v>15</v>
      </c>
      <c r="G370" s="2" t="s">
        <v>829</v>
      </c>
      <c r="H370" s="2" t="s">
        <v>81</v>
      </c>
      <c r="I370" s="2" t="str">
        <f>IFERROR(__xludf.DUMMYFUNCTION("GOOGLETRANSLATE(C370,""fr"",""en"")"),"Good almost/price ratio. Contact by phone very complicated to subscribe and ask the questions. The reimbursement of 20 euros for sponsorship is not clear")</f>
        <v>Good almost/price ratio. Contact by phone very complicated to subscribe and ask the questions. The reimbursement of 20 euros for sponsorship is not clear</v>
      </c>
    </row>
    <row r="371" ht="15.75" customHeight="1">
      <c r="A371" s="2">
        <v>3.0</v>
      </c>
      <c r="B371" s="2" t="s">
        <v>1159</v>
      </c>
      <c r="C371" s="2" t="s">
        <v>1160</v>
      </c>
      <c r="D371" s="2" t="s">
        <v>69</v>
      </c>
      <c r="E371" s="2" t="s">
        <v>21</v>
      </c>
      <c r="F371" s="2" t="s">
        <v>15</v>
      </c>
      <c r="G371" s="2" t="s">
        <v>1161</v>
      </c>
      <c r="H371" s="2" t="s">
        <v>45</v>
      </c>
      <c r="I371" s="2" t="str">
        <f>IFERROR(__xludf.DUMMYFUNCTION("GOOGLETRANSLATE(C371,""fr"",""en"")"),"An advisor contacted me to modify my mutual health contract which dates from 2013.")</f>
        <v>An advisor contacted me to modify my mutual health contract which dates from 2013.</v>
      </c>
    </row>
    <row r="372" ht="15.75" customHeight="1">
      <c r="A372" s="2">
        <v>2.0</v>
      </c>
      <c r="B372" s="2" t="s">
        <v>1162</v>
      </c>
      <c r="C372" s="2" t="s">
        <v>1163</v>
      </c>
      <c r="D372" s="2" t="s">
        <v>315</v>
      </c>
      <c r="E372" s="2" t="s">
        <v>14</v>
      </c>
      <c r="F372" s="2" t="s">
        <v>15</v>
      </c>
      <c r="G372" s="2" t="s">
        <v>1164</v>
      </c>
      <c r="H372" s="2" t="s">
        <v>157</v>
      </c>
      <c r="I372" s="2" t="str">
        <f>IFERROR(__xludf.DUMMYFUNCTION("GOOGLETRANSLATE(C372,""fr"",""en"")"),"I have been insured at Eurofil for 2 years with all -risk insurance. Six months ago, my car was damaged when she was parked on the road. Their technician said that the car could not be damaged and therefore indicated that the repairs would not be carried "&amp;"out. Basically, I have damage of 4000 euros and no repair. Stay away from Eurofil")</f>
        <v>I have been insured at Eurofil for 2 years with all -risk insurance. Six months ago, my car was damaged when she was parked on the road. Their technician said that the car could not be damaged and therefore indicated that the repairs would not be carried out. Basically, I have damage of 4000 euros and no repair. Stay away from Eurofil</v>
      </c>
    </row>
    <row r="373" ht="15.75" customHeight="1">
      <c r="A373" s="2">
        <v>5.0</v>
      </c>
      <c r="B373" s="2" t="s">
        <v>1165</v>
      </c>
      <c r="C373" s="2" t="s">
        <v>1166</v>
      </c>
      <c r="D373" s="2" t="s">
        <v>26</v>
      </c>
      <c r="E373" s="2" t="s">
        <v>14</v>
      </c>
      <c r="F373" s="2" t="s">
        <v>15</v>
      </c>
      <c r="G373" s="2" t="s">
        <v>1167</v>
      </c>
      <c r="H373" s="2" t="s">
        <v>81</v>
      </c>
      <c r="I373" s="2" t="str">
        <f>IFERROR(__xludf.DUMMYFUNCTION("GOOGLETRANSLATE(C373,""fr"",""en"")"),"I am satisfied …… The prices are affordable… .. The implementation is simple effective and quick…. Plusters price are offered in order to meet our expectations")</f>
        <v>I am satisfied …… The prices are affordable… .. The implementation is simple effective and quick…. Plusters price are offered in order to meet our expectations</v>
      </c>
    </row>
    <row r="374" ht="15.75" customHeight="1">
      <c r="A374" s="2">
        <v>3.0</v>
      </c>
      <c r="B374" s="2" t="s">
        <v>1168</v>
      </c>
      <c r="C374" s="2" t="s">
        <v>1169</v>
      </c>
      <c r="D374" s="2" t="s">
        <v>1170</v>
      </c>
      <c r="E374" s="2" t="s">
        <v>212</v>
      </c>
      <c r="F374" s="2" t="s">
        <v>15</v>
      </c>
      <c r="G374" s="2" t="s">
        <v>1171</v>
      </c>
      <c r="H374" s="2" t="s">
        <v>1172</v>
      </c>
      <c r="I374" s="2" t="str">
        <f>IFERROR(__xludf.DUMMYFUNCTION("GOOGLETRANSLATE(C374,""fr"",""en"")"),"Hello, while they announce reimbursements up to 85/100 Here are my reimbursements: 06/07/2017 Prevention treated by our services € 75.00 paid25.00 reimbursed ›See detail
08/03/2017 -Curgery following illness treated by our services € 170.90 paid € 102.77"&amp;" Refunded ›See detail
07/02/2016 Illness treated by our services € 55.00 paid € 4.25 reimbursed ›See detail
I am the opposite of someone satisfied
I forgot, three weeks to be very badly reimbursed")</f>
        <v>Hello, while they announce reimbursements up to 85/100 Here are my reimbursements: 06/07/2017 Prevention treated by our services € 75.00 paid25.00 reimbursed ›See detail
08/03/2017 -Curgery following illness treated by our services € 170.90 paid € 102.77 Refunded ›See detail
07/02/2016 Illness treated by our services € 55.00 paid € 4.25 reimbursed ›See detail
I am the opposite of someone satisfied
I forgot, three weeks to be very badly reimbursed</v>
      </c>
    </row>
    <row r="375" ht="15.75" customHeight="1">
      <c r="A375" s="2">
        <v>2.0</v>
      </c>
      <c r="B375" s="2" t="s">
        <v>1173</v>
      </c>
      <c r="C375" s="2" t="s">
        <v>1174</v>
      </c>
      <c r="D375" s="2" t="s">
        <v>1175</v>
      </c>
      <c r="E375" s="2" t="s">
        <v>32</v>
      </c>
      <c r="F375" s="2" t="s">
        <v>15</v>
      </c>
      <c r="G375" s="2" t="s">
        <v>1176</v>
      </c>
      <c r="H375" s="2" t="s">
        <v>312</v>
      </c>
      <c r="I375" s="2" t="str">
        <f>IFERROR(__xludf.DUMMYFUNCTION("GOOGLETRANSLATE(C375,""fr"",""en"")"),"Following a major health problem, I lost my job, the CPAM recognizes my illness 100%, the MDPH between 80 and 100, ditto in terms of taxes, can be able to 30% !!! Look for the error, a multitude of blunders, but who benefits the errors not in any case, I "&amp;"just called a lawyer so that he helps me to glimpse the end of the tunnel, Suravenir does not fill his mission, it is obviously necessary to flee them ...")</f>
        <v>Following a major health problem, I lost my job, the CPAM recognizes my illness 100%, the MDPH between 80 and 100, ditto in terms of taxes, can be able to 30% !!! Look for the error, a multitude of blunders, but who benefits the errors not in any case, I just called a lawyer so that he helps me to glimpse the end of the tunnel, Suravenir does not fill his mission, it is obviously necessary to flee them ...</v>
      </c>
    </row>
    <row r="376" ht="15.75" customHeight="1">
      <c r="A376" s="2">
        <v>3.0</v>
      </c>
      <c r="B376" s="2" t="s">
        <v>1177</v>
      </c>
      <c r="C376" s="2" t="s">
        <v>1178</v>
      </c>
      <c r="D376" s="2" t="s">
        <v>410</v>
      </c>
      <c r="E376" s="2" t="s">
        <v>14</v>
      </c>
      <c r="F376" s="2" t="s">
        <v>15</v>
      </c>
      <c r="G376" s="2" t="s">
        <v>342</v>
      </c>
      <c r="H376" s="2" t="s">
        <v>343</v>
      </c>
      <c r="I376" s="2" t="str">
        <f>IFERROR(__xludf.DUMMYFUNCTION("GOOGLETRANSLATE(C376,""fr"",""en"")"),"I had an accident with the car and I had trouble contacting them, once I succeeded, the person who answered me had a very bad attitude and gave me bad information.")</f>
        <v>I had an accident with the car and I had trouble contacting them, once I succeeded, the person who answered me had a very bad attitude and gave me bad information.</v>
      </c>
    </row>
    <row r="377" ht="15.75" customHeight="1">
      <c r="A377" s="2">
        <v>1.0</v>
      </c>
      <c r="B377" s="2" t="s">
        <v>1179</v>
      </c>
      <c r="C377" s="2" t="s">
        <v>1180</v>
      </c>
      <c r="D377" s="2" t="s">
        <v>164</v>
      </c>
      <c r="E377" s="2" t="s">
        <v>32</v>
      </c>
      <c r="F377" s="2" t="s">
        <v>15</v>
      </c>
      <c r="G377" s="2" t="s">
        <v>1181</v>
      </c>
      <c r="H377" s="2" t="s">
        <v>94</v>
      </c>
      <c r="I377" s="2" t="str">
        <f>IFERROR(__xludf.DUMMYFUNCTION("GOOGLETRANSLATE(C377,""fr"",""en"")"),"After 2 and a half years of illness, a transition to invalidity 2, a dismissal, dozens of calls to the insured service, mail in mess so that I am told that I have no care. It will be 1 month since my file is supposed to be re -studied but no more news. I "&amp;"am shocked and in the end I regret having subscribed because it is useless. But I want to explain to me why after telling me that I would be taken care of nothing was done!")</f>
        <v>After 2 and a half years of illness, a transition to invalidity 2, a dismissal, dozens of calls to the insured service, mail in mess so that I am told that I have no care. It will be 1 month since my file is supposed to be re -studied but no more news. I am shocked and in the end I regret having subscribed because it is useless. But I want to explain to me why after telling me that I would be taken care of nothing was done!</v>
      </c>
    </row>
    <row r="378" ht="15.75" customHeight="1">
      <c r="A378" s="2">
        <v>5.0</v>
      </c>
      <c r="B378" s="2" t="s">
        <v>1182</v>
      </c>
      <c r="C378" s="2" t="s">
        <v>1183</v>
      </c>
      <c r="D378" s="2" t="s">
        <v>26</v>
      </c>
      <c r="E378" s="2" t="s">
        <v>14</v>
      </c>
      <c r="F378" s="2" t="s">
        <v>15</v>
      </c>
      <c r="G378" s="2" t="s">
        <v>97</v>
      </c>
      <c r="H378" s="2" t="s">
        <v>28</v>
      </c>
      <c r="I378" s="2" t="str">
        <f>IFERROR(__xludf.DUMMYFUNCTION("GOOGLETRANSLATE(C378,""fr"",""en"")"),"I am satisfied with the service and the prices. Complete and very intuitive and personal site of the telephone reception attentive and understanding of our needs.")</f>
        <v>I am satisfied with the service and the prices. Complete and very intuitive and personal site of the telephone reception attentive and understanding of our needs.</v>
      </c>
    </row>
    <row r="379" ht="15.75" customHeight="1">
      <c r="A379" s="2">
        <v>2.0</v>
      </c>
      <c r="B379" s="2" t="s">
        <v>1184</v>
      </c>
      <c r="C379" s="2" t="s">
        <v>1185</v>
      </c>
      <c r="D379" s="2" t="s">
        <v>996</v>
      </c>
      <c r="E379" s="2" t="s">
        <v>43</v>
      </c>
      <c r="F379" s="2" t="s">
        <v>15</v>
      </c>
      <c r="G379" s="2" t="s">
        <v>1186</v>
      </c>
      <c r="H379" s="2" t="s">
        <v>50</v>
      </c>
      <c r="I379" s="2" t="str">
        <f>IFERROR(__xludf.DUMMYFUNCTION("GOOGLETRANSLATE(C379,""fr"",""en"")"),"They play the watch for the reimbursement of life insurance and they are impossible to contact on the phone !!!!
If for happiness you manage to have the standard, it is not the right interlocutor and when they switch you to the recipient position, as if "&amp;"by chance the communication is interrupted and you do not manage to contact them !!!
As for emails, they remain unanswered !!!
At the limit of the scam !!!")</f>
        <v>They play the watch for the reimbursement of life insurance and they are impossible to contact on the phone !!!!
If for happiness you manage to have the standard, it is not the right interlocutor and when they switch you to the recipient position, as if by chance the communication is interrupted and you do not manage to contact them !!!
As for emails, they remain unanswered !!!
At the limit of the scam !!!</v>
      </c>
    </row>
    <row r="380" ht="15.75" customHeight="1">
      <c r="A380" s="2">
        <v>1.0</v>
      </c>
      <c r="B380" s="2" t="s">
        <v>1187</v>
      </c>
      <c r="C380" s="2" t="s">
        <v>1188</v>
      </c>
      <c r="D380" s="2" t="s">
        <v>338</v>
      </c>
      <c r="E380" s="2" t="s">
        <v>14</v>
      </c>
      <c r="F380" s="2" t="s">
        <v>15</v>
      </c>
      <c r="G380" s="2" t="s">
        <v>1189</v>
      </c>
      <c r="H380" s="2" t="s">
        <v>1083</v>
      </c>
      <c r="I380" s="2" t="str">
        <f>IFERROR(__xludf.DUMMYFUNCTION("GOOGLETRANSLATE(C380,""fr"",""en"")"),"Following a termination and a delay of letters (ARBBLigatory) I contributed 3 more months (destruction vehicle January 2018; termination April 2018) no reimbursement .... no mediator of the operator Ms. S ... I can not give you the contact details of the "&amp;"mediator .... it is the insurance policy ... 192.00 not reimbursed for a car destroyed for four months ....")</f>
        <v>Following a termination and a delay of letters (ARBBLigatory) I contributed 3 more months (destruction vehicle January 2018; termination April 2018) no reimbursement .... no mediator of the operator Ms. S ... I can not give you the contact details of the mediator .... it is the insurance policy ... 192.00 not reimbursed for a car destroyed for four months ....</v>
      </c>
    </row>
    <row r="381" ht="15.75" customHeight="1">
      <c r="A381" s="2">
        <v>5.0</v>
      </c>
      <c r="B381" s="2" t="s">
        <v>1190</v>
      </c>
      <c r="C381" s="2" t="s">
        <v>1191</v>
      </c>
      <c r="D381" s="2" t="s">
        <v>31</v>
      </c>
      <c r="E381" s="2" t="s">
        <v>32</v>
      </c>
      <c r="F381" s="2" t="s">
        <v>15</v>
      </c>
      <c r="G381" s="2" t="s">
        <v>1192</v>
      </c>
      <c r="H381" s="2" t="s">
        <v>63</v>
      </c>
      <c r="I381" s="2" t="str">
        <f>IFERROR(__xludf.DUMMYFUNCTION("GOOGLETRANSLATE(C381,""fr"",""en"")"),"Very satisfied, suitable quote offered very quickly, complete information, very good follow -up. All online validations, secure file and support for the termination of current insurance.")</f>
        <v>Very satisfied, suitable quote offered very quickly, complete information, very good follow -up. All online validations, secure file and support for the termination of current insurance.</v>
      </c>
    </row>
    <row r="382" ht="15.75" customHeight="1">
      <c r="A382" s="2">
        <v>5.0</v>
      </c>
      <c r="B382" s="2" t="s">
        <v>1193</v>
      </c>
      <c r="C382" s="2" t="s">
        <v>1194</v>
      </c>
      <c r="D382" s="2" t="s">
        <v>26</v>
      </c>
      <c r="E382" s="2" t="s">
        <v>14</v>
      </c>
      <c r="F382" s="2" t="s">
        <v>15</v>
      </c>
      <c r="G382" s="2" t="s">
        <v>1195</v>
      </c>
      <c r="H382" s="2" t="s">
        <v>90</v>
      </c>
      <c r="I382" s="2" t="str">
        <f>IFERROR(__xludf.DUMMYFUNCTION("GOOGLETRANSLATE(C382,""fr"",""en"")"),"I am satisfied with the service and the information on the other hand I do not understand for years you have assured me n ° contract 1638132467 and today you tell me that you cannot because vehicle and proffessional how did you ensure the time ?? ????????"&amp;"???")</f>
        <v>I am satisfied with the service and the information on the other hand I do not understand for years you have assured me n ° contract 1638132467 and today you tell me that you cannot because vehicle and proffessional how did you ensure the time ?? ???????????</v>
      </c>
    </row>
    <row r="383" ht="15.75" customHeight="1">
      <c r="A383" s="2">
        <v>5.0</v>
      </c>
      <c r="B383" s="2" t="s">
        <v>1196</v>
      </c>
      <c r="C383" s="2" t="s">
        <v>1197</v>
      </c>
      <c r="D383" s="2" t="s">
        <v>125</v>
      </c>
      <c r="E383" s="2" t="s">
        <v>43</v>
      </c>
      <c r="F383" s="2" t="s">
        <v>15</v>
      </c>
      <c r="G383" s="2" t="s">
        <v>1198</v>
      </c>
      <c r="H383" s="2" t="s">
        <v>329</v>
      </c>
      <c r="I383" s="2" t="str">
        <f>IFERROR(__xludf.DUMMYFUNCTION("GOOGLETRANSLATE(C383,""fr"",""en"")"),"I have had life insurance savings at Generali for over 10 years. My advisor came to home recently to make a point and I had the good surprise that my capital had made a lot of interest!")</f>
        <v>I have had life insurance savings at Generali for over 10 years. My advisor came to home recently to make a point and I had the good surprise that my capital had made a lot of interest!</v>
      </c>
    </row>
    <row r="384" ht="15.75" customHeight="1">
      <c r="A384" s="2">
        <v>4.0</v>
      </c>
      <c r="B384" s="2" t="s">
        <v>1199</v>
      </c>
      <c r="C384" s="2" t="s">
        <v>1200</v>
      </c>
      <c r="D384" s="2" t="s">
        <v>57</v>
      </c>
      <c r="E384" s="2" t="s">
        <v>14</v>
      </c>
      <c r="F384" s="2" t="s">
        <v>15</v>
      </c>
      <c r="G384" s="2" t="s">
        <v>1201</v>
      </c>
      <c r="H384" s="2" t="s">
        <v>122</v>
      </c>
      <c r="I384" s="2" t="str">
        <f>IFERROR(__xludf.DUMMYFUNCTION("GOOGLETRANSLATE(C384,""fr"",""en"")"),"I am satisfied with this fast insurance and indeed and see sponsor one from my home good day and soon on the web I prefer to be covered")</f>
        <v>I am satisfied with this fast insurance and indeed and see sponsor one from my home good day and soon on the web I prefer to be covered</v>
      </c>
    </row>
    <row r="385" ht="15.75" customHeight="1">
      <c r="A385" s="2">
        <v>4.0</v>
      </c>
      <c r="B385" s="2" t="s">
        <v>1202</v>
      </c>
      <c r="C385" s="2" t="s">
        <v>1203</v>
      </c>
      <c r="D385" s="2" t="s">
        <v>26</v>
      </c>
      <c r="E385" s="2" t="s">
        <v>14</v>
      </c>
      <c r="F385" s="2" t="s">
        <v>15</v>
      </c>
      <c r="G385" s="2" t="s">
        <v>1204</v>
      </c>
      <c r="H385" s="2" t="s">
        <v>34</v>
      </c>
      <c r="I385" s="2" t="str">
        <f>IFERROR(__xludf.DUMMYFUNCTION("GOOGLETRANSLATE(C385,""fr"",""en"")")," For the moment I am satisfied with my insurance nothing to complain about the concern is perhaps the site which is not terrible to visualize its contracts and the detail")</f>
        <v> For the moment I am satisfied with my insurance nothing to complain about the concern is perhaps the site which is not terrible to visualize its contracts and the detail</v>
      </c>
    </row>
    <row r="386" ht="15.75" customHeight="1">
      <c r="A386" s="2">
        <v>4.0</v>
      </c>
      <c r="B386" s="2" t="s">
        <v>1205</v>
      </c>
      <c r="C386" s="2" t="s">
        <v>1206</v>
      </c>
      <c r="D386" s="2" t="s">
        <v>57</v>
      </c>
      <c r="E386" s="2" t="s">
        <v>14</v>
      </c>
      <c r="F386" s="2" t="s">
        <v>15</v>
      </c>
      <c r="G386" s="2" t="s">
        <v>1207</v>
      </c>
      <c r="H386" s="2" t="s">
        <v>50</v>
      </c>
      <c r="I386" s="2" t="str">
        <f>IFERROR(__xludf.DUMMYFUNCTION("GOOGLETRANSLATE(C386,""fr"",""en"")"),"Excellent car insurance, with a very good relationship between the quality of the services provided and the amount of the subscription.")</f>
        <v>Excellent car insurance, with a very good relationship between the quality of the services provided and the amount of the subscription.</v>
      </c>
    </row>
    <row r="387" ht="15.75" customHeight="1">
      <c r="A387" s="2">
        <v>4.0</v>
      </c>
      <c r="B387" s="2" t="s">
        <v>1208</v>
      </c>
      <c r="C387" s="2" t="s">
        <v>1209</v>
      </c>
      <c r="D387" s="2" t="s">
        <v>57</v>
      </c>
      <c r="E387" s="2" t="s">
        <v>14</v>
      </c>
      <c r="F387" s="2" t="s">
        <v>15</v>
      </c>
      <c r="G387" s="2" t="s">
        <v>778</v>
      </c>
      <c r="H387" s="2" t="s">
        <v>90</v>
      </c>
      <c r="I387" s="2" t="str">
        <f>IFERROR(__xludf.DUMMYFUNCTION("GOOGLETRANSLATE(C387,""fr"",""en"")"),"Satisfied very clear top advisor in very professional explanations and very friendly I recommend the olive tree around me listening advisor")</f>
        <v>Satisfied very clear top advisor in very professional explanations and very friendly I recommend the olive tree around me listening advisor</v>
      </c>
    </row>
    <row r="388" ht="15.75" customHeight="1">
      <c r="A388" s="2">
        <v>4.0</v>
      </c>
      <c r="B388" s="2" t="s">
        <v>1210</v>
      </c>
      <c r="C388" s="2" t="s">
        <v>1211</v>
      </c>
      <c r="D388" s="2" t="s">
        <v>188</v>
      </c>
      <c r="E388" s="2" t="s">
        <v>14</v>
      </c>
      <c r="F388" s="2" t="s">
        <v>15</v>
      </c>
      <c r="G388" s="2" t="s">
        <v>1212</v>
      </c>
      <c r="H388" s="2" t="s">
        <v>361</v>
      </c>
      <c r="I388" s="2" t="str">
        <f>IFERROR(__xludf.DUMMYFUNCTION("GOOGLETRANSLATE(C388,""fr"",""en"")"),"Always available quick to reach. Always listening to me.")</f>
        <v>Always available quick to reach. Always listening to me.</v>
      </c>
    </row>
    <row r="389" ht="15.75" customHeight="1">
      <c r="A389" s="2">
        <v>5.0</v>
      </c>
      <c r="B389" s="2" t="s">
        <v>1213</v>
      </c>
      <c r="C389" s="2" t="s">
        <v>1214</v>
      </c>
      <c r="D389" s="2" t="s">
        <v>305</v>
      </c>
      <c r="E389" s="2" t="s">
        <v>38</v>
      </c>
      <c r="F389" s="2" t="s">
        <v>15</v>
      </c>
      <c r="G389" s="2" t="s">
        <v>1053</v>
      </c>
      <c r="H389" s="2" t="s">
        <v>74</v>
      </c>
      <c r="I389" s="2" t="str">
        <f>IFERROR(__xludf.DUMMYFUNCTION("GOOGLETRANSLATE(C389,""fr"",""en"")"),"satisfied with the very fast service; it is very clear and understandable; well detailed; the presentation on the screen is simple, we can easily find ourselves")</f>
        <v>satisfied with the very fast service; it is very clear and understandable; well detailed; the presentation on the screen is simple, we can easily find ourselves</v>
      </c>
    </row>
    <row r="390" ht="15.75" customHeight="1">
      <c r="A390" s="2">
        <v>1.0</v>
      </c>
      <c r="B390" s="2" t="s">
        <v>1215</v>
      </c>
      <c r="C390" s="2" t="s">
        <v>1216</v>
      </c>
      <c r="D390" s="2" t="s">
        <v>388</v>
      </c>
      <c r="E390" s="2" t="s">
        <v>38</v>
      </c>
      <c r="F390" s="2" t="s">
        <v>15</v>
      </c>
      <c r="G390" s="2" t="s">
        <v>469</v>
      </c>
      <c r="H390" s="2" t="s">
        <v>122</v>
      </c>
      <c r="I390" s="2" t="str">
        <f>IFERROR(__xludf.DUMMYFUNCTION("GOOGLETRANSLATE(C390,""fr"",""en"")"),"Too bad I am forced to put at least 1 -only! For me it deserves -10 Stars. My new insurance to send a request for termination in February 2020 at Euro-Assurance. To date the contract contract always and when I call to find out why the advisor answers me t"&amp;"hat the date is not good because they have received the mail in March 2021 ..... no but they walk on the head. Flee this brokerage company.")</f>
        <v>Too bad I am forced to put at least 1 -only! For me it deserves -10 Stars. My new insurance to send a request for termination in February 2020 at Euro-Assurance. To date the contract contract always and when I call to find out why the advisor answers me that the date is not good because they have received the mail in March 2021 ..... no but they walk on the head. Flee this brokerage company.</v>
      </c>
    </row>
    <row r="391" ht="15.75" customHeight="1">
      <c r="A391" s="2">
        <v>2.0</v>
      </c>
      <c r="B391" s="2" t="s">
        <v>1217</v>
      </c>
      <c r="C391" s="2" t="s">
        <v>1218</v>
      </c>
      <c r="D391" s="2" t="s">
        <v>57</v>
      </c>
      <c r="E391" s="2" t="s">
        <v>14</v>
      </c>
      <c r="F391" s="2" t="s">
        <v>15</v>
      </c>
      <c r="G391" s="2" t="s">
        <v>1219</v>
      </c>
      <c r="H391" s="2" t="s">
        <v>70</v>
      </c>
      <c r="I391" s="2" t="str">
        <f>IFERROR(__xludf.DUMMYFUNCTION("GOOGLETRANSLATE(C391,""fr"",""en"")"),"Hello,
I made a quote to ensure my new vehicle via lesfurets.com and Olivier offered the best offer. I could not validate the offer on the site because I only had the Belgian registration of the vehicle. So I called customer service who confirmed to me t"&amp;"hat the olive tree did not assume the Strange plates but as soon as I have French plates, I could call to receive the green card in 5 minutes by email. The day of the acquisition of my vehicle, I therefore call customer service and there I receive a categ"&amp;"orical refusal because my plates are temporary !!!! So I found myself blocked in the garage without being able to circulate with my vehicle that I had just bought !!! The olive tree did not offer me any solution despite my insistence and my deconception i"&amp;"n the face of the situation: are the plates not French plates? I am disappointed and wanted to share my experience so that other potential customers do not meet the same painful experience ...")</f>
        <v>Hello,
I made a quote to ensure my new vehicle via lesfurets.com and Olivier offered the best offer. I could not validate the offer on the site because I only had the Belgian registration of the vehicle. So I called customer service who confirmed to me that the olive tree did not assume the Strange plates but as soon as I have French plates, I could call to receive the green card in 5 minutes by email. The day of the acquisition of my vehicle, I therefore call customer service and there I receive a categorical refusal because my plates are temporary !!!! So I found myself blocked in the garage without being able to circulate with my vehicle that I had just bought !!! The olive tree did not offer me any solution despite my insistence and my deconception in the face of the situation: are the plates not French plates? I am disappointed and wanted to share my experience so that other potential customers do not meet the same painful experience ...</v>
      </c>
    </row>
    <row r="392" ht="15.75" customHeight="1">
      <c r="A392" s="2">
        <v>5.0</v>
      </c>
      <c r="B392" s="2" t="s">
        <v>1220</v>
      </c>
      <c r="C392" s="2" t="s">
        <v>1221</v>
      </c>
      <c r="D392" s="2" t="s">
        <v>57</v>
      </c>
      <c r="E392" s="2" t="s">
        <v>14</v>
      </c>
      <c r="F392" s="2" t="s">
        <v>15</v>
      </c>
      <c r="G392" s="2" t="s">
        <v>1222</v>
      </c>
      <c r="H392" s="2" t="s">
        <v>74</v>
      </c>
      <c r="I392" s="2" t="str">
        <f>IFERROR(__xludf.DUMMYFUNCTION("GOOGLETRANSLATE(C392,""fr"",""en"")"),"It was perfect. Thank you
Very professional, top telephone
interesting price
I recommend
I hope in the event of a claim that it will be identical because it is at this time that we recognize good insurance")</f>
        <v>It was perfect. Thank you
Very professional, top telephone
interesting price
I recommend
I hope in the event of a claim that it will be identical because it is at this time that we recognize good insurance</v>
      </c>
    </row>
    <row r="393" ht="15.75" customHeight="1">
      <c r="A393" s="2">
        <v>5.0</v>
      </c>
      <c r="B393" s="2" t="s">
        <v>1223</v>
      </c>
      <c r="C393" s="2" t="s">
        <v>1224</v>
      </c>
      <c r="D393" s="2" t="s">
        <v>26</v>
      </c>
      <c r="E393" s="2" t="s">
        <v>14</v>
      </c>
      <c r="F393" s="2" t="s">
        <v>15</v>
      </c>
      <c r="G393" s="2" t="s">
        <v>871</v>
      </c>
      <c r="H393" s="2" t="s">
        <v>28</v>
      </c>
      <c r="I393" s="2" t="str">
        <f>IFERROR(__xludf.DUMMYFUNCTION("GOOGLETRANSLATE(C393,""fr"",""en"")"),"I have. Had an answer to my quote quickly! And I am satisfied with what offered me! I have. Or make a quick online quote without too much difficulty")</f>
        <v>I have. Had an answer to my quote quickly! And I am satisfied with what offered me! I have. Or make a quick online quote without too much difficulty</v>
      </c>
    </row>
    <row r="394" ht="15.75" customHeight="1">
      <c r="A394" s="2">
        <v>2.0</v>
      </c>
      <c r="B394" s="2" t="s">
        <v>1225</v>
      </c>
      <c r="C394" s="2" t="s">
        <v>1226</v>
      </c>
      <c r="D394" s="2" t="s">
        <v>26</v>
      </c>
      <c r="E394" s="2" t="s">
        <v>14</v>
      </c>
      <c r="F394" s="2" t="s">
        <v>15</v>
      </c>
      <c r="G394" s="2" t="s">
        <v>1227</v>
      </c>
      <c r="H394" s="2" t="s">
        <v>741</v>
      </c>
      <c r="I394" s="2" t="str">
        <f>IFERROR(__xludf.DUMMYFUNCTION("GOOGLETRANSLATE(C394,""fr"",""en"")"),"Important deviations between quotes and contract.")</f>
        <v>Important deviations between quotes and contract.</v>
      </c>
    </row>
    <row r="395" ht="15.75" customHeight="1">
      <c r="A395" s="2">
        <v>1.0</v>
      </c>
      <c r="B395" s="2" t="s">
        <v>1228</v>
      </c>
      <c r="C395" s="2" t="s">
        <v>1229</v>
      </c>
      <c r="D395" s="2" t="s">
        <v>57</v>
      </c>
      <c r="E395" s="2" t="s">
        <v>14</v>
      </c>
      <c r="F395" s="2" t="s">
        <v>15</v>
      </c>
      <c r="G395" s="2" t="s">
        <v>1230</v>
      </c>
      <c r="H395" s="2" t="s">
        <v>63</v>
      </c>
      <c r="I395" s="2" t="str">
        <f>IFERROR(__xludf.DUMMYFUNCTION("GOOGLETRANSLATE(C395,""fr"",""en"")"),"They bait you with an attractive price at the start, but the prices increase sharply each year, the deductibles are exorbitant and when I want to ensure another vehicle at home, the interlocutor is very unpleasant and refuses to validate me a negotiated p"&amp;"rice with a comparator . Worse, I can no longer have access to the -10% offered to the 2nd contract because I dared to make a quote with a comparator!
In short, that's too much, I'm leaving !!! To flee!!!")</f>
        <v>They bait you with an attractive price at the start, but the prices increase sharply each year, the deductibles are exorbitant and when I want to ensure another vehicle at home, the interlocutor is very unpleasant and refuses to validate me a negotiated price with a comparator . Worse, I can no longer have access to the -10% offered to the 2nd contract because I dared to make a quote with a comparator!
In short, that's too much, I'm leaving !!! To flee!!!</v>
      </c>
    </row>
    <row r="396" ht="15.75" customHeight="1">
      <c r="A396" s="2">
        <v>4.0</v>
      </c>
      <c r="B396" s="2" t="s">
        <v>1231</v>
      </c>
      <c r="C396" s="2" t="s">
        <v>1232</v>
      </c>
      <c r="D396" s="2" t="s">
        <v>26</v>
      </c>
      <c r="E396" s="2" t="s">
        <v>14</v>
      </c>
      <c r="F396" s="2" t="s">
        <v>15</v>
      </c>
      <c r="G396" s="2" t="s">
        <v>1233</v>
      </c>
      <c r="H396" s="2" t="s">
        <v>34</v>
      </c>
      <c r="I396" s="2" t="str">
        <f>IFERROR(__xludf.DUMMYFUNCTION("GOOGLETRANSLATE(C396,""fr"",""en"")"),"Excellent, for the moment I have nothing to say. It is a very serious business, the service works very well. My congratulations.
I do not regret having taken out a risk insurance")</f>
        <v>Excellent, for the moment I have nothing to say. It is a very serious business, the service works very well. My congratulations.
I do not regret having taken out a risk insurance</v>
      </c>
    </row>
    <row r="397" ht="15.75" customHeight="1">
      <c r="A397" s="2">
        <v>5.0</v>
      </c>
      <c r="B397" s="2" t="s">
        <v>1234</v>
      </c>
      <c r="C397" s="2" t="s">
        <v>1235</v>
      </c>
      <c r="D397" s="2" t="s">
        <v>26</v>
      </c>
      <c r="E397" s="2" t="s">
        <v>14</v>
      </c>
      <c r="F397" s="2" t="s">
        <v>15</v>
      </c>
      <c r="G397" s="2" t="s">
        <v>1222</v>
      </c>
      <c r="H397" s="2" t="s">
        <v>74</v>
      </c>
      <c r="I397" s="2" t="str">
        <f>IFERROR(__xludf.DUMMYFUNCTION("GOOGLETRANSLATE(C397,""fr"",""en"")"),"Satisfied with the service rendered, the price suits me and very practical and simple in the practical methods of using the customer area. Overall, this suits me and my whole family")</f>
        <v>Satisfied with the service rendered, the price suits me and very practical and simple in the practical methods of using the customer area. Overall, this suits me and my whole family</v>
      </c>
    </row>
    <row r="398" ht="15.75" customHeight="1">
      <c r="A398" s="2">
        <v>1.0</v>
      </c>
      <c r="B398" s="2" t="s">
        <v>1236</v>
      </c>
      <c r="C398" s="2" t="s">
        <v>1237</v>
      </c>
      <c r="D398" s="2" t="s">
        <v>42</v>
      </c>
      <c r="E398" s="2" t="s">
        <v>109</v>
      </c>
      <c r="F398" s="2" t="s">
        <v>15</v>
      </c>
      <c r="G398" s="2" t="s">
        <v>1238</v>
      </c>
      <c r="H398" s="2" t="s">
        <v>818</v>
      </c>
      <c r="I398" s="2" t="str">
        <f>IFERROR(__xludf.DUMMYFUNCTION("GOOGLETRANSLATE(C398,""fr"",""en"")"),"Hello, it's been a year now that I send letters, emails and telephone calls without ever having an answer from them, or we will remind you this afternoon or tomorrow, we can say that at the telephone reception they are nice And they are the first to take "&amp;"the wrath, on the other hand those who are above them never reminds you. I live with less than 400 euros per month, or rather survival, all because of a so -called too perceived of my disability pension, with incomprehensible accounts (we manage to divide"&amp;" a monthly annuity, what serious), I am outraged and really disappointed with this insurance which was taken by my former employer. Since November my income we have changed but no we do not recalculate my disability rent, I am not taken on the phone, I am"&amp;" not answered to my recommended emails or letters. But survive when we are disabled and a obstacle course and they don't care")</f>
        <v>Hello, it's been a year now that I send letters, emails and telephone calls without ever having an answer from them, or we will remind you this afternoon or tomorrow, we can say that at the telephone reception they are nice And they are the first to take the wrath, on the other hand those who are above them never reminds you. I live with less than 400 euros per month, or rather survival, all because of a so -called too perceived of my disability pension, with incomprehensible accounts (we manage to divide a monthly annuity, what serious), I am outraged and really disappointed with this insurance which was taken by my former employer. Since November my income we have changed but no we do not recalculate my disability rent, I am not taken on the phone, I am not answered to my recommended emails or letters. But survive when we are disabled and a obstacle course and they don't care</v>
      </c>
    </row>
    <row r="399" ht="15.75" customHeight="1">
      <c r="A399" s="2">
        <v>1.0</v>
      </c>
      <c r="B399" s="2" t="s">
        <v>1239</v>
      </c>
      <c r="C399" s="2" t="s">
        <v>1240</v>
      </c>
      <c r="D399" s="2" t="s">
        <v>103</v>
      </c>
      <c r="E399" s="2" t="s">
        <v>14</v>
      </c>
      <c r="F399" s="2" t="s">
        <v>15</v>
      </c>
      <c r="G399" s="2" t="s">
        <v>1150</v>
      </c>
      <c r="H399" s="2" t="s">
        <v>74</v>
      </c>
      <c r="I399" s="2" t="str">
        <f>IFERROR(__xludf.DUMMYFUNCTION("GOOGLETRANSLATE(C399,""fr"",""en"")"),"At the Macif.
 Everything is fine if you have a pavilion, if you are hosted like me free of charge and that you are lucky to be able to buy a heavyweight motorhome and well the macif makes you mirrors that he can assure you is the day From the perception"&amp;" of the motorhome they take the pretext of saying that I live in the motorhome that is not true and suddenly they did not want to make sure imagine that I was in disarray with a campsite -Car on the arms that I could not get out of the concession because "&amp;"he was not insured in addition he allows himself to meddle in the private life of people until they give them orders on the way of living people.
frankly I do not recommend at all it is insurance")</f>
        <v>At the Macif.
 Everything is fine if you have a pavilion, if you are hosted like me free of charge and that you are lucky to be able to buy a heavyweight motorhome and well the macif makes you mirrors that he can assure you is the day From the perception of the motorhome they take the pretext of saying that I live in the motorhome that is not true and suddenly they did not want to make sure imagine that I was in disarray with a campsite -Car on the arms that I could not get out of the concession because he was not insured in addition he allows himself to meddle in the private life of people until they give them orders on the way of living people.
frankly I do not recommend at all it is insurance</v>
      </c>
    </row>
    <row r="400" ht="15.75" customHeight="1">
      <c r="A400" s="2">
        <v>5.0</v>
      </c>
      <c r="B400" s="2" t="s">
        <v>1241</v>
      </c>
      <c r="C400" s="2" t="s">
        <v>1242</v>
      </c>
      <c r="D400" s="2" t="s">
        <v>152</v>
      </c>
      <c r="E400" s="2" t="s">
        <v>21</v>
      </c>
      <c r="F400" s="2" t="s">
        <v>15</v>
      </c>
      <c r="G400" s="2" t="s">
        <v>1233</v>
      </c>
      <c r="H400" s="2" t="s">
        <v>34</v>
      </c>
      <c r="I400" s="2" t="str">
        <f>IFERROR(__xludf.DUMMYFUNCTION("GOOGLETRANSLATE(C400,""fr"",""en"")"),"Gentlemen
We are unfortunately from time to time hospitalized at the Bégin de Stmandé hospital I found that you have not followed the increase
Single rooms from the latter which is currently 45 euros ¸ unless I am mistaken for a difference of 3 euros pe"&amp;"r day. Please confirm to me if this is normal?
Thanking you for your answer, please accept the expression of my best feelings?
Gesnel Arlette and Gérard
17rue Guichard
94230 Cachan
Such; 0623824905
E.mail: gerard.gesnel@sfr.fr
")</f>
        <v>Gentlemen
We are unfortunately from time to time hospitalized at the Bégin de Stmandé hospital I found that you have not followed the increase
Single rooms from the latter which is currently 45 euros ¸ unless I am mistaken for a difference of 3 euros per day. Please confirm to me if this is normal?
Thanking you for your answer, please accept the expression of my best feelings?
Gesnel Arlette and Gérard
17rue Guichard
94230 Cachan
Such; 0623824905
E.mail: gerard.gesnel@sfr.fr
</v>
      </c>
    </row>
    <row r="401" ht="15.75" customHeight="1">
      <c r="A401" s="2">
        <v>5.0</v>
      </c>
      <c r="B401" s="2" t="s">
        <v>1243</v>
      </c>
      <c r="C401" s="2" t="s">
        <v>1244</v>
      </c>
      <c r="D401" s="2" t="s">
        <v>410</v>
      </c>
      <c r="E401" s="2" t="s">
        <v>104</v>
      </c>
      <c r="F401" s="2" t="s">
        <v>15</v>
      </c>
      <c r="G401" s="2" t="s">
        <v>1245</v>
      </c>
      <c r="H401" s="2" t="s">
        <v>1172</v>
      </c>
      <c r="I401" s="2" t="str">
        <f>IFERROR(__xludf.DUMMYFUNCTION("GOOGLETRANSLATE(C401,""fr"",""en"")"),"Best guaranteed / price ratio. Possibility to go to an agency.")</f>
        <v>Best guaranteed / price ratio. Possibility to go to an agency.</v>
      </c>
    </row>
    <row r="402" ht="15.75" customHeight="1">
      <c r="A402" s="2">
        <v>4.0</v>
      </c>
      <c r="B402" s="2" t="s">
        <v>1246</v>
      </c>
      <c r="C402" s="2" t="s">
        <v>1247</v>
      </c>
      <c r="D402" s="2" t="s">
        <v>57</v>
      </c>
      <c r="E402" s="2" t="s">
        <v>14</v>
      </c>
      <c r="F402" s="2" t="s">
        <v>15</v>
      </c>
      <c r="G402" s="2" t="s">
        <v>1248</v>
      </c>
      <c r="H402" s="2" t="s">
        <v>593</v>
      </c>
      <c r="I402" s="2" t="str">
        <f>IFERROR(__xludf.DUMMYFUNCTION("GOOGLETRANSLATE(C402,""fr"",""en"")"),"Very good contact for taking information
Simple and efficient speech. Speed ​​of decision -making. Good price and guarantees")</f>
        <v>Very good contact for taking information
Simple and efficient speech. Speed ​​of decision -making. Good price and guarantees</v>
      </c>
    </row>
    <row r="403" ht="15.75" customHeight="1">
      <c r="A403" s="2">
        <v>4.0</v>
      </c>
      <c r="B403" s="2" t="s">
        <v>1249</v>
      </c>
      <c r="C403" s="2" t="s">
        <v>1250</v>
      </c>
      <c r="D403" s="2" t="s">
        <v>26</v>
      </c>
      <c r="E403" s="2" t="s">
        <v>14</v>
      </c>
      <c r="F403" s="2" t="s">
        <v>15</v>
      </c>
      <c r="G403" s="2" t="s">
        <v>1251</v>
      </c>
      <c r="H403" s="2" t="s">
        <v>28</v>
      </c>
      <c r="I403" s="2" t="str">
        <f>IFERROR(__xludf.DUMMYFUNCTION("GOOGLETRANSLATE(C403,""fr"",""en"")"),"I am satisfied with the service. It’s not too fast and efficient easy to make a quote and very fast. I recommend direct insurance to everyone")</f>
        <v>I am satisfied with the service. It’s not too fast and efficient easy to make a quote and very fast. I recommend direct insurance to everyone</v>
      </c>
    </row>
    <row r="404" ht="15.75" customHeight="1">
      <c r="A404" s="2">
        <v>3.0</v>
      </c>
      <c r="B404" s="2" t="s">
        <v>1252</v>
      </c>
      <c r="C404" s="2" t="s">
        <v>1253</v>
      </c>
      <c r="D404" s="2" t="s">
        <v>53</v>
      </c>
      <c r="E404" s="2" t="s">
        <v>14</v>
      </c>
      <c r="F404" s="2" t="s">
        <v>15</v>
      </c>
      <c r="G404" s="2" t="s">
        <v>1254</v>
      </c>
      <c r="H404" s="2" t="s">
        <v>1255</v>
      </c>
      <c r="I404" s="2" t="str">
        <f>IFERROR(__xludf.DUMMYFUNCTION("GOOGLETRANSLATE(C404,""fr"",""en"")"),"Good report during an easily reachable accident
Very clear in the explanations
Rapiditis of effective intervention good relation to the advisor RDV fast and made available to our documents on the very simple net")</f>
        <v>Good report during an easily reachable accident
Very clear in the explanations
Rapiditis of effective intervention good relation to the advisor RDV fast and made available to our documents on the very simple net</v>
      </c>
    </row>
    <row r="405" ht="15.75" customHeight="1">
      <c r="A405" s="2">
        <v>5.0</v>
      </c>
      <c r="B405" s="2" t="s">
        <v>1256</v>
      </c>
      <c r="C405" s="2" t="s">
        <v>1257</v>
      </c>
      <c r="D405" s="2" t="s">
        <v>26</v>
      </c>
      <c r="E405" s="2" t="s">
        <v>14</v>
      </c>
      <c r="F405" s="2" t="s">
        <v>15</v>
      </c>
      <c r="G405" s="2" t="s">
        <v>976</v>
      </c>
      <c r="H405" s="2" t="s">
        <v>185</v>
      </c>
      <c r="I405" s="2" t="str">
        <f>IFERROR(__xludf.DUMMYFUNCTION("GOOGLETRANSLATE(C405,""fr"",""en"")"),"Very patient online advisor
Listening which does not precipitate the sale of the contract one note on 10/10.
Satisfied quality service and speed of contract management")</f>
        <v>Very patient online advisor
Listening which does not precipitate the sale of the contract one note on 10/10.
Satisfied quality service and speed of contract management</v>
      </c>
    </row>
    <row r="406" ht="15.75" customHeight="1">
      <c r="A406" s="2">
        <v>1.0</v>
      </c>
      <c r="B406" s="2" t="s">
        <v>1258</v>
      </c>
      <c r="C406" s="2" t="s">
        <v>1259</v>
      </c>
      <c r="D406" s="2" t="s">
        <v>48</v>
      </c>
      <c r="E406" s="2" t="s">
        <v>21</v>
      </c>
      <c r="F406" s="2" t="s">
        <v>15</v>
      </c>
      <c r="G406" s="2" t="s">
        <v>673</v>
      </c>
      <c r="H406" s="2" t="s">
        <v>201</v>
      </c>
      <c r="I406" s="2" t="str">
        <f>IFERROR(__xludf.DUMMYFUNCTION("GOOGLETRANSLATE(C406,""fr"",""en"")"),"I had Neoline who had been advised to me
So I take it I will see a specialist doctor the SS reimburses me this mutual 1st I do it by the advisor who falls from the nudes in short
Since June 2019 I have been asking for the reimbursement of my contributio"&amp;"ns with the help of my charming advisor
She has sends recorde since June they walk us
So normally I must be compensated
There is a site called ACPR
Now I'm waiting
Otherwise procedure because it goes very far")</f>
        <v>I had Neoline who had been advised to me
So I take it I will see a specialist doctor the SS reimburses me this mutual 1st I do it by the advisor who falls from the nudes in short
Since June 2019 I have been asking for the reimbursement of my contributions with the help of my charming advisor
She has sends recorde since June they walk us
So normally I must be compensated
There is a site called ACPR
Now I'm waiting
Otherwise procedure because it goes very far</v>
      </c>
    </row>
    <row r="407" ht="15.75" customHeight="1">
      <c r="A407" s="2">
        <v>2.0</v>
      </c>
      <c r="B407" s="2" t="s">
        <v>1260</v>
      </c>
      <c r="C407" s="2" t="s">
        <v>1261</v>
      </c>
      <c r="D407" s="2" t="s">
        <v>315</v>
      </c>
      <c r="E407" s="2" t="s">
        <v>14</v>
      </c>
      <c r="F407" s="2" t="s">
        <v>15</v>
      </c>
      <c r="G407" s="2" t="s">
        <v>1262</v>
      </c>
      <c r="H407" s="2" t="s">
        <v>201</v>
      </c>
      <c r="I407" s="2" t="str">
        <f>IFERROR(__xludf.DUMMYFUNCTION("GOOGLETRANSLATE(C407,""fr"",""en"")"),"I am currently insured at Eurofil and their price are competitive but the customer report is disastrous very unpleasant does not mean this concern in any case of these customers.")</f>
        <v>I am currently insured at Eurofil and their price are competitive but the customer report is disastrous very unpleasant does not mean this concern in any case of these customers.</v>
      </c>
    </row>
    <row r="408" ht="15.75" customHeight="1">
      <c r="A408" s="2">
        <v>4.0</v>
      </c>
      <c r="B408" s="2" t="s">
        <v>1263</v>
      </c>
      <c r="C408" s="2" t="s">
        <v>1264</v>
      </c>
      <c r="D408" s="2" t="s">
        <v>188</v>
      </c>
      <c r="E408" s="2" t="s">
        <v>14</v>
      </c>
      <c r="F408" s="2" t="s">
        <v>15</v>
      </c>
      <c r="G408" s="2" t="s">
        <v>414</v>
      </c>
      <c r="H408" s="2" t="s">
        <v>28</v>
      </c>
      <c r="I408" s="2" t="str">
        <f>IFERROR(__xludf.DUMMYFUNCTION("GOOGLETRANSLATE(C408,""fr"",""en"")"),"Very happy with my GMF insurance I have been insured for over 40 years and I recommend this insurance to everyone
When I have broken down on the road a little stroke of Tel, and presto coated immediately, it's great !!")</f>
        <v>Very happy with my GMF insurance I have been insured for over 40 years and I recommend this insurance to everyone
When I have broken down on the road a little stroke of Tel, and presto coated immediately, it's great !!</v>
      </c>
    </row>
    <row r="409" ht="15.75" customHeight="1">
      <c r="A409" s="2">
        <v>3.0</v>
      </c>
      <c r="B409" s="2" t="s">
        <v>1265</v>
      </c>
      <c r="C409" s="2" t="s">
        <v>1266</v>
      </c>
      <c r="D409" s="2" t="s">
        <v>26</v>
      </c>
      <c r="E409" s="2" t="s">
        <v>14</v>
      </c>
      <c r="F409" s="2" t="s">
        <v>15</v>
      </c>
      <c r="G409" s="2" t="s">
        <v>370</v>
      </c>
      <c r="H409" s="2" t="s">
        <v>185</v>
      </c>
      <c r="I409" s="2" t="str">
        <f>IFERROR(__xludf.DUMMYFUNCTION("GOOGLETRANSLATE(C409,""fr"",""en"")"),"Prices suit me even if it is not always easy to reach you and above all you are even more painful than conventional administrations in papers.")</f>
        <v>Prices suit me even if it is not always easy to reach you and above all you are even more painful than conventional administrations in papers.</v>
      </c>
    </row>
    <row r="410" ht="15.75" customHeight="1">
      <c r="A410" s="2">
        <v>1.0</v>
      </c>
      <c r="B410" s="2" t="s">
        <v>1267</v>
      </c>
      <c r="C410" s="2" t="s">
        <v>1268</v>
      </c>
      <c r="D410" s="2" t="s">
        <v>356</v>
      </c>
      <c r="E410" s="2" t="s">
        <v>21</v>
      </c>
      <c r="F410" s="2" t="s">
        <v>15</v>
      </c>
      <c r="G410" s="2" t="s">
        <v>1269</v>
      </c>
      <c r="H410" s="2" t="s">
        <v>54</v>
      </c>
      <c r="I410" s="2" t="str">
        <f>IFERROR(__xludf.DUMMYFUNCTION("GOOGLETRANSLATE(C410,""fr"",""en"")"),"Not human
Does not adapt to the emergency situation linked to the COVVI
Do not take into account the state of health of his members
My dad who has just left us and who had the covid, my fragile 80 -year -old mother, my unbearable neuropathic pain, the "&amp;"holidays of a treating doctor and the urgency of the situation (my mother needs me, she has just lost her husband, my dad)
A brief invoice certainly but for the covid-19 frankly ... what did it want more ??? She could at least have asked herself if she w"&amp;"anted clarifications ... In short ... Total lack of empathy and adaptability ... I do not recommend, I am too disappointed
Disappointed")</f>
        <v>Not human
Does not adapt to the emergency situation linked to the COVVI
Do not take into account the state of health of his members
My dad who has just left us and who had the covid, my fragile 80 -year -old mother, my unbearable neuropathic pain, the holidays of a treating doctor and the urgency of the situation (my mother needs me, she has just lost her husband, my dad)
A brief invoice certainly but for the covid-19 frankly ... what did it want more ??? She could at least have asked herself if she wanted clarifications ... In short ... Total lack of empathy and adaptability ... I do not recommend, I am too disappointed
Disappointed</v>
      </c>
    </row>
    <row r="411" ht="15.75" customHeight="1">
      <c r="A411" s="2">
        <v>2.0</v>
      </c>
      <c r="B411" s="2" t="s">
        <v>1270</v>
      </c>
      <c r="C411" s="2" t="s">
        <v>1271</v>
      </c>
      <c r="D411" s="2" t="s">
        <v>26</v>
      </c>
      <c r="E411" s="2" t="s">
        <v>14</v>
      </c>
      <c r="F411" s="2" t="s">
        <v>15</v>
      </c>
      <c r="G411" s="2" t="s">
        <v>148</v>
      </c>
      <c r="H411" s="2" t="s">
        <v>149</v>
      </c>
      <c r="I411" s="2" t="str">
        <f>IFERROR(__xludf.DUMMYFUNCTION("GOOGLETRANSLATE(C411,""fr"",""en"")"),"Never take a direct insurance. I am currently a customer and I assure you that it sucks. I have been accidentally accidentally have 0 % of wrongs but for almost 1 month, still no loan vehicle still no news about my car ... and moreover you never have the "&amp;"same person on the phone. To flee absolutely! Really zero!")</f>
        <v>Never take a direct insurance. I am currently a customer and I assure you that it sucks. I have been accidentally accidentally have 0 % of wrongs but for almost 1 month, still no loan vehicle still no news about my car ... and moreover you never have the same person on the phone. To flee absolutely! Really zero!</v>
      </c>
    </row>
    <row r="412" ht="15.75" customHeight="1">
      <c r="A412" s="2">
        <v>3.0</v>
      </c>
      <c r="B412" s="2" t="s">
        <v>1272</v>
      </c>
      <c r="C412" s="2" t="s">
        <v>1273</v>
      </c>
      <c r="D412" s="2" t="s">
        <v>188</v>
      </c>
      <c r="E412" s="2" t="s">
        <v>14</v>
      </c>
      <c r="F412" s="2" t="s">
        <v>15</v>
      </c>
      <c r="G412" s="2" t="s">
        <v>1274</v>
      </c>
      <c r="H412" s="2" t="s">
        <v>713</v>
      </c>
      <c r="I412" s="2" t="str">
        <f>IFERROR(__xludf.DUMMYFUNCTION("GOOGLETRANSLATE(C412,""fr"",""en"")"),"And well after troubleshooting! I had to leave an opinion on the GMF! I have a vintage car! And breaks down with just when I arrived at my vacation location in Euronat! I call my GMF assistance ...... Naomi replies instantly and very kindly! I explain to "&amp;"him that the car is old is that you need an experienced mechanic! Naomi puts himself in four to find me a convenience store! Result return to trucks with a real pro 350 kms ..... 900 euros supported by the GMF. Thank you bcp naomi for your professionalism"&amp;"! Olivier")</f>
        <v>And well after troubleshooting! I had to leave an opinion on the GMF! I have a vintage car! And breaks down with just when I arrived at my vacation location in Euronat! I call my GMF assistance ...... Naomi replies instantly and very kindly! I explain to him that the car is old is that you need an experienced mechanic! Naomi puts himself in four to find me a convenience store! Result return to trucks with a real pro 350 kms ..... 900 euros supported by the GMF. Thank you bcp naomi for your professionalism! Olivier</v>
      </c>
    </row>
    <row r="413" ht="15.75" customHeight="1">
      <c r="A413" s="2">
        <v>3.0</v>
      </c>
      <c r="B413" s="2" t="s">
        <v>1275</v>
      </c>
      <c r="C413" s="2" t="s">
        <v>1276</v>
      </c>
      <c r="D413" s="2" t="s">
        <v>48</v>
      </c>
      <c r="E413" s="2" t="s">
        <v>21</v>
      </c>
      <c r="F413" s="2" t="s">
        <v>15</v>
      </c>
      <c r="G413" s="2" t="s">
        <v>1277</v>
      </c>
      <c r="H413" s="2" t="s">
        <v>691</v>
      </c>
      <c r="I413" s="2" t="str">
        <f>IFERROR(__xludf.DUMMYFUNCTION("GOOGLETRANSLATE(C413,""fr"",""en"")"),"I have been at Neoliane for 4 years nothing to say, I am very satisfied, in longer benefits from a carte white service I do not pay my optician which is a very postal point")</f>
        <v>I have been at Neoliane for 4 years nothing to say, I am very satisfied, in longer benefits from a carte white service I do not pay my optician which is a very postal point</v>
      </c>
    </row>
    <row r="414" ht="15.75" customHeight="1">
      <c r="A414" s="2">
        <v>5.0</v>
      </c>
      <c r="B414" s="2" t="s">
        <v>1278</v>
      </c>
      <c r="C414" s="2" t="s">
        <v>1279</v>
      </c>
      <c r="D414" s="2" t="s">
        <v>305</v>
      </c>
      <c r="E414" s="2" t="s">
        <v>38</v>
      </c>
      <c r="F414" s="2" t="s">
        <v>15</v>
      </c>
      <c r="G414" s="2" t="s">
        <v>90</v>
      </c>
      <c r="H414" s="2" t="s">
        <v>90</v>
      </c>
      <c r="I414" s="2" t="str">
        <f>IFERROR(__xludf.DUMMYFUNCTION("GOOGLETRANSLATE(C414,""fr"",""en"")"),"Satisfied with the interface and the price, now you have to see how the insurance will react if something happens to me :)
Let's say it starts well")</f>
        <v>Satisfied with the interface and the price, now you have to see how the insurance will react if something happens to me :)
Let's say it starts well</v>
      </c>
    </row>
    <row r="415" ht="15.75" customHeight="1">
      <c r="A415" s="2">
        <v>5.0</v>
      </c>
      <c r="B415" s="2" t="s">
        <v>1280</v>
      </c>
      <c r="C415" s="2" t="s">
        <v>1281</v>
      </c>
      <c r="D415" s="2" t="s">
        <v>48</v>
      </c>
      <c r="E415" s="2" t="s">
        <v>21</v>
      </c>
      <c r="F415" s="2" t="s">
        <v>15</v>
      </c>
      <c r="G415" s="2" t="s">
        <v>1282</v>
      </c>
      <c r="H415" s="2" t="s">
        <v>94</v>
      </c>
      <c r="I415" s="2" t="str">
        <f>IFERROR(__xludf.DUMMYFUNCTION("GOOGLETRANSLATE(C415,""fr"",""en"")"),"Explanation of very clear guarantees
competitive formula
more interesting guaranteed report formula
No waiting times or deficiency
Very fast management
clear explanation
Explanation of very clear guarantees
competitive formula
more interesting gua"&amp;"ranteed report formula
No waiting times or deficiency
Very fast management
clear explanation
Explanation of very clear guarantees
competitive formula
more interesting guaranteed report formula
No waiting times or deficiency
Very fast management
c"&amp;"lear explanation
Explanation of very clear guarantees
competitive formula
more interesting guaranteed report formula
No waiting times or deficiency
Very fast management
clear explanation")</f>
        <v>Explanation of very clear guarantees
competitive formula
more interesting guaranteed report formula
No waiting times or deficiency
Very fast management
clear explanation
Explanation of very clear guarantees
competitive formula
more interesting guaranteed report formula
No waiting times or deficiency
Very fast management
clear explanation
Explanation of very clear guarantees
competitive formula
more interesting guaranteed report formula
No waiting times or deficiency
Very fast management
clear explanation
Explanation of very clear guarantees
competitive formula
more interesting guaranteed report formula
No waiting times or deficiency
Very fast management
clear explanation</v>
      </c>
    </row>
    <row r="416" ht="15.75" customHeight="1">
      <c r="A416" s="2">
        <v>2.0</v>
      </c>
      <c r="B416" s="2" t="s">
        <v>1283</v>
      </c>
      <c r="C416" s="2" t="s">
        <v>1284</v>
      </c>
      <c r="D416" s="2" t="s">
        <v>26</v>
      </c>
      <c r="E416" s="2" t="s">
        <v>14</v>
      </c>
      <c r="F416" s="2" t="s">
        <v>15</v>
      </c>
      <c r="G416" s="2" t="s">
        <v>1285</v>
      </c>
      <c r="H416" s="2" t="s">
        <v>185</v>
      </c>
      <c r="I416" s="2" t="str">
        <f>IFERROR(__xludf.DUMMYFUNCTION("GOOGLETRANSLATE(C416,""fr"",""en"")"),"I have just been hung on the nose by one of your advisers who does not take into account my remarks. My three insurance contracts will go to another competitor!")</f>
        <v>I have just been hung on the nose by one of your advisers who does not take into account my remarks. My three insurance contracts will go to another competitor!</v>
      </c>
    </row>
    <row r="417" ht="15.75" customHeight="1">
      <c r="A417" s="2">
        <v>5.0</v>
      </c>
      <c r="B417" s="2" t="s">
        <v>1286</v>
      </c>
      <c r="C417" s="2" t="s">
        <v>1287</v>
      </c>
      <c r="D417" s="2" t="s">
        <v>69</v>
      </c>
      <c r="E417" s="2" t="s">
        <v>21</v>
      </c>
      <c r="F417" s="2" t="s">
        <v>15</v>
      </c>
      <c r="G417" s="2" t="s">
        <v>1288</v>
      </c>
      <c r="H417" s="2" t="s">
        <v>741</v>
      </c>
      <c r="I417" s="2" t="str">
        <f>IFERROR(__xludf.DUMMYFUNCTION("GOOGLETRANSLATE(C417,""fr"",""en"")"),"The Caroline advisor was very kind and effective compared to my quote problem.
Very compsetant, pleasant and responsive, I am very happy with my exchange with her and she is very smiling on the phone :)")</f>
        <v>The Caroline advisor was very kind and effective compared to my quote problem.
Very compsetant, pleasant and responsive, I am very happy with my exchange with her and she is very smiling on the phone :)</v>
      </c>
    </row>
    <row r="418" ht="15.75" customHeight="1">
      <c r="A418" s="2">
        <v>4.0</v>
      </c>
      <c r="B418" s="2" t="s">
        <v>1289</v>
      </c>
      <c r="C418" s="2" t="s">
        <v>1290</v>
      </c>
      <c r="D418" s="2" t="s">
        <v>26</v>
      </c>
      <c r="E418" s="2" t="s">
        <v>14</v>
      </c>
      <c r="F418" s="2" t="s">
        <v>15</v>
      </c>
      <c r="G418" s="2" t="s">
        <v>58</v>
      </c>
      <c r="H418" s="2" t="s">
        <v>34</v>
      </c>
      <c r="I418" s="2" t="str">
        <f>IFERROR(__xludf.DUMMYFUNCTION("GOOGLETRANSLATE(C418,""fr"",""en"")"),"Satisfied with customer relations and the processing time of my file. The prices are attractive in my opinion. The dedicated application is also practical")</f>
        <v>Satisfied with customer relations and the processing time of my file. The prices are attractive in my opinion. The dedicated application is also practical</v>
      </c>
    </row>
    <row r="419" ht="15.75" customHeight="1">
      <c r="A419" s="2">
        <v>5.0</v>
      </c>
      <c r="B419" s="2" t="s">
        <v>1291</v>
      </c>
      <c r="C419" s="2" t="s">
        <v>1292</v>
      </c>
      <c r="D419" s="2" t="s">
        <v>305</v>
      </c>
      <c r="E419" s="2" t="s">
        <v>38</v>
      </c>
      <c r="F419" s="2" t="s">
        <v>15</v>
      </c>
      <c r="G419" s="2" t="s">
        <v>1293</v>
      </c>
      <c r="H419" s="2" t="s">
        <v>81</v>
      </c>
      <c r="I419" s="2" t="str">
        <f>IFERROR(__xludf.DUMMYFUNCTION("GOOGLETRANSLATE(C419,""fr"",""en"")"),"The prices are great, the internet reviews are good. So I try this insurance. I hope to be delighted in time. They are very responsive. Barely made the quote and passage to the payment than an advisor calls you.")</f>
        <v>The prices are great, the internet reviews are good. So I try this insurance. I hope to be delighted in time. They are very responsive. Barely made the quote and passage to the payment than an advisor calls you.</v>
      </c>
    </row>
    <row r="420" ht="15.75" customHeight="1">
      <c r="A420" s="2">
        <v>3.0</v>
      </c>
      <c r="B420" s="2" t="s">
        <v>1294</v>
      </c>
      <c r="C420" s="2" t="s">
        <v>1295</v>
      </c>
      <c r="D420" s="2" t="s">
        <v>188</v>
      </c>
      <c r="E420" s="2" t="s">
        <v>14</v>
      </c>
      <c r="F420" s="2" t="s">
        <v>15</v>
      </c>
      <c r="G420" s="2" t="s">
        <v>655</v>
      </c>
      <c r="H420" s="2" t="s">
        <v>185</v>
      </c>
      <c r="I420" s="2" t="str">
        <f>IFERROR(__xludf.DUMMYFUNCTION("GOOGLETRANSLATE(C420,""fr"",""en"")"),"Increasingly expensive, loyalty (30 years) is not rewarded, the grouping of all contracts is not either, no more reasons to stay ...")</f>
        <v>Increasingly expensive, loyalty (30 years) is not rewarded, the grouping of all contracts is not either, no more reasons to stay ...</v>
      </c>
    </row>
    <row r="421" ht="15.75" customHeight="1">
      <c r="A421" s="2">
        <v>1.0</v>
      </c>
      <c r="B421" s="2" t="s">
        <v>1296</v>
      </c>
      <c r="C421" s="2" t="s">
        <v>1297</v>
      </c>
      <c r="D421" s="2" t="s">
        <v>42</v>
      </c>
      <c r="E421" s="2" t="s">
        <v>109</v>
      </c>
      <c r="F421" s="2" t="s">
        <v>15</v>
      </c>
      <c r="G421" s="2" t="s">
        <v>1298</v>
      </c>
      <c r="H421" s="2" t="s">
        <v>390</v>
      </c>
      <c r="I421" s="2" t="str">
        <f>IFERROR(__xludf.DUMMYFUNCTION("GOOGLETRANSLATE(C421,""fr"",""en"")"),"TNS, liberal profession, on sick leave (COVID Contact subject) on March 13 (14 -day judgment), I have still not been compensated. However, according to my agency which I regularly relaunch, everything is in order. If not resolved at the end of confinement"&amp;", I will address the competent jurisdiction.")</f>
        <v>TNS, liberal profession, on sick leave (COVID Contact subject) on March 13 (14 -day judgment), I have still not been compensated. However, according to my agency which I regularly relaunch, everything is in order. If not resolved at the end of confinement, I will address the competent jurisdiction.</v>
      </c>
    </row>
    <row r="422" ht="15.75" customHeight="1">
      <c r="A422" s="2">
        <v>3.0</v>
      </c>
      <c r="B422" s="2" t="s">
        <v>1299</v>
      </c>
      <c r="C422" s="2" t="s">
        <v>1300</v>
      </c>
      <c r="D422" s="2" t="s">
        <v>188</v>
      </c>
      <c r="E422" s="2" t="s">
        <v>14</v>
      </c>
      <c r="F422" s="2" t="s">
        <v>15</v>
      </c>
      <c r="G422" s="2" t="s">
        <v>1301</v>
      </c>
      <c r="H422" s="2" t="s">
        <v>74</v>
      </c>
      <c r="I422" s="2" t="str">
        <f>IFERROR(__xludf.DUMMYFUNCTION("GOOGLETRANSLATE(C422,""fr"",""en"")"),"Satisfied with the service for my vehicle, for the price hoping not too much increase for the future, I am retired and rides much less")</f>
        <v>Satisfied with the service for my vehicle, for the price hoping not too much increase for the future, I am retired and rides much less</v>
      </c>
    </row>
    <row r="423" ht="15.75" customHeight="1">
      <c r="A423" s="2">
        <v>1.0</v>
      </c>
      <c r="B423" s="2" t="s">
        <v>1302</v>
      </c>
      <c r="C423" s="2" t="s">
        <v>1303</v>
      </c>
      <c r="D423" s="2" t="s">
        <v>103</v>
      </c>
      <c r="E423" s="2" t="s">
        <v>104</v>
      </c>
      <c r="F423" s="2" t="s">
        <v>15</v>
      </c>
      <c r="G423" s="2" t="s">
        <v>1304</v>
      </c>
      <c r="H423" s="2" t="s">
        <v>583</v>
      </c>
      <c r="I423" s="2" t="str">
        <f>IFERROR(__xludf.DUMMYFUNCTION("GOOGLETRANSLATE(C423,""fr"",""en"")"),"Cambarolet a month ago is half and always no padding as well as my door to still do not replace innadmicable the sowing, however, continuously withdraw my home and cars contracts well and cars")</f>
        <v>Cambarolet a month ago is half and always no padding as well as my door to still do not replace innadmicable the sowing, however, continuously withdraw my home and cars contracts well and cars</v>
      </c>
    </row>
    <row r="424" ht="15.75" customHeight="1">
      <c r="A424" s="2">
        <v>1.0</v>
      </c>
      <c r="B424" s="2" t="s">
        <v>1305</v>
      </c>
      <c r="C424" s="2" t="s">
        <v>1306</v>
      </c>
      <c r="D424" s="2" t="s">
        <v>188</v>
      </c>
      <c r="E424" s="2" t="s">
        <v>14</v>
      </c>
      <c r="F424" s="2" t="s">
        <v>15</v>
      </c>
      <c r="G424" s="2" t="s">
        <v>1201</v>
      </c>
      <c r="H424" s="2" t="s">
        <v>122</v>
      </c>
      <c r="I424" s="2" t="str">
        <f>IFERROR(__xludf.DUMMYFUNCTION("GOOGLETRANSLATE(C424,""fr"",""en"")"),"Hello,
I want to have a school and extra school insurance certificate for the 2021/2022 school year (and not the year 2020/2021).
Can you send it to me ?
Cordially")</f>
        <v>Hello,
I want to have a school and extra school insurance certificate for the 2021/2022 school year (and not the year 2020/2021).
Can you send it to me ?
Cordially</v>
      </c>
    </row>
    <row r="425" ht="15.75" customHeight="1">
      <c r="A425" s="2">
        <v>5.0</v>
      </c>
      <c r="B425" s="2" t="s">
        <v>1307</v>
      </c>
      <c r="C425" s="2" t="s">
        <v>1308</v>
      </c>
      <c r="D425" s="2" t="s">
        <v>26</v>
      </c>
      <c r="E425" s="2" t="s">
        <v>14</v>
      </c>
      <c r="F425" s="2" t="s">
        <v>15</v>
      </c>
      <c r="G425" s="2" t="s">
        <v>28</v>
      </c>
      <c r="H425" s="2" t="s">
        <v>28</v>
      </c>
      <c r="I425" s="2" t="str">
        <f>IFERROR(__xludf.DUMMYFUNCTION("GOOGLETRANSLATE(C425,""fr"",""en"")"),"Simple and practical and fast
The site is very fun support from A to Z
pricing is well detailed and the options are well detailed")</f>
        <v>Simple and practical and fast
The site is very fun support from A to Z
pricing is well detailed and the options are well detailed</v>
      </c>
    </row>
    <row r="426" ht="15.75" customHeight="1">
      <c r="A426" s="2">
        <v>3.0</v>
      </c>
      <c r="B426" s="2" t="s">
        <v>1309</v>
      </c>
      <c r="C426" s="2" t="s">
        <v>1310</v>
      </c>
      <c r="D426" s="2" t="s">
        <v>26</v>
      </c>
      <c r="E426" s="2" t="s">
        <v>104</v>
      </c>
      <c r="F426" s="2" t="s">
        <v>15</v>
      </c>
      <c r="G426" s="2" t="s">
        <v>1311</v>
      </c>
      <c r="H426" s="2" t="s">
        <v>395</v>
      </c>
      <c r="I426" s="2" t="str">
        <f>IFERROR(__xludf.DUMMYFUNCTION("GOOGLETRANSLATE(C426,""fr"",""en"")"),"The rating for direct insurance: the real note is 0.3/5
The only advantage of Direct Insurance is to be in good standing in the event of police control or an accident against a third party.
But you should know that in my case:
Despite my ""all -risk"&amp;""" DA insurance refused to participate in all of my damage?
Without any information, I receive the termination of DA at 31 01 2017 following the provisions of article L113-12 of the insurance code.
She speaks to me a report of information with the menti"&amp;"on of the disaster but omitting to add her non -management of the repair of the vehicle.
CONCLUSION :
I paid all risks insurance not to be reimbursed from the first claim. I have been driving, for 52 years (no responsible accident, therefore without h"&amp;"aving cost a single penny in insurance).
So I suffer a quadruple pain:
1) I pay for ""all risks"" insurance so as not to be reimbursed from the first claim.
2) After its termination, DA addresses me to raise the wrong information.
3) When I want to re"&amp;"assure myself with the DA recipient, I am rejected by the new insurer or when I find one who wants to make sure, it is with a penalty.
4) I fully carried out the costs of setting up my vehicle.
Thank you Direct Assurance.
Morality: the irregular inte"&amp;"r-assuring agreement prevails over the reality of the facts.
Hello Jacky and thank you for your return.
I take stock with the quality service on your disaster and on the information statement. We return to you as soon as possible.
Cordially.
Clement"&amp;"
Community Manager
No response since April 27, 2017 ??????????????????????????
")</f>
        <v>The rating for direct insurance: the real note is 0.3/5
The only advantage of Direct Insurance is to be in good standing in the event of police control or an accident against a third party.
But you should know that in my case:
Despite my "all -risk" DA insurance refused to participate in all of my damage?
Without any information, I receive the termination of DA at 31 01 2017 following the provisions of article L113-12 of the insurance code.
She speaks to me a report of information with the mention of the disaster but omitting to add her non -management of the repair of the vehicle.
CONCLUSION :
I paid all risks insurance not to be reimbursed from the first claim. I have been driving, for 52 years (no responsible accident, therefore without having cost a single penny in insurance).
So I suffer a quadruple pain:
1) I pay for "all risks" insurance so as not to be reimbursed from the first claim.
2) After its termination, DA addresses me to raise the wrong information.
3) When I want to reassure myself with the DA recipient, I am rejected by the new insurer or when I find one who wants to make sure, it is with a penalty.
4) I fully carried out the costs of setting up my vehicle.
Thank you Direct Assurance.
Morality: the irregular inter-assuring agreement prevails over the reality of the facts.
Hello Jacky and thank you for your return.
I take stock with the quality service on your disaster and on the information statement. We return to you as soon as possible.
Cordially.
Clement
Community Manager
No response since April 27, 2017 ??????????????????????????
</v>
      </c>
    </row>
    <row r="427" ht="15.75" customHeight="1">
      <c r="A427" s="2">
        <v>5.0</v>
      </c>
      <c r="B427" s="2" t="s">
        <v>1312</v>
      </c>
      <c r="C427" s="2" t="s">
        <v>1313</v>
      </c>
      <c r="D427" s="2" t="s">
        <v>57</v>
      </c>
      <c r="E427" s="2" t="s">
        <v>14</v>
      </c>
      <c r="F427" s="2" t="s">
        <v>15</v>
      </c>
      <c r="G427" s="2" t="s">
        <v>1251</v>
      </c>
      <c r="H427" s="2" t="s">
        <v>28</v>
      </c>
      <c r="I427" s="2" t="str">
        <f>IFERROR(__xludf.DUMMYFUNCTION("GOOGLETRANSLATE(C427,""fr"",""en"")"),"I am satisfied with the advisers I had online, very pleasant and good advice, efficient and fast; I will pay 2 times cheaper than with my current insurer. I recommend the olive assurance!")</f>
        <v>I am satisfied with the advisers I had online, very pleasant and good advice, efficient and fast; I will pay 2 times cheaper than with my current insurer. I recommend the olive assurance!</v>
      </c>
    </row>
    <row r="428" ht="15.75" customHeight="1">
      <c r="A428" s="2">
        <v>3.0</v>
      </c>
      <c r="B428" s="2" t="s">
        <v>1314</v>
      </c>
      <c r="C428" s="2" t="s">
        <v>1315</v>
      </c>
      <c r="D428" s="2" t="s">
        <v>143</v>
      </c>
      <c r="E428" s="2" t="s">
        <v>109</v>
      </c>
      <c r="F428" s="2" t="s">
        <v>15</v>
      </c>
      <c r="G428" s="2" t="s">
        <v>1316</v>
      </c>
      <c r="H428" s="2" t="s">
        <v>593</v>
      </c>
      <c r="I428" s="2" t="str">
        <f>IFERROR(__xludf.DUMMYFUNCTION("GOOGLETRANSLATE(C428,""fr"",""en"")"),"Medieval enterprise whose quality of customer relations is matched only by its outrageous contempt for the latter. Succeeded in the alloy of Soviet operation and capitalist ambitions. Has no other interest than a shameful and without consideration punctur"&amp;"e. TO FLEE. Rest assured, their speed of reaction will never allow them to catch up ...")</f>
        <v>Medieval enterprise whose quality of customer relations is matched only by its outrageous contempt for the latter. Succeeded in the alloy of Soviet operation and capitalist ambitions. Has no other interest than a shameful and without consideration puncture. TO FLEE. Rest assured, their speed of reaction will never allow them to catch up ...</v>
      </c>
    </row>
    <row r="429" ht="15.75" customHeight="1">
      <c r="A429" s="2">
        <v>3.0</v>
      </c>
      <c r="B429" s="2" t="s">
        <v>1317</v>
      </c>
      <c r="C429" s="2" t="s">
        <v>1318</v>
      </c>
      <c r="D429" s="2" t="s">
        <v>57</v>
      </c>
      <c r="E429" s="2" t="s">
        <v>14</v>
      </c>
      <c r="F429" s="2" t="s">
        <v>15</v>
      </c>
      <c r="G429" s="2" t="s">
        <v>703</v>
      </c>
      <c r="H429" s="2" t="s">
        <v>81</v>
      </c>
      <c r="I429" s="2" t="str">
        <f>IFERROR(__xludf.DUMMYFUNCTION("GOOGLETRANSLATE(C429,""fr"",""en"")"),"Clear information but bugs of the website (I could not characterize the vehicle, then a maintenance message appeared) then contradictory information on the phone as to the price (for my disadvantage).")</f>
        <v>Clear information but bugs of the website (I could not characterize the vehicle, then a maintenance message appeared) then contradictory information on the phone as to the price (for my disadvantage).</v>
      </c>
    </row>
    <row r="430" ht="15.75" customHeight="1">
      <c r="A430" s="2">
        <v>5.0</v>
      </c>
      <c r="B430" s="2" t="s">
        <v>1319</v>
      </c>
      <c r="C430" s="2" t="s">
        <v>1320</v>
      </c>
      <c r="D430" s="2" t="s">
        <v>57</v>
      </c>
      <c r="E430" s="2" t="s">
        <v>14</v>
      </c>
      <c r="F430" s="2" t="s">
        <v>15</v>
      </c>
      <c r="G430" s="2" t="s">
        <v>1321</v>
      </c>
      <c r="H430" s="2" t="s">
        <v>140</v>
      </c>
      <c r="I430" s="2" t="str">
        <f>IFERROR(__xludf.DUMMYFUNCTION("GOOGLETRANSLATE(C430,""fr"",""en"")"),"Perfect. I had a very patient and very educational lady on the phone.
I compared with several insurers and it was one of the cheapest. I also came across a customer review site and the olive tree was very well rated!
I just find it a shame that the spon"&amp;"sorship money puts so long to arrive.")</f>
        <v>Perfect. I had a very patient and very educational lady on the phone.
I compared with several insurers and it was one of the cheapest. I also came across a customer review site and the olive tree was very well rated!
I just find it a shame that the sponsorship money puts so long to arrive.</v>
      </c>
    </row>
    <row r="431" ht="15.75" customHeight="1">
      <c r="A431" s="2">
        <v>1.0</v>
      </c>
      <c r="B431" s="2" t="s">
        <v>1322</v>
      </c>
      <c r="C431" s="2" t="s">
        <v>1323</v>
      </c>
      <c r="D431" s="2" t="s">
        <v>26</v>
      </c>
      <c r="E431" s="2" t="s">
        <v>14</v>
      </c>
      <c r="F431" s="2" t="s">
        <v>15</v>
      </c>
      <c r="G431" s="2" t="s">
        <v>1324</v>
      </c>
      <c r="H431" s="2" t="s">
        <v>34</v>
      </c>
      <c r="I431" s="2" t="str">
        <f>IFERROR(__xludf.DUMMYFUNCTION("GOOGLETRANSLATE(C431,""fr"",""en"")"),"I am satisfied with the service, but the prices increases every year. I have never had a claim since my membership so no reference .. if the prices of next year remain stable I would remain at Direct Insurance")</f>
        <v>I am satisfied with the service, but the prices increases every year. I have never had a claim since my membership so no reference .. if the prices of next year remain stable I would remain at Direct Insurance</v>
      </c>
    </row>
    <row r="432" ht="15.75" customHeight="1">
      <c r="A432" s="2">
        <v>4.0</v>
      </c>
      <c r="B432" s="2" t="s">
        <v>1325</v>
      </c>
      <c r="C432" s="2" t="s">
        <v>1326</v>
      </c>
      <c r="D432" s="2" t="s">
        <v>26</v>
      </c>
      <c r="E432" s="2" t="s">
        <v>14</v>
      </c>
      <c r="F432" s="2" t="s">
        <v>15</v>
      </c>
      <c r="G432" s="2" t="s">
        <v>28</v>
      </c>
      <c r="H432" s="2" t="s">
        <v>28</v>
      </c>
      <c r="I432" s="2" t="str">
        <f>IFERROR(__xludf.DUMMYFUNCTION("GOOGLETRANSLATE(C432,""fr"",""en"")"),"Intuitive fast insurance and not too expensive on the internet
Go to the site to make your vehicle quote
By cons the beug site a little but it is quickly resolved if you refresh the home page")</f>
        <v>Intuitive fast insurance and not too expensive on the internet
Go to the site to make your vehicle quote
By cons the beug site a little but it is quickly resolved if you refresh the home page</v>
      </c>
    </row>
    <row r="433" ht="15.75" customHeight="1">
      <c r="A433" s="2">
        <v>5.0</v>
      </c>
      <c r="B433" s="2" t="s">
        <v>1327</v>
      </c>
      <c r="C433" s="2" t="s">
        <v>1328</v>
      </c>
      <c r="D433" s="2" t="s">
        <v>26</v>
      </c>
      <c r="E433" s="2" t="s">
        <v>14</v>
      </c>
      <c r="F433" s="2" t="s">
        <v>15</v>
      </c>
      <c r="G433" s="2" t="s">
        <v>1329</v>
      </c>
      <c r="H433" s="2" t="s">
        <v>90</v>
      </c>
      <c r="I433" s="2" t="str">
        <f>IFERROR(__xludf.DUMMYFUNCTION("GOOGLETRANSLATE(C433,""fr"",""en"")"),"Very attractive price speed of the implementation of contracts and very kind advisor with good advice. I highly recommend thank you.")</f>
        <v>Very attractive price speed of the implementation of contracts and very kind advisor with good advice. I highly recommend thank you.</v>
      </c>
    </row>
    <row r="434" ht="15.75" customHeight="1">
      <c r="A434" s="2">
        <v>2.0</v>
      </c>
      <c r="B434" s="2" t="s">
        <v>1330</v>
      </c>
      <c r="C434" s="2" t="s">
        <v>1331</v>
      </c>
      <c r="D434" s="2" t="s">
        <v>181</v>
      </c>
      <c r="E434" s="2" t="s">
        <v>32</v>
      </c>
      <c r="F434" s="2" t="s">
        <v>15</v>
      </c>
      <c r="G434" s="2" t="s">
        <v>1332</v>
      </c>
      <c r="H434" s="2" t="s">
        <v>593</v>
      </c>
      <c r="I434" s="2" t="str">
        <f>IFERROR(__xludf.DUMMYFUNCTION("GOOGLETRANSLATE(C434,""fr"",""en"")"),"Deplorable customer service, documents that ""get lost"" as if by magic, terminate insurance or mutual insurance company is simply impossible.
They are just perfect when you don't need them ...")</f>
        <v>Deplorable customer service, documents that "get lost" as if by magic, terminate insurance or mutual insurance company is simply impossible.
They are just perfect when you don't need them ...</v>
      </c>
    </row>
    <row r="435" ht="15.75" customHeight="1">
      <c r="A435" s="2">
        <v>2.0</v>
      </c>
      <c r="B435" s="2" t="s">
        <v>1333</v>
      </c>
      <c r="C435" s="2" t="s">
        <v>1334</v>
      </c>
      <c r="D435" s="2" t="s">
        <v>410</v>
      </c>
      <c r="E435" s="2" t="s">
        <v>14</v>
      </c>
      <c r="F435" s="2" t="s">
        <v>15</v>
      </c>
      <c r="G435" s="2" t="s">
        <v>1335</v>
      </c>
      <c r="H435" s="2" t="s">
        <v>145</v>
      </c>
      <c r="I435" s="2" t="str">
        <f>IFERROR(__xludf.DUMMYFUNCTION("GOOGLETRANSLATE(C435,""fr"",""en"")"),"We have been a member for over 25 years (car for my wife and for children when they were at our expense, home). Our son took an apartment to get closer to his work, which he occupied for 1 year. It was my wife who paid home insurance. Then our son was tra"&amp;"nsferred and he left his apartment. 1 year later, my wife realized that she was still deducted by Matmut, our son who forgot to terminate. Despite the modest sum in question (around € 150), despite 2 agency interventions and a request via the Matmut websi"&amp;"te, no commercial gesture for this year of home insurance without real cause. 25 years of loyalty have no value for Matmut. Results: we move all our auto &amp; housing contracts. Bye bye Matmut.")</f>
        <v>We have been a member for over 25 years (car for my wife and for children when they were at our expense, home). Our son took an apartment to get closer to his work, which he occupied for 1 year. It was my wife who paid home insurance. Then our son was transferred and he left his apartment. 1 year later, my wife realized that she was still deducted by Matmut, our son who forgot to terminate. Despite the modest sum in question (around € 150), despite 2 agency interventions and a request via the Matmut website, no commercial gesture for this year of home insurance without real cause. 25 years of loyalty have no value for Matmut. Results: we move all our auto &amp; housing contracts. Bye bye Matmut.</v>
      </c>
    </row>
    <row r="436" ht="15.75" customHeight="1">
      <c r="A436" s="2">
        <v>1.0</v>
      </c>
      <c r="B436" s="2" t="s">
        <v>1336</v>
      </c>
      <c r="C436" s="2" t="s">
        <v>1337</v>
      </c>
      <c r="D436" s="2" t="s">
        <v>13</v>
      </c>
      <c r="E436" s="2" t="s">
        <v>104</v>
      </c>
      <c r="F436" s="2" t="s">
        <v>15</v>
      </c>
      <c r="G436" s="2" t="s">
        <v>1338</v>
      </c>
      <c r="H436" s="2" t="s">
        <v>94</v>
      </c>
      <c r="I436" s="2" t="str">
        <f>IFERROR(__xludf.DUMMYFUNCTION("GOOGLETRANSLATE(C436,""fr"",""en"")"),"Lamentable !!!! Leak reported in February, a provider mandated in bad faith, claims to have repaired the flight when it is not. 9 months later, it still flees and insurance wants to return an expert to see what 3 plumbers have already seen! In the meantim"&amp;"e, I can't use my shower. Insurance to flee !!!!")</f>
        <v>Lamentable !!!! Leak reported in February, a provider mandated in bad faith, claims to have repaired the flight when it is not. 9 months later, it still flees and insurance wants to return an expert to see what 3 plumbers have already seen! In the meantime, I can't use my shower. Insurance to flee !!!!</v>
      </c>
    </row>
    <row r="437" ht="15.75" customHeight="1">
      <c r="A437" s="2">
        <v>5.0</v>
      </c>
      <c r="B437" s="2" t="s">
        <v>1339</v>
      </c>
      <c r="C437" s="2" t="s">
        <v>1340</v>
      </c>
      <c r="D437" s="2" t="s">
        <v>57</v>
      </c>
      <c r="E437" s="2" t="s">
        <v>14</v>
      </c>
      <c r="F437" s="2" t="s">
        <v>15</v>
      </c>
      <c r="G437" s="2" t="s">
        <v>983</v>
      </c>
      <c r="H437" s="2" t="s">
        <v>74</v>
      </c>
      <c r="I437" s="2" t="str">
        <f>IFERROR(__xludf.DUMMYFUNCTION("GOOGLETRANSLATE(C437,""fr"",""en"")"),"Quote made online, recalled the next day by the platform. Very good advice, very professional, very good relationship. I would recommend this company to my loved ones")</f>
        <v>Quote made online, recalled the next day by the platform. Very good advice, very professional, very good relationship. I would recommend this company to my loved ones</v>
      </c>
    </row>
    <row r="438" ht="15.75" customHeight="1">
      <c r="A438" s="2">
        <v>4.0</v>
      </c>
      <c r="B438" s="2" t="s">
        <v>1341</v>
      </c>
      <c r="C438" s="2" t="s">
        <v>1342</v>
      </c>
      <c r="D438" s="2" t="s">
        <v>57</v>
      </c>
      <c r="E438" s="2" t="s">
        <v>14</v>
      </c>
      <c r="F438" s="2" t="s">
        <v>15</v>
      </c>
      <c r="G438" s="2" t="s">
        <v>1343</v>
      </c>
      <c r="H438" s="2" t="s">
        <v>515</v>
      </c>
      <c r="I438" s="2" t="str">
        <f>IFERROR(__xludf.DUMMYFUNCTION("GOOGLETRANSLATE(C438,""fr"",""en"")"),"satisfied with telephone services listening to our requests
cheap insurance compared to others
reduction if already holder of an olive insurance
")</f>
        <v>satisfied with telephone services listening to our requests
cheap insurance compared to others
reduction if already holder of an olive insurance
</v>
      </c>
    </row>
    <row r="439" ht="15.75" customHeight="1">
      <c r="A439" s="2">
        <v>2.0</v>
      </c>
      <c r="B439" s="2" t="s">
        <v>1344</v>
      </c>
      <c r="C439" s="2" t="s">
        <v>1345</v>
      </c>
      <c r="D439" s="2" t="s">
        <v>103</v>
      </c>
      <c r="E439" s="2" t="s">
        <v>38</v>
      </c>
      <c r="F439" s="2" t="s">
        <v>15</v>
      </c>
      <c r="G439" s="2" t="s">
        <v>1346</v>
      </c>
      <c r="H439" s="2" t="s">
        <v>111</v>
      </c>
      <c r="I439" s="2" t="str">
        <f>IFERROR(__xludf.DUMMYFUNCTION("GOOGLETRANSLATE(C439,""fr"",""en"")"),"I assured my motorcycle to the Macif by phone phone I explained to me that the guarantee of a driver is an additional contract but the second united are interesting in price.
In truth it is the GAV with 10 % disability.
I feel betrayed by this insurer a"&amp;"nd I consider it in lack of advice. To all people in disputes with the Macif I invite you to play this in your favor")</f>
        <v>I assured my motorcycle to the Macif by phone phone I explained to me that the guarantee of a driver is an additional contract but the second united are interesting in price.
In truth it is the GAV with 10 % disability.
I feel betrayed by this insurer and I consider it in lack of advice. To all people in disputes with the Macif I invite you to play this in your favor</v>
      </c>
    </row>
    <row r="440" ht="15.75" customHeight="1">
      <c r="A440" s="2">
        <v>5.0</v>
      </c>
      <c r="B440" s="2" t="s">
        <v>1347</v>
      </c>
      <c r="C440" s="2" t="s">
        <v>1348</v>
      </c>
      <c r="D440" s="2" t="s">
        <v>57</v>
      </c>
      <c r="E440" s="2" t="s">
        <v>14</v>
      </c>
      <c r="F440" s="2" t="s">
        <v>15</v>
      </c>
      <c r="G440" s="2" t="s">
        <v>1349</v>
      </c>
      <c r="H440" s="2" t="s">
        <v>140</v>
      </c>
      <c r="I440" s="2" t="str">
        <f>IFERROR(__xludf.DUMMYFUNCTION("GOOGLETRANSLATE(C440,""fr"",""en"")"),"I'm satisfied
VERY GOOD
CONVENIENT
THANK YOU
CONTINUE LIKE THAT
Cheap compared to competitors
Reactive by phone
And nice
A REAL PLEASURE
In addition people are kind")</f>
        <v>I'm satisfied
VERY GOOD
CONVENIENT
THANK YOU
CONTINUE LIKE THAT
Cheap compared to competitors
Reactive by phone
And nice
A REAL PLEASURE
In addition people are kind</v>
      </c>
    </row>
    <row r="441" ht="15.75" customHeight="1">
      <c r="A441" s="2">
        <v>1.0</v>
      </c>
      <c r="B441" s="2" t="s">
        <v>1350</v>
      </c>
      <c r="C441" s="2" t="s">
        <v>1351</v>
      </c>
      <c r="D441" s="2" t="s">
        <v>262</v>
      </c>
      <c r="E441" s="2" t="s">
        <v>104</v>
      </c>
      <c r="F441" s="2" t="s">
        <v>15</v>
      </c>
      <c r="G441" s="2" t="s">
        <v>1352</v>
      </c>
      <c r="H441" s="2" t="s">
        <v>34</v>
      </c>
      <c r="I441" s="2" t="str">
        <f>IFERROR(__xludf.DUMMYFUNCTION("GOOGLETRANSLATE(C441,""fr"",""en"")"),"Hello,
I strongly advise you not to take out contracts at Axa Agency Lecourt in Bretteville du Grand Caux.
No file as a file in the event of a claim.
Impossible to have written answers.
In short, I have good to receive insurance contributions
"&amp;"
A absolutely fleeing")</f>
        <v>Hello,
I strongly advise you not to take out contracts at Axa Agency Lecourt in Bretteville du Grand Caux.
No file as a file in the event of a claim.
Impossible to have written answers.
In short, I have good to receive insurance contributions
A absolutely fleeing</v>
      </c>
    </row>
    <row r="442" ht="15.75" customHeight="1">
      <c r="A442" s="2">
        <v>4.0</v>
      </c>
      <c r="B442" s="2" t="s">
        <v>1353</v>
      </c>
      <c r="C442" s="2" t="s">
        <v>1354</v>
      </c>
      <c r="D442" s="2" t="s">
        <v>152</v>
      </c>
      <c r="E442" s="2" t="s">
        <v>21</v>
      </c>
      <c r="F442" s="2" t="s">
        <v>15</v>
      </c>
      <c r="G442" s="2" t="s">
        <v>1355</v>
      </c>
      <c r="H442" s="2" t="s">
        <v>63</v>
      </c>
      <c r="I442" s="2" t="str">
        <f>IFERROR(__xludf.DUMMYFUNCTION("GOOGLETRANSLATE(C442,""fr"",""en"")"),"The advisers are always listening, kind and their information that is precise ... if there is problems, the latter are generally resolved.
Member of the MGP for more than 3 decades, I remain faithful.
I cannot decide on the price of competition ...
")</f>
        <v>The advisers are always listening, kind and their information that is precise ... if there is problems, the latter are generally resolved.
Member of the MGP for more than 3 decades, I remain faithful.
I cannot decide on the price of competition ...
</v>
      </c>
    </row>
    <row r="443" ht="15.75" customHeight="1">
      <c r="A443" s="2">
        <v>1.0</v>
      </c>
      <c r="B443" s="2" t="s">
        <v>1356</v>
      </c>
      <c r="C443" s="2" t="s">
        <v>1357</v>
      </c>
      <c r="D443" s="2" t="s">
        <v>26</v>
      </c>
      <c r="E443" s="2" t="s">
        <v>14</v>
      </c>
      <c r="F443" s="2" t="s">
        <v>15</v>
      </c>
      <c r="G443" s="2" t="s">
        <v>1358</v>
      </c>
      <c r="H443" s="2" t="s">
        <v>166</v>
      </c>
      <c r="I443" s="2" t="str">
        <f>IFERROR(__xludf.DUMMYFUNCTION("GOOGLETRANSLATE(C443,""fr"",""en"")"),"BJR, when I subscribed to my car insurance at Direct Insurance at the end of August 1999 their price was unbeatable, almost 2 times less than there I was before, no incident until I change vehicles and requires a quote for Same guarantees, my new vehicle "&amp;"being the same model as the previous one except that instead of 12hp there are only 7 and a lower range. So from € 315/year, after several simulations and telephone complaints, for the same guarantees and even Bonus Diressurance offers me the price of € 5"&amp;"38/year! And this without any justification! And to terminate it is the obstacle course! So I have the impression that ""they"" appear the new customers with staggering prices and then catch up by taking advantage of the birth of their Clegele. Morality: "&amp;"do not change vehicles at Diressassurance !!!")</f>
        <v>BJR, when I subscribed to my car insurance at Direct Insurance at the end of August 1999 their price was unbeatable, almost 2 times less than there I was before, no incident until I change vehicles and requires a quote for Same guarantees, my new vehicle being the same model as the previous one except that instead of 12hp there are only 7 and a lower range. So from € 315/year, after several simulations and telephone complaints, for the same guarantees and even Bonus Diressurance offers me the price of € 538/year! And this without any justification! And to terminate it is the obstacle course! So I have the impression that "they" appear the new customers with staggering prices and then catch up by taking advantage of the birth of their Clegele. Morality: do not change vehicles at Diressassurance !!!</v>
      </c>
    </row>
    <row r="444" ht="15.75" customHeight="1">
      <c r="A444" s="2">
        <v>2.0</v>
      </c>
      <c r="B444" s="2" t="s">
        <v>1359</v>
      </c>
      <c r="C444" s="2" t="s">
        <v>1360</v>
      </c>
      <c r="D444" s="2" t="s">
        <v>410</v>
      </c>
      <c r="E444" s="2" t="s">
        <v>14</v>
      </c>
      <c r="F444" s="2" t="s">
        <v>15</v>
      </c>
      <c r="G444" s="2" t="s">
        <v>1361</v>
      </c>
      <c r="H444" s="2" t="s">
        <v>126</v>
      </c>
      <c r="I444" s="2" t="str">
        <f>IFERROR(__xludf.DUMMYFUNCTION("GOOGLETRANSLATE(C444,""fr"",""en"")"),"I just read the comments; I have been insured for 8 years at the Matmut! Overall it is a good mutual! For my part, she holds her commitments and defends you well in the event of a disaster!
On the other hand, currently I am in full reflection at the leve"&amp;"ls of their prices because they are no longer as attractive as before. I have quotes in support with the same guarantees and there are differences from 150 euros to 200 euros per year for a 1999 vehicle provided to the third party.
So I plan to change in"&amp;"surance!
I also specify that I went to see a Matmut agency to talk about these quotes, she advised me to make a letter to the headquarters to ask to make an effort on the price otherwise she guided me on others Insurance in relation to the quotes that I "&amp;"have shown to him!
")</f>
        <v>I just read the comments; I have been insured for 8 years at the Matmut! Overall it is a good mutual! For my part, she holds her commitments and defends you well in the event of a disaster!
On the other hand, currently I am in full reflection at the levels of their prices because they are no longer as attractive as before. I have quotes in support with the same guarantees and there are differences from 150 euros to 200 euros per year for a 1999 vehicle provided to the third party.
So I plan to change insurance!
I also specify that I went to see a Matmut agency to talk about these quotes, she advised me to make a letter to the headquarters to ask to make an effort on the price otherwise she guided me on others Insurance in relation to the quotes that I have shown to him!
</v>
      </c>
    </row>
    <row r="445" ht="15.75" customHeight="1">
      <c r="A445" s="2">
        <v>1.0</v>
      </c>
      <c r="B445" s="2" t="s">
        <v>1362</v>
      </c>
      <c r="C445" s="2" t="s">
        <v>1363</v>
      </c>
      <c r="D445" s="2" t="s">
        <v>188</v>
      </c>
      <c r="E445" s="2" t="s">
        <v>14</v>
      </c>
      <c r="F445" s="2" t="s">
        <v>15</v>
      </c>
      <c r="G445" s="2" t="s">
        <v>756</v>
      </c>
      <c r="H445" s="2" t="s">
        <v>81</v>
      </c>
      <c r="I445" s="2" t="str">
        <f>IFERROR(__xludf.DUMMYFUNCTION("GOOGLETRANSLATE(C445,""fr"",""en"")"),"I have no opinion this survey makes me waste time especially by connecting only to print a certificate and I hope that the investigation will not be renewed for the printing of the certificate of my second child")</f>
        <v>I have no opinion this survey makes me waste time especially by connecting only to print a certificate and I hope that the investigation will not be renewed for the printing of the certificate of my second child</v>
      </c>
    </row>
    <row r="446" ht="15.75" customHeight="1">
      <c r="A446" s="2">
        <v>2.0</v>
      </c>
      <c r="B446" s="2" t="s">
        <v>1364</v>
      </c>
      <c r="C446" s="2" t="s">
        <v>1365</v>
      </c>
      <c r="D446" s="2" t="s">
        <v>42</v>
      </c>
      <c r="E446" s="2" t="s">
        <v>104</v>
      </c>
      <c r="F446" s="2" t="s">
        <v>15</v>
      </c>
      <c r="G446" s="2" t="s">
        <v>1056</v>
      </c>
      <c r="H446" s="2" t="s">
        <v>122</v>
      </c>
      <c r="I446" s="2" t="str">
        <f>IFERROR(__xludf.DUMMYFUNCTION("GOOGLETRANSLATE(C446,""fr"",""en"")"),"For a stripping of the waters, worth 1800 euros, 4 months to send the ball !! It is never their fault !! Do not count on them if you have a problem !!")</f>
        <v>For a stripping of the waters, worth 1800 euros, 4 months to send the ball !! It is never their fault !! Do not count on them if you have a problem !!</v>
      </c>
    </row>
    <row r="447" ht="15.75" customHeight="1">
      <c r="A447" s="2">
        <v>3.0</v>
      </c>
      <c r="B447" s="2" t="s">
        <v>1366</v>
      </c>
      <c r="C447" s="2" t="s">
        <v>1367</v>
      </c>
      <c r="D447" s="2" t="s">
        <v>26</v>
      </c>
      <c r="E447" s="2" t="s">
        <v>14</v>
      </c>
      <c r="F447" s="2" t="s">
        <v>15</v>
      </c>
      <c r="G447" s="2" t="s">
        <v>1368</v>
      </c>
      <c r="H447" s="2" t="s">
        <v>166</v>
      </c>
      <c r="I447" s="2" t="str">
        <f>IFERROR(__xludf.DUMMYFUNCTION("GOOGLETRANSLATE(C447,""fr"",""en"")"),"If I am accepted, I will actually be very delighted, I therefore wait for the quote.
However, I cannot decide on the service being given that I am not yet assured and confronted with an incident. In any case the site is very well thought out and in tun"&amp;"e with the times.")</f>
        <v>If I am accepted, I will actually be very delighted, I therefore wait for the quote.
However, I cannot decide on the service being given that I am not yet assured and confronted with an incident. In any case the site is very well thought out and in tune with the times.</v>
      </c>
    </row>
    <row r="448" ht="15.75" customHeight="1">
      <c r="A448" s="2">
        <v>5.0</v>
      </c>
      <c r="B448" s="2" t="s">
        <v>1369</v>
      </c>
      <c r="C448" s="2" t="s">
        <v>1370</v>
      </c>
      <c r="D448" s="2" t="s">
        <v>26</v>
      </c>
      <c r="E448" s="2" t="s">
        <v>14</v>
      </c>
      <c r="F448" s="2" t="s">
        <v>15</v>
      </c>
      <c r="G448" s="2" t="s">
        <v>426</v>
      </c>
      <c r="H448" s="2" t="s">
        <v>28</v>
      </c>
      <c r="I448" s="2" t="str">
        <f>IFERROR(__xludf.DUMMYFUNCTION("GOOGLETRANSLATE(C448,""fr"",""en"")"),"Super frankly I recommend direct insurance for fluidity and responsiveness
Of their service I was advised by a friend and I do not regret my choice")</f>
        <v>Super frankly I recommend direct insurance for fluidity and responsiveness
Of their service I was advised by a friend and I do not regret my choice</v>
      </c>
    </row>
    <row r="449" ht="15.75" customHeight="1">
      <c r="A449" s="2">
        <v>5.0</v>
      </c>
      <c r="B449" s="2" t="s">
        <v>1371</v>
      </c>
      <c r="C449" s="2" t="s">
        <v>1372</v>
      </c>
      <c r="D449" s="2" t="s">
        <v>26</v>
      </c>
      <c r="E449" s="2" t="s">
        <v>14</v>
      </c>
      <c r="F449" s="2" t="s">
        <v>15</v>
      </c>
      <c r="G449" s="2" t="s">
        <v>34</v>
      </c>
      <c r="H449" s="2" t="s">
        <v>34</v>
      </c>
      <c r="I449" s="2" t="str">
        <f>IFERROR(__xludf.DUMMYFUNCTION("GOOGLETRANSLATE(C449,""fr"",""en"")"),"Simple and practical good price very good responsiveness of very good advice receipt of documents always on time no head taking I speak regularly around me no worries and no head taking")</f>
        <v>Simple and practical good price very good responsiveness of very good advice receipt of documents always on time no head taking I speak regularly around me no worries and no head taking</v>
      </c>
    </row>
    <row r="450" ht="15.75" customHeight="1">
      <c r="A450" s="2">
        <v>5.0</v>
      </c>
      <c r="B450" s="2" t="s">
        <v>1373</v>
      </c>
      <c r="C450" s="2" t="s">
        <v>1374</v>
      </c>
      <c r="D450" s="2" t="s">
        <v>103</v>
      </c>
      <c r="E450" s="2" t="s">
        <v>14</v>
      </c>
      <c r="F450" s="2" t="s">
        <v>15</v>
      </c>
      <c r="G450" s="2" t="s">
        <v>1375</v>
      </c>
      <c r="H450" s="2" t="s">
        <v>713</v>
      </c>
      <c r="I450" s="2" t="str">
        <f>IFERROR(__xludf.DUMMYFUNCTION("GOOGLETRANSLATE(C450,""fr"",""en"")"),"A real insurance! They are very responsive and take the time to explain everything by looking for the best solution for our protection. Departing the legal protection was of precious help and always very kind ... I highly recommend the Macif around me. My"&amp;" bank offered us car insurance and I did not even want to know that it was the proposal, each their job ...")</f>
        <v>A real insurance! They are very responsive and take the time to explain everything by looking for the best solution for our protection. Departing the legal protection was of precious help and always very kind ... I highly recommend the Macif around me. My bank offered us car insurance and I did not even want to know that it was the proposal, each their job ...</v>
      </c>
    </row>
    <row r="451" ht="15.75" customHeight="1">
      <c r="A451" s="2">
        <v>5.0</v>
      </c>
      <c r="B451" s="2" t="s">
        <v>1376</v>
      </c>
      <c r="C451" s="2" t="s">
        <v>1377</v>
      </c>
      <c r="D451" s="2" t="s">
        <v>26</v>
      </c>
      <c r="E451" s="2" t="s">
        <v>14</v>
      </c>
      <c r="F451" s="2" t="s">
        <v>15</v>
      </c>
      <c r="G451" s="2" t="s">
        <v>121</v>
      </c>
      <c r="H451" s="2" t="s">
        <v>122</v>
      </c>
      <c r="I451" s="2" t="str">
        <f>IFERROR(__xludf.DUMMYFUNCTION("GOOGLETRANSLATE(C451,""fr"",""en"")"),"Very satisfied with my registration, very functional and very clear site! Very interesting price. The guarantees are very well explained. I am really satisfied.")</f>
        <v>Very satisfied with my registration, very functional and very clear site! Very interesting price. The guarantees are very well explained. I am really satisfied.</v>
      </c>
    </row>
    <row r="452" ht="15.75" customHeight="1">
      <c r="A452" s="2">
        <v>1.0</v>
      </c>
      <c r="B452" s="2" t="s">
        <v>1378</v>
      </c>
      <c r="C452" s="2" t="s">
        <v>1379</v>
      </c>
      <c r="D452" s="2" t="s">
        <v>262</v>
      </c>
      <c r="E452" s="2" t="s">
        <v>14</v>
      </c>
      <c r="F452" s="2" t="s">
        <v>15</v>
      </c>
      <c r="G452" s="2" t="s">
        <v>1380</v>
      </c>
      <c r="H452" s="2" t="s">
        <v>185</v>
      </c>
      <c r="I452" s="2" t="str">
        <f>IFERROR(__xludf.DUMMYFUNCTION("GOOGLETRANSLATE(C452,""fr"",""en"")"),"Having had my license and seeking insurance at the last minute to recover my car before the 2019 strikes. I was advised to subscribe to AXA, I did not find out more and subscribed to it by phone. Apart from speed, only negative points, especially the pric"&amp;"e: I paid € 282 for the first 3 months, then I went to € 99.87 the rest of the year, when I asked to decrease my contract To pay less the insurer told me that it was not possible, when I had a small problem with my automatic key the insurer told me that t"&amp;"his is not taken care of, when I I had a car breakdown the insurer told me that it was not supported but that the towing was. (In short at this price I said to myself assured any risk but I ask what they are taking care of ....)
Also, I had to be appar"&amp;"ently exceeded 5000km per year so if I am getting off I pay 300 and a few euros more lol. In short, I started the procedures to change insurance, fortunately the Hamon law allows you to terminate before the end of the contract by transfer of files. For a "&amp;"student who does not win much, this insurance makes a big budget (so that slab elsewhere) !!")</f>
        <v>Having had my license and seeking insurance at the last minute to recover my car before the 2019 strikes. I was advised to subscribe to AXA, I did not find out more and subscribed to it by phone. Apart from speed, only negative points, especially the price: I paid € 282 for the first 3 months, then I went to € 99.87 the rest of the year, when I asked to decrease my contract To pay less the insurer told me that it was not possible, when I had a small problem with my automatic key the insurer told me that this is not taken care of, when I I had a car breakdown the insurer told me that it was not supported but that the towing was. (In short at this price I said to myself assured any risk but I ask what they are taking care of ....)
Also, I had to be apparently exceeded 5000km per year so if I am getting off I pay 300 and a few euros more lol. In short, I started the procedures to change insurance, fortunately the Hamon law allows you to terminate before the end of the contract by transfer of files. For a student who does not win much, this insurance makes a big budget (so that slab elsewhere) !!</v>
      </c>
    </row>
    <row r="453" ht="15.75" customHeight="1">
      <c r="A453" s="2">
        <v>2.0</v>
      </c>
      <c r="B453" s="2" t="s">
        <v>1381</v>
      </c>
      <c r="C453" s="2" t="s">
        <v>1382</v>
      </c>
      <c r="D453" s="2" t="s">
        <v>143</v>
      </c>
      <c r="E453" s="2" t="s">
        <v>109</v>
      </c>
      <c r="F453" s="2" t="s">
        <v>15</v>
      </c>
      <c r="G453" s="2" t="s">
        <v>1383</v>
      </c>
      <c r="H453" s="2" t="s">
        <v>106</v>
      </c>
      <c r="I453" s="2" t="str">
        <f>IFERROR(__xludf.DUMMYFUNCTION("GOOGLETRANSLATE(C453,""fr"",""en"")"),"A shame ..... 3 years of 100% guaranteed contract guaranteed on both (my wife and me) ... Long illness woman, substantial loss of salary, (-40%) we are reimbursed 5% of the credit. ..... without any justifications ..... Impossible to obtain them by phone,"&amp;" written response time of the 2 month orde. They drag in length to discourage us .... it is pure and hard crook, I understand why ""CNP Assurances acquires the T11 office tower located in the Frankfurt business district""; As for the slogan ""For protecti"&amp;"on of everyone, CNP Assurances endeavors to protect the greatest number by offering everyone - whatever it is - guarantees closest to their daily life, their needs but also their capacities. That's it, to ensure all the Avenirs. "" Let us not hesitate to "&amp;"say that it is a utopia. I think I'm going to get them in front of the TGI.")</f>
        <v>A shame ..... 3 years of 100% guaranteed contract guaranteed on both (my wife and me) ... Long illness woman, substantial loss of salary, (-40%) we are reimbursed 5% of the credit. ..... without any justifications ..... Impossible to obtain them by phone, written response time of the 2 month orde. They drag in length to discourage us .... it is pure and hard crook, I understand why "CNP Assurances acquires the T11 office tower located in the Frankfurt business district"; As for the slogan "For protection of everyone, CNP Assurances endeavors to protect the greatest number by offering everyone - whatever it is - guarantees closest to their daily life, their needs but also their capacities. That's it, to ensure all the Avenirs. " Let us not hesitate to say that it is a utopia. I think I'm going to get them in front of the TGI.</v>
      </c>
    </row>
    <row r="454" ht="15.75" customHeight="1">
      <c r="A454" s="2">
        <v>1.0</v>
      </c>
      <c r="B454" s="2" t="s">
        <v>1384</v>
      </c>
      <c r="C454" s="2" t="s">
        <v>1385</v>
      </c>
      <c r="D454" s="2" t="s">
        <v>534</v>
      </c>
      <c r="E454" s="2" t="s">
        <v>43</v>
      </c>
      <c r="F454" s="2" t="s">
        <v>15</v>
      </c>
      <c r="G454" s="2" t="s">
        <v>1386</v>
      </c>
      <c r="H454" s="2" t="s">
        <v>63</v>
      </c>
      <c r="I454" s="2" t="str">
        <f>IFERROR(__xludf.DUMMYFUNCTION("GOOGLETRANSLATE(C454,""fr"",""en"")"),"Run away
I am not used to leaving comments but this insurance is lunar! 1 hour minimum waiting when you want to join it, contradictory information, lies, a 50% higher price than competition, total amateurism.
In short you will understand: run away")</f>
        <v>Run away
I am not used to leaving comments but this insurance is lunar! 1 hour minimum waiting when you want to join it, contradictory information, lies, a 50% higher price than competition, total amateurism.
In short you will understand: run away</v>
      </c>
    </row>
    <row r="455" ht="15.75" customHeight="1">
      <c r="A455" s="2">
        <v>4.0</v>
      </c>
      <c r="B455" s="2" t="s">
        <v>1387</v>
      </c>
      <c r="C455" s="2" t="s">
        <v>1388</v>
      </c>
      <c r="D455" s="2" t="s">
        <v>57</v>
      </c>
      <c r="E455" s="2" t="s">
        <v>14</v>
      </c>
      <c r="F455" s="2" t="s">
        <v>15</v>
      </c>
      <c r="G455" s="2" t="s">
        <v>1233</v>
      </c>
      <c r="H455" s="2" t="s">
        <v>34</v>
      </c>
      <c r="I455" s="2" t="str">
        <f>IFERROR(__xludf.DUMMYFUNCTION("GOOGLETRANSLATE(C455,""fr"",""en"")"),"I am totally satisfied with the service just a little expensive for a non -sporting vehicle and diesel from harsh another quote I paid my dear for a petrol vehicle of 180 horsepower DIN I do not understand too much")</f>
        <v>I am totally satisfied with the service just a little expensive for a non -sporting vehicle and diesel from harsh another quote I paid my dear for a petrol vehicle of 180 horsepower DIN I do not understand too much</v>
      </c>
    </row>
    <row r="456" ht="15.75" customHeight="1">
      <c r="A456" s="2">
        <v>5.0</v>
      </c>
      <c r="B456" s="2" t="s">
        <v>1389</v>
      </c>
      <c r="C456" s="2" t="s">
        <v>1390</v>
      </c>
      <c r="D456" s="2" t="s">
        <v>57</v>
      </c>
      <c r="E456" s="2" t="s">
        <v>14</v>
      </c>
      <c r="F456" s="2" t="s">
        <v>15</v>
      </c>
      <c r="G456" s="2" t="s">
        <v>63</v>
      </c>
      <c r="H456" s="2" t="s">
        <v>63</v>
      </c>
      <c r="I456" s="2" t="str">
        <f>IFERROR(__xludf.DUMMYFUNCTION("GOOGLETRANSLATE(C456,""fr"",""en"")"),"SUCHING SUD AND SEND OF DOCUMENTS The Olivier Insurance has shown speed and efficiency of decision (sending on -site documents at 7 p.m. and response the next day by email at 11 a.m.)")</f>
        <v>SUCHING SUD AND SEND OF DOCUMENTS The Olivier Insurance has shown speed and efficiency of decision (sending on -site documents at 7 p.m. and response the next day by email at 11 a.m.)</v>
      </c>
    </row>
    <row r="457" ht="15.75" customHeight="1">
      <c r="A457" s="2">
        <v>2.0</v>
      </c>
      <c r="B457" s="2" t="s">
        <v>1391</v>
      </c>
      <c r="C457" s="2" t="s">
        <v>1392</v>
      </c>
      <c r="D457" s="2" t="s">
        <v>26</v>
      </c>
      <c r="E457" s="2" t="s">
        <v>14</v>
      </c>
      <c r="F457" s="2" t="s">
        <v>15</v>
      </c>
      <c r="G457" s="2" t="s">
        <v>1393</v>
      </c>
      <c r="H457" s="2" t="s">
        <v>122</v>
      </c>
      <c r="I457" s="2" t="str">
        <f>IFERROR(__xludf.DUMMYFUNCTION("GOOGLETRANSLATE(C457,""fr"",""en"")"),"Simple and quick at the price level The competitors begin to align unfortunately. if not simple and quick subscription. See with time and use")</f>
        <v>Simple and quick at the price level The competitors begin to align unfortunately. if not simple and quick subscription. See with time and use</v>
      </c>
    </row>
    <row r="458" ht="15.75" customHeight="1">
      <c r="A458" s="2">
        <v>4.0</v>
      </c>
      <c r="B458" s="2" t="s">
        <v>1394</v>
      </c>
      <c r="C458" s="2" t="s">
        <v>1395</v>
      </c>
      <c r="D458" s="2" t="s">
        <v>26</v>
      </c>
      <c r="E458" s="2" t="s">
        <v>14</v>
      </c>
      <c r="F458" s="2" t="s">
        <v>15</v>
      </c>
      <c r="G458" s="2" t="s">
        <v>414</v>
      </c>
      <c r="H458" s="2" t="s">
        <v>28</v>
      </c>
      <c r="I458" s="2" t="str">
        <f>IFERROR(__xludf.DUMMYFUNCTION("GOOGLETRANSLATE(C458,""fr"",""en"")"),"I am satisfied with the price offered ... with the services offered ... The guarantees that are offered to me are enough for me ... I am a new client at Direct Insurance")</f>
        <v>I am satisfied with the price offered ... with the services offered ... The guarantees that are offered to me are enough for me ... I am a new client at Direct Insurance</v>
      </c>
    </row>
    <row r="459" ht="15.75" customHeight="1">
      <c r="A459" s="2">
        <v>3.0</v>
      </c>
      <c r="B459" s="2" t="s">
        <v>1396</v>
      </c>
      <c r="C459" s="2" t="s">
        <v>1397</v>
      </c>
      <c r="D459" s="2" t="s">
        <v>26</v>
      </c>
      <c r="E459" s="2" t="s">
        <v>14</v>
      </c>
      <c r="F459" s="2" t="s">
        <v>15</v>
      </c>
      <c r="G459" s="2" t="s">
        <v>231</v>
      </c>
      <c r="H459" s="2" t="s">
        <v>122</v>
      </c>
      <c r="I459" s="2" t="str">
        <f>IFERROR(__xludf.DUMMYFUNCTION("GOOGLETRANSLATE(C459,""fr"",""en"")"),"Simple and practical with regard to communication. Simplification of the regulation method. Reactivity of exchanges, speed of postal shipments.")</f>
        <v>Simple and practical with regard to communication. Simplification of the regulation method. Reactivity of exchanges, speed of postal shipments.</v>
      </c>
    </row>
    <row r="460" ht="15.75" customHeight="1">
      <c r="A460" s="2">
        <v>1.0</v>
      </c>
      <c r="B460" s="2" t="s">
        <v>1398</v>
      </c>
      <c r="C460" s="2" t="s">
        <v>1399</v>
      </c>
      <c r="D460" s="2" t="s">
        <v>26</v>
      </c>
      <c r="E460" s="2" t="s">
        <v>14</v>
      </c>
      <c r="F460" s="2" t="s">
        <v>15</v>
      </c>
      <c r="G460" s="2" t="s">
        <v>1400</v>
      </c>
      <c r="H460" s="2" t="s">
        <v>111</v>
      </c>
      <c r="I460" s="2" t="str">
        <f>IFERROR(__xludf.DUMMYFUNCTION("GOOGLETRANSLATE(C460,""fr"",""en"")"),"As often, small dispute (I don't have the right to use a ...... e) with friends. I test the Furet.com, which finds me direct insurance, super price 409 euro, which goes to 423 euros on the day of subscription. During the renewal of the contract, always bo"&amp;"nus at 50%, all my guarantees drop, except the accident responsibility of my region. I go from 100 euros to 200 euros. According to the advisor, it is the fault of the geographic area or I live (a 300 inhabitants' patelin). Yet on the online quote site, d"&amp;"espite the case fees, my vehicle is still displayed at 391 euros at Direct Insurance, while my invoice is 482 euros a year later + a small reminder of 20 Euro which was released I don't know where.")</f>
        <v>As often, small dispute (I don't have the right to use a ...... e) with friends. I test the Furet.com, which finds me direct insurance, super price 409 euro, which goes to 423 euros on the day of subscription. During the renewal of the contract, always bonus at 50%, all my guarantees drop, except the accident responsibility of my region. I go from 100 euros to 200 euros. According to the advisor, it is the fault of the geographic area or I live (a 300 inhabitants' patelin). Yet on the online quote site, despite the case fees, my vehicle is still displayed at 391 euros at Direct Insurance, while my invoice is 482 euros a year later + a small reminder of 20 Euro which was released I don't know where.</v>
      </c>
    </row>
    <row r="461" ht="15.75" customHeight="1">
      <c r="A461" s="2">
        <v>5.0</v>
      </c>
      <c r="B461" s="2" t="s">
        <v>1401</v>
      </c>
      <c r="C461" s="2" t="s">
        <v>1402</v>
      </c>
      <c r="D461" s="2" t="s">
        <v>57</v>
      </c>
      <c r="E461" s="2" t="s">
        <v>14</v>
      </c>
      <c r="F461" s="2" t="s">
        <v>15</v>
      </c>
      <c r="G461" s="2" t="s">
        <v>635</v>
      </c>
      <c r="H461" s="2" t="s">
        <v>140</v>
      </c>
      <c r="I461" s="2" t="str">
        <f>IFERROR(__xludf.DUMMYFUNCTION("GOOGLETRANSLATE(C461,""fr"",""en"")"),"I am satisfied with the service ... prices suit me, that's why I have subscribed to car and home insurance ...
I highly recommend.")</f>
        <v>I am satisfied with the service ... prices suit me, that's why I have subscribed to car and home insurance ...
I highly recommend.</v>
      </c>
    </row>
    <row r="462" ht="15.75" customHeight="1">
      <c r="A462" s="2">
        <v>1.0</v>
      </c>
      <c r="B462" s="2" t="s">
        <v>1403</v>
      </c>
      <c r="C462" s="2" t="s">
        <v>1404</v>
      </c>
      <c r="D462" s="2" t="s">
        <v>262</v>
      </c>
      <c r="E462" s="2" t="s">
        <v>104</v>
      </c>
      <c r="F462" s="2" t="s">
        <v>15</v>
      </c>
      <c r="G462" s="2" t="s">
        <v>1405</v>
      </c>
      <c r="H462" s="2" t="s">
        <v>157</v>
      </c>
      <c r="I462" s="2" t="str">
        <f>IFERROR(__xludf.DUMMYFUNCTION("GOOGLETRANSLATE(C462,""fr"",""en"")"),"Customers for 45 years 2 claims in 2017 for a total of 2,200 euros (climatic damage and broken insert glass)")</f>
        <v>Customers for 45 years 2 claims in 2017 for a total of 2,200 euros (climatic damage and broken insert glass)</v>
      </c>
    </row>
    <row r="463" ht="15.75" customHeight="1">
      <c r="A463" s="2">
        <v>4.0</v>
      </c>
      <c r="B463" s="2" t="s">
        <v>1406</v>
      </c>
      <c r="C463" s="2" t="s">
        <v>1407</v>
      </c>
      <c r="D463" s="2" t="s">
        <v>69</v>
      </c>
      <c r="E463" s="2" t="s">
        <v>21</v>
      </c>
      <c r="F463" s="2" t="s">
        <v>15</v>
      </c>
      <c r="G463" s="2" t="s">
        <v>740</v>
      </c>
      <c r="H463" s="2" t="s">
        <v>741</v>
      </c>
      <c r="I463" s="2" t="str">
        <f>IFERROR(__xludf.DUMMYFUNCTION("GOOGLETRANSLATE(C463,""fr"",""en"")"),"Very satisfied quality I have passed by Santiane since 2013 very good exchange and very clear")</f>
        <v>Very satisfied quality I have passed by Santiane since 2013 very good exchange and very clear</v>
      </c>
    </row>
    <row r="464" ht="15.75" customHeight="1">
      <c r="A464" s="2">
        <v>2.0</v>
      </c>
      <c r="B464" s="2" t="s">
        <v>1408</v>
      </c>
      <c r="C464" s="2" t="s">
        <v>1409</v>
      </c>
      <c r="D464" s="2" t="s">
        <v>57</v>
      </c>
      <c r="E464" s="2" t="s">
        <v>14</v>
      </c>
      <c r="F464" s="2" t="s">
        <v>15</v>
      </c>
      <c r="G464" s="2" t="s">
        <v>1410</v>
      </c>
      <c r="H464" s="2" t="s">
        <v>361</v>
      </c>
      <c r="I464" s="2" t="str">
        <f>IFERROR(__xludf.DUMMYFUNCTION("GOOGLETRANSLATE(C464,""fr"",""en"")"),"This insurance is only valid in the first year. At the subscription we give you a great price to attract you and the following year it is the blow! For me 40 % increased disaster increase and identical guarantees. With the same ""good news"" mail ... they"&amp;" take customers for residences it is clear.
")</f>
        <v>This insurance is only valid in the first year. At the subscription we give you a great price to attract you and the following year it is the blow! For me 40 % increased disaster increase and identical guarantees. With the same "good news" mail ... they take customers for residences it is clear.
</v>
      </c>
    </row>
    <row r="465" ht="15.75" customHeight="1">
      <c r="A465" s="2">
        <v>1.0</v>
      </c>
      <c r="B465" s="2" t="s">
        <v>1411</v>
      </c>
      <c r="C465" s="2" t="s">
        <v>1412</v>
      </c>
      <c r="D465" s="2" t="s">
        <v>164</v>
      </c>
      <c r="E465" s="2" t="s">
        <v>43</v>
      </c>
      <c r="F465" s="2" t="s">
        <v>15</v>
      </c>
      <c r="G465" s="2" t="s">
        <v>1413</v>
      </c>
      <c r="H465" s="2" t="s">
        <v>1172</v>
      </c>
      <c r="I465" s="2" t="str">
        <f>IFERROR(__xludf.DUMMYFUNCTION("GOOGLETRANSLATE(C465,""fr"",""en"")"),"I recently received a letter from Cardif informing me that I was the beneficiary of a life insurance contract subscribed by a person who was not from my family but who took me a grandmother. It was a surprise because I had never been informed that this pe"&amp;"rson wanted to leave me ""something"" after his death. But a few days after my sending to the taxes of the partial succession declaration, I receive a second letter entitled ""Letter of apology"" where I learn that an error has slipped into the interpreta"&amp;"tion of the beneficiary clause ""and that I am actually ""not beneficiary"". From Cardif leads me by boat (telephone, mail) and take refuge behind the requirement of confidentiality to which they are held to refuse me all written proof of what they are ad"&amp;"vancing.
The advisers I have been able to have on the phone give different information, sometimes contradictory, even evidence of the dysfunctions of their business. As for letters, two different contract numbers are there for the same holder, which once"&amp;" again demonstrates the lack of seriousness in the processing of files and the editorial staff.
You will understand that I find properly scandalous than a life insurer whose main usefulness is to advise their customers on the writing of the beneficiary c"&amp;"lause can make such a coarse mistake: what we see everywhere (specialized articles, forums of lawyers, forums Individuals, etc.), as soon as you learn a little bit about life insurance, it is that the beneficiary clause is what is most important in a cont"&amp;"ract. And there, I come across Cardif BNP Paribas, young insurers without experience (!), Who let errors slip into the interpretation of a beneficiary clause. The worst part is that now the tax service does not understand anything either: there are more b"&amp;"eneficiaries who have declared themselves than a share on this contract. In any case, if they have been able to make a mistake once and inaccuracies on the contract numbers, I do not see why there would not yet be hidden errors in this magma: I will not l"&amp;"et go of this case without having had written evidence.
If one or other readers of this Forum Pow (in) advise me on the continuation of this case, I would be grateful (referral to the insurance mediator, prosecution in court to force cardif to clarify hi"&amp;"s saying, article in the chained duck and in the specialized press, information of the insurance regulatory authority, or at the same time?). Thank you in advance for your lights!
")</f>
        <v>I recently received a letter from Cardif informing me that I was the beneficiary of a life insurance contract subscribed by a person who was not from my family but who took me a grandmother. It was a surprise because I had never been informed that this person wanted to leave me "something" after his death. But a few days after my sending to the taxes of the partial succession declaration, I receive a second letter entitled "Letter of apology" where I learn that an error has slipped into the interpretation of the beneficiary clause "and that I am actually "not beneficiary". From Cardif leads me by boat (telephone, mail) and take refuge behind the requirement of confidentiality to which they are held to refuse me all written proof of what they are advancing.
The advisers I have been able to have on the phone give different information, sometimes contradictory, even evidence of the dysfunctions of their business. As for letters, two different contract numbers are there for the same holder, which once again demonstrates the lack of seriousness in the processing of files and the editorial staff.
You will understand that I find properly scandalous than a life insurer whose main usefulness is to advise their customers on the writing of the beneficiary clause can make such a coarse mistake: what we see everywhere (specialized articles, forums of lawyers, forums Individuals, etc.), as soon as you learn a little bit about life insurance, it is that the beneficiary clause is what is most important in a contract. And there, I come across Cardif BNP Paribas, young insurers without experience (!), Who let errors slip into the interpretation of a beneficiary clause. The worst part is that now the tax service does not understand anything either: there are more beneficiaries who have declared themselves than a share on this contract. In any case, if they have been able to make a mistake once and inaccuracies on the contract numbers, I do not see why there would not yet be hidden errors in this magma: I will not let go of this case without having had written evidence.
If one or other readers of this Forum Pow (in) advise me on the continuation of this case, I would be grateful (referral to the insurance mediator, prosecution in court to force cardif to clarify his saying, article in the chained duck and in the specialized press, information of the insurance regulatory authority, or at the same time?). Thank you in advance for your lights!
</v>
      </c>
    </row>
    <row r="466" ht="15.75" customHeight="1">
      <c r="A466" s="2">
        <v>1.0</v>
      </c>
      <c r="B466" s="2" t="s">
        <v>1414</v>
      </c>
      <c r="C466" s="2" t="s">
        <v>1415</v>
      </c>
      <c r="D466" s="2" t="s">
        <v>84</v>
      </c>
      <c r="E466" s="2" t="s">
        <v>104</v>
      </c>
      <c r="F466" s="2" t="s">
        <v>15</v>
      </c>
      <c r="G466" s="2" t="s">
        <v>1416</v>
      </c>
      <c r="H466" s="2" t="s">
        <v>173</v>
      </c>
      <c r="I466" s="2" t="str">
        <f>IFERROR(__xludf.DUMMYFUNCTION("GOOGLETRANSLATE(C466,""fr"",""en"")"),"Hello,
I will soon tell you on this site the inconvenience (to speak politely) caused by the maif.
I want other members (or former members) to do the same (here or on this email address cs.p@laposte.net).
It is a flight, and for 3 years they have been "&amp;"discarded.
The more concordant testimonies (on their methods) will be the more their bad faith will be a factual element (of their behavior).
Let's not forget that they dare: ""We have everything to trust each other. Maif: militant insurer.""
Thank you"&amp;".")</f>
        <v>Hello,
I will soon tell you on this site the inconvenience (to speak politely) caused by the maif.
I want other members (or former members) to do the same (here or on this email address cs.p@laposte.net).
It is a flight, and for 3 years they have been discarded.
The more concordant testimonies (on their methods) will be the more their bad faith will be a factual element (of their behavior).
Let's not forget that they dare: "We have everything to trust each other. Maif: militant insurer."
Thank you.</v>
      </c>
    </row>
    <row r="467" ht="15.75" customHeight="1">
      <c r="A467" s="2">
        <v>1.0</v>
      </c>
      <c r="B467" s="2" t="s">
        <v>1417</v>
      </c>
      <c r="C467" s="2" t="s">
        <v>1418</v>
      </c>
      <c r="D467" s="2" t="s">
        <v>57</v>
      </c>
      <c r="E467" s="2" t="s">
        <v>14</v>
      </c>
      <c r="F467" s="2" t="s">
        <v>15</v>
      </c>
      <c r="G467" s="2" t="s">
        <v>288</v>
      </c>
      <c r="H467" s="2" t="s">
        <v>218</v>
      </c>
      <c r="I467" s="2" t="str">
        <f>IFERROR(__xludf.DUMMYFUNCTION("GOOGLETRANSLATE(C467,""fr"",""en"")"),"I have subscribed to the olive tree since 4/05/2018 for a certain amount and two weeks later unpleasant surprises, I was told with a reasonable price I even take the special pack offer. After paying a deposit of 104 euros they ask me for the documents I s"&amp;"end and there !!!! The price changes the subscription goes from 28 to 35 euros per month only because I have not declared a non -responsible disaster for the secondary driver ??? Do they not specify if it should be responsible or not? it's not correct gen"&amp;"tlemen !!!!")</f>
        <v>I have subscribed to the olive tree since 4/05/2018 for a certain amount and two weeks later unpleasant surprises, I was told with a reasonable price I even take the special pack offer. After paying a deposit of 104 euros they ask me for the documents I send and there !!!! The price changes the subscription goes from 28 to 35 euros per month only because I have not declared a non -responsible disaster for the secondary driver ??? Do they not specify if it should be responsible or not? it's not correct gentlemen !!!!</v>
      </c>
    </row>
    <row r="468" ht="15.75" customHeight="1">
      <c r="A468" s="2">
        <v>1.0</v>
      </c>
      <c r="B468" s="2" t="s">
        <v>1419</v>
      </c>
      <c r="C468" s="2" t="s">
        <v>1420</v>
      </c>
      <c r="D468" s="2" t="s">
        <v>338</v>
      </c>
      <c r="E468" s="2" t="s">
        <v>14</v>
      </c>
      <c r="F468" s="2" t="s">
        <v>15</v>
      </c>
      <c r="G468" s="2" t="s">
        <v>1421</v>
      </c>
      <c r="H468" s="2" t="s">
        <v>353</v>
      </c>
      <c r="I468" s="2" t="str">
        <f>IFERROR(__xludf.DUMMYFUNCTION("GOOGLETRANSLATE(C468,""fr"",""en"")"),"I have never had so many difficulties with insurance. 164 euros paid by CB on 12/10/2019. Modification of the quote from their share for an increase of 12, 80 euros. I try to pay these 12.80 on the site but impossible. Many emails and no answer! Incompete"&amp;"nt customer service because do not know and declares that there are no managers that can respond and that the same customer service must be remembered (Dialogue de Dérord). Still no green card on the windshield! What do we play with you!? Not answering cu"&amp;"stomer questions is a lack of respect, so non -professional. My provisional certificate stops tomorrow 12/11/2019. What if I do if the police controls me!? Be careful we are not milk cows or victims. So either you send me this damn green card or you reimb"&amp;"urse me! For the moment I join the other comments. Insurance to flee absolutely. Because we can already imagine in the case of a disaster for example which could arise (how will the problem be treated ??? if already it starts badly for subscription !!)
M"&amp;"y file number is 418496!
P.S: Persons of the Customer Services also request your credit card number by phone with the 3 -digit code behind the CB. Given the seriousness of the care for my part I refused and I prefer not to communicate my complete CB info"&amp;"rmation, my banker agrees with me.")</f>
        <v>I have never had so many difficulties with insurance. 164 euros paid by CB on 12/10/2019. Modification of the quote from their share for an increase of 12, 80 euros. I try to pay these 12.80 on the site but impossible. Many emails and no answer! Incompetent customer service because do not know and declares that there are no managers that can respond and that the same customer service must be remembered (Dialogue de Dérord). Still no green card on the windshield! What do we play with you!? Not answering customer questions is a lack of respect, so non -professional. My provisional certificate stops tomorrow 12/11/2019. What if I do if the police controls me!? Be careful we are not milk cows or victims. So either you send me this damn green card or you reimburse me! For the moment I join the other comments. Insurance to flee absolutely. Because we can already imagine in the case of a disaster for example which could arise (how will the problem be treated ??? if already it starts badly for subscription !!)
My file number is 418496!
P.S: Persons of the Customer Services also request your credit card number by phone with the 3 -digit code behind the CB. Given the seriousness of the care for my part I refused and I prefer not to communicate my complete CB information, my banker agrees with me.</v>
      </c>
    </row>
    <row r="469" ht="15.75" customHeight="1">
      <c r="A469" s="2">
        <v>5.0</v>
      </c>
      <c r="B469" s="2" t="s">
        <v>1422</v>
      </c>
      <c r="C469" s="2" t="s">
        <v>1423</v>
      </c>
      <c r="D469" s="2" t="s">
        <v>26</v>
      </c>
      <c r="E469" s="2" t="s">
        <v>14</v>
      </c>
      <c r="F469" s="2" t="s">
        <v>15</v>
      </c>
      <c r="G469" s="2" t="s">
        <v>1424</v>
      </c>
      <c r="H469" s="2" t="s">
        <v>74</v>
      </c>
      <c r="I469" s="2" t="str">
        <f>IFERROR(__xludf.DUMMYFUNCTION("GOOGLETRANSLATE(C469,""fr"",""en"")"),"I am satisfied with their service
Interesting price and a lot of options
easy to contact
Nothing to report
Everything is ok, I recommend this insurance")</f>
        <v>I am satisfied with their service
Interesting price and a lot of options
easy to contact
Nothing to report
Everything is ok, I recommend this insurance</v>
      </c>
    </row>
    <row r="470" ht="15.75" customHeight="1">
      <c r="A470" s="2">
        <v>3.0</v>
      </c>
      <c r="B470" s="2" t="s">
        <v>1425</v>
      </c>
      <c r="C470" s="2" t="s">
        <v>1426</v>
      </c>
      <c r="D470" s="2" t="s">
        <v>262</v>
      </c>
      <c r="E470" s="2" t="s">
        <v>104</v>
      </c>
      <c r="F470" s="2" t="s">
        <v>15</v>
      </c>
      <c r="G470" s="2" t="s">
        <v>1427</v>
      </c>
      <c r="H470" s="2" t="s">
        <v>111</v>
      </c>
      <c r="I470" s="2" t="str">
        <f>IFERROR(__xludf.DUMMYFUNCTION("GOOGLETRANSLATE(C470,""fr"",""en"")"),"I underwent, a claim linked to my roof, and the boiler ownership responsible for the damage several experts are passing company Saretec incompetent my kitchen still not restarted I have assured at axa since 1990 first big sinister deupuis three years I li"&amp;"ve without cooking With plastic on the soles since 2018 its my valus a fall on the stairs I found myself in an emergency in other
I am seriously ill of the kidneys I am subject to a strict diet, I must cook myself because not the right to consume salt, I"&amp;" suffer from this situations donation I do not see the hunger of all this, I am angry with society Expert who figures to have the figure for the study how can we leave the insured in this situation
I hope that the Qualities Pain Breast Contact with me
S"&amp;" V P
Mrs. SK.")</f>
        <v>I underwent, a claim linked to my roof, and the boiler ownership responsible for the damage several experts are passing company Saretec incompetent my kitchen still not restarted I have assured at axa since 1990 first big sinister deupuis three years I live without cooking With plastic on the soles since 2018 its my valus a fall on the stairs I found myself in an emergency in other
I am seriously ill of the kidneys I am subject to a strict diet, I must cook myself because not the right to consume salt, I suffer from this situations donation I do not see the hunger of all this, I am angry with society Expert who figures to have the figure for the study how can we leave the insured in this situation
I hope that the Qualities Pain Breast Contact with me
S V P
Mrs. SK.</v>
      </c>
    </row>
    <row r="471" ht="15.75" customHeight="1">
      <c r="A471" s="2">
        <v>5.0</v>
      </c>
      <c r="B471" s="2" t="s">
        <v>1428</v>
      </c>
      <c r="C471" s="2" t="s">
        <v>1429</v>
      </c>
      <c r="D471" s="2" t="s">
        <v>26</v>
      </c>
      <c r="E471" s="2" t="s">
        <v>14</v>
      </c>
      <c r="F471" s="2" t="s">
        <v>15</v>
      </c>
      <c r="G471" s="2" t="s">
        <v>1430</v>
      </c>
      <c r="H471" s="2" t="s">
        <v>74</v>
      </c>
      <c r="I471" s="2" t="str">
        <f>IFERROR(__xludf.DUMMYFUNCTION("GOOGLETRANSLATE(C471,""fr"",""en"")"),"No problem . Excellent service.
Excellent care in the event of a claim.
Speed ​​of treatment.
Very effective online service.
Incomparable value for money.")</f>
        <v>No problem . Excellent service.
Excellent care in the event of a claim.
Speed ​​of treatment.
Very effective online service.
Incomparable value for money.</v>
      </c>
    </row>
    <row r="472" ht="15.75" customHeight="1">
      <c r="A472" s="2">
        <v>3.0</v>
      </c>
      <c r="B472" s="2" t="s">
        <v>1431</v>
      </c>
      <c r="C472" s="2" t="s">
        <v>1432</v>
      </c>
      <c r="D472" s="2" t="s">
        <v>103</v>
      </c>
      <c r="E472" s="2" t="s">
        <v>14</v>
      </c>
      <c r="F472" s="2" t="s">
        <v>15</v>
      </c>
      <c r="G472" s="2" t="s">
        <v>1433</v>
      </c>
      <c r="H472" s="2" t="s">
        <v>547</v>
      </c>
      <c r="I472" s="2" t="str">
        <f>IFERROR(__xludf.DUMMYFUNCTION("GOOGLETRANSLATE(C472,""fr"",""en"")"),"
Hello,
By browsing opinions on a forum, I was able to raise this email address and I took the opportunity to contact you.
I go through a situation for which I really need to be enlightened in order to understand what I describe as discrimination.
I"&amp;" wanted to add as an occasional driver to the contract of my vehicle my son who has just succeeded in his license.
So I called Macif on the phone to find out.
Everything was going well until the question of the one who was going to perform the most kilo"&amp;"meters.
I indicated that my son would use it on Friday, Saturday and Sunday to go to his workplace and that the week will use it.
I did not understand why suddenly the person refuses to validate my request.
A new attempt by phone yesterday morning with"&amp;" a hostess allows me to move forward and the prices are communicated to me.
Unfortunately, a computer bug prevents the seizure and Maude promises to remind me before his 1 p.m. break, or after in case the problem takes longer to be restored.
The hours g"&amp;"o by, I decide to go to the Pontcharra agency.
Madame Nathalie (I don't have her name) joins us in the waiting room and instead of ""Bonjour Monsieur Cane"" she looks at her watch and tells us that her next appointment is coming to come.
I briefly expla"&amp;"in the reason for my coming because of the computer problem.
She tells me not to be able to do anything for us because of similar problems.
I am surprised by the fact that customers have just left their office and that they stayed there for a long time "&amp;"during which computer seizures were made and printed documents, that other customers have been installed in the neighboring office from a moment and that it is clear that seizures are made.
My remarks seem to annoy this lady who insists on the fact of no"&amp;"t being able to do anything for us.
I leave the office and decide to call the Macif.
The hostess does not understand the reasons mentioned and decides to telephone the office and then tell me that she can do nothing more and invites me to return. (Time "&amp;"is turning)
So I wait again, which seems to disturb this lady who leaves her clients late for a moment to come and ask me why I am still there.
I explain, as I have been pointed out that it is nevertheless possible to take note of my physical passage at"&amp;" the office, to take note of my request which can take effect and confirmed upon the restoration of the situation.
""I'm fine, I'll receive you!""
What a welcome, barely my request exposed that I realize that it will be difficult for me to obtain the ex"&amp;"pected agreement to add my son as a secondary driver (occasional), apparently the same thing.
Worse, in the insistence of my misunderstanding, she notes the absence of the total points validated during the driving exam.
We point out to him that the prov"&amp;"isional permit was issued to us 15 days late due to an IT problem of the service, we propose to call the boss of the Auto School, which she hastens to do, but unfortunately On an answering machine.
Faced with so much contempt, I ask for the reasons for s"&amp;"uch a suspicious attitude, if it is personal.
There the invective fuse, it seems that I am someone who seeks to impose my rules on the Macif.
If there is one, it would be that of expecting the decency of a treatment corresponding to the charter displaye"&amp;"d in the premises.
1h30 later, my schedule turned upside down, I decide to go down to the Meylan office or I arrive around 4:15 p.m.
I will leave after closing the front door.
During my exchanges, always the same refusal, but for different opinions.
M"&amp;"y son work, he is no longer at my expense and in the clauses of the contract there are the explanations.
When I ask for information to help me understand:
""If we have to immerse ourselves in the papers we never stop!""
Being end I am about to give in "&amp;"to that my son is designated as a main driver, but when I indicate that he will take care of the payment of the contribution from his RIB, it is indicated to me that this does not is not useful since it will be on my contract.
I do not agree since if he "&amp;"must be assured main driver, at a high price, it is also he who will have to pay the subscription.
The opposite problem is that the delay for this change is a week!
I decide to think and make an appointment for the next day.
So today, between noon and "&amp;"two I learn from a hostess of the Macif, on the phone, that it is not true, that this change takes effect immediately.
You will understand, I hope, my disappointment and my confidence shaken.
I know many people, friends, with whom I maintained myself an"&amp;"d who take advantage of this possibility of integrating their children as a secondary driver (occasional).
Hard day of the 22nd where I made more than 240 km in total.
Today we went to the office of Fontaine, even more than 100 km to briefly exhibit the"&amp;" situation and make an appointment for this Friday.
I would add that this single vehicle (Peugeot 106 xnd 1.4, 4CV tax, 50CV DYN) is the only vehicle in use for our family.
The guarantees of the 2 motorhomes have been lowered at least due to their curre"&amp;"nt restoration, not being in a state of rolling.
I understand that there is a lot to read, but there was a lot to bear, that I can assure you.
My son witnessing this situation hardly wants to subscribe under these conditions, which is easily understood."&amp;"
I do not know your responsibilities, but I sincerely hope to be able to get out of this dead end which immerses me in the idea of ​​terminating everything that binds me to the Macif, contracts and bank, which I seek to avoid.
I am preparing to write "&amp;"a registered letter so that the reasons for this fierce opposition to me.
Am I relieving as a fraudster for insurance, bad payer ...?
Thank you for your kind attention and send you my sincere greetings.
Cordially,
Jean-Pierre Cane
")</f>
        <v>
Hello,
By browsing opinions on a forum, I was able to raise this email address and I took the opportunity to contact you.
I go through a situation for which I really need to be enlightened in order to understand what I describe as discrimination.
I wanted to add as an occasional driver to the contract of my vehicle my son who has just succeeded in his license.
So I called Macif on the phone to find out.
Everything was going well until the question of the one who was going to perform the most kilometers.
I indicated that my son would use it on Friday, Saturday and Sunday to go to his workplace and that the week will use it.
I did not understand why suddenly the person refuses to validate my request.
A new attempt by phone yesterday morning with a hostess allows me to move forward and the prices are communicated to me.
Unfortunately, a computer bug prevents the seizure and Maude promises to remind me before his 1 p.m. break, or after in case the problem takes longer to be restored.
The hours go by, I decide to go to the Pontcharra agency.
Madame Nathalie (I don't have her name) joins us in the waiting room and instead of "Bonjour Monsieur Cane" she looks at her watch and tells us that her next appointment is coming to come.
I briefly explain the reason for my coming because of the computer problem.
She tells me not to be able to do anything for us because of similar problems.
I am surprised by the fact that customers have just left their office and that they stayed there for a long time during which computer seizures were made and printed documents, that other customers have been installed in the neighboring office from a moment and that it is clear that seizures are made.
My remarks seem to annoy this lady who insists on the fact of not being able to do anything for us.
I leave the office and decide to call the Macif.
The hostess does not understand the reasons mentioned and decides to telephone the office and then tell me that she can do nothing more and invites me to return. (Time is turning)
So I wait again, which seems to disturb this lady who leaves her clients late for a moment to come and ask me why I am still there.
I explain, as I have been pointed out that it is nevertheless possible to take note of my physical passage at the office, to take note of my request which can take effect and confirmed upon the restoration of the situation.
"I'm fine, I'll receive you!"
What a welcome, barely my request exposed that I realize that it will be difficult for me to obtain the expected agreement to add my son as a secondary driver (occasional), apparently the same thing.
Worse, in the insistence of my misunderstanding, she notes the absence of the total points validated during the driving exam.
We point out to him that the provisional permit was issued to us 15 days late due to an IT problem of the service, we propose to call the boss of the Auto School, which she hastens to do, but unfortunately On an answering machine.
Faced with so much contempt, I ask for the reasons for such a suspicious attitude, if it is personal.
There the invective fuse, it seems that I am someone who seeks to impose my rules on the Macif.
If there is one, it would be that of expecting the decency of a treatment corresponding to the charter displayed in the premises.
1h30 later, my schedule turned upside down, I decide to go down to the Meylan office or I arrive around 4:15 p.m.
I will leave after closing the front door.
During my exchanges, always the same refusal, but for different opinions.
My son work, he is no longer at my expense and in the clauses of the contract there are the explanations.
When I ask for information to help me understand:
"If we have to immerse ourselves in the papers we never stop!"
Being end I am about to give in to that my son is designated as a main driver, but when I indicate that he will take care of the payment of the contribution from his RIB, it is indicated to me that this does not is not useful since it will be on my contract.
I do not agree since if he must be assured main driver, at a high price, it is also he who will have to pay the subscription.
The opposite problem is that the delay for this change is a week!
I decide to think and make an appointment for the next day.
So today, between noon and two I learn from a hostess of the Macif, on the phone, that it is not true, that this change takes effect immediately.
You will understand, I hope, my disappointment and my confidence shaken.
I know many people, friends, with whom I maintained myself and who take advantage of this possibility of integrating their children as a secondary driver (occasional).
Hard day of the 22nd where I made more than 240 km in total.
Today we went to the office of Fontaine, even more than 100 km to briefly exhibit the situation and make an appointment for this Friday.
I would add that this single vehicle (Peugeot 106 xnd 1.4, 4CV tax, 50CV DYN) is the only vehicle in use for our family.
The guarantees of the 2 motorhomes have been lowered at least due to their current restoration, not being in a state of rolling.
I understand that there is a lot to read, but there was a lot to bear, that I can assure you.
My son witnessing this situation hardly wants to subscribe under these conditions, which is easily understood.
I do not know your responsibilities, but I sincerely hope to be able to get out of this dead end which immerses me in the idea of ​​terminating everything that binds me to the Macif, contracts and bank, which I seek to avoid.
I am preparing to write a registered letter so that the reasons for this fierce opposition to me.
Am I relieving as a fraudster for insurance, bad payer ...?
Thank you for your kind attention and send you my sincere greetings.
Cordially,
Jean-Pierre Cane
</v>
      </c>
    </row>
    <row r="473" ht="15.75" customHeight="1">
      <c r="A473" s="2">
        <v>5.0</v>
      </c>
      <c r="B473" s="2" t="s">
        <v>1434</v>
      </c>
      <c r="C473" s="2" t="s">
        <v>1435</v>
      </c>
      <c r="D473" s="2" t="s">
        <v>26</v>
      </c>
      <c r="E473" s="2" t="s">
        <v>14</v>
      </c>
      <c r="F473" s="2" t="s">
        <v>15</v>
      </c>
      <c r="G473" s="2" t="s">
        <v>706</v>
      </c>
      <c r="H473" s="2" t="s">
        <v>185</v>
      </c>
      <c r="I473" s="2" t="str">
        <f>IFERROR(__xludf.DUMMYFUNCTION("GOOGLETRANSLATE(C473,""fr"",""en"")"),"Satisfied with the entire service. Interesting rate, competitive coverage, efficient customer relationship. Years of contract at Direct Insurance")</f>
        <v>Satisfied with the entire service. Interesting rate, competitive coverage, efficient customer relationship. Years of contract at Direct Insurance</v>
      </c>
    </row>
    <row r="474" ht="15.75" customHeight="1">
      <c r="A474" s="2">
        <v>2.0</v>
      </c>
      <c r="B474" s="2" t="s">
        <v>1436</v>
      </c>
      <c r="C474" s="2" t="s">
        <v>1437</v>
      </c>
      <c r="D474" s="2" t="s">
        <v>305</v>
      </c>
      <c r="E474" s="2" t="s">
        <v>38</v>
      </c>
      <c r="F474" s="2" t="s">
        <v>15</v>
      </c>
      <c r="G474" s="2" t="s">
        <v>1438</v>
      </c>
      <c r="H474" s="2" t="s">
        <v>74</v>
      </c>
      <c r="I474" s="2" t="str">
        <f>IFERROR(__xludf.DUMMYFUNCTION("GOOGLETRANSLATE(C474,""fr"",""en"")"),"Insurance that says insurance for bikers they terminated my contract, on the pretext that it no longer marketed this type of motorcycle. As if the fault was the motorcycle. Red card for this insurance")</f>
        <v>Insurance that says insurance for bikers they terminated my contract, on the pretext that it no longer marketed this type of motorcycle. As if the fault was the motorcycle. Red card for this insurance</v>
      </c>
    </row>
    <row r="475" ht="15.75" customHeight="1">
      <c r="A475" s="2">
        <v>4.0</v>
      </c>
      <c r="B475" s="2" t="s">
        <v>1439</v>
      </c>
      <c r="C475" s="2" t="s">
        <v>1440</v>
      </c>
      <c r="D475" s="2" t="s">
        <v>57</v>
      </c>
      <c r="E475" s="2" t="s">
        <v>14</v>
      </c>
      <c r="F475" s="2" t="s">
        <v>15</v>
      </c>
      <c r="G475" s="2" t="s">
        <v>1441</v>
      </c>
      <c r="H475" s="2" t="s">
        <v>140</v>
      </c>
      <c r="I475" s="2" t="str">
        <f>IFERROR(__xludf.DUMMYFUNCTION("GOOGLETRANSLATE(C475,""fr"",""en"")"),"Simple practical and reasonable in the prices charged.
The guarantees offered very correct.
The very fast contact in contact therefore all good apart from the imposed speech.")</f>
        <v>Simple practical and reasonable in the prices charged.
The guarantees offered very correct.
The very fast contact in contact therefore all good apart from the imposed speech.</v>
      </c>
    </row>
    <row r="476" ht="15.75" customHeight="1">
      <c r="A476" s="2">
        <v>2.0</v>
      </c>
      <c r="B476" s="2" t="s">
        <v>1442</v>
      </c>
      <c r="C476" s="2" t="s">
        <v>1443</v>
      </c>
      <c r="D476" s="2" t="s">
        <v>315</v>
      </c>
      <c r="E476" s="2" t="s">
        <v>14</v>
      </c>
      <c r="F476" s="2" t="s">
        <v>15</v>
      </c>
      <c r="G476" s="2" t="s">
        <v>1444</v>
      </c>
      <c r="H476" s="2" t="s">
        <v>194</v>
      </c>
      <c r="I476" s="2" t="str">
        <f>IFERROR(__xludf.DUMMYFUNCTION("GOOGLETRANSLATE(C476,""fr"",""en"")"),"Everything is perfect as long as nothing happens to you! Faithful customer for almost 15 years with a single disaster, I have no help from my insurer, worse, he drives you! Scandalous, run away!")</f>
        <v>Everything is perfect as long as nothing happens to you! Faithful customer for almost 15 years with a single disaster, I have no help from my insurer, worse, he drives you! Scandalous, run away!</v>
      </c>
    </row>
    <row r="477" ht="15.75" customHeight="1">
      <c r="A477" s="2">
        <v>1.0</v>
      </c>
      <c r="B477" s="2" t="s">
        <v>1445</v>
      </c>
      <c r="C477" s="2" t="s">
        <v>1446</v>
      </c>
      <c r="D477" s="2" t="s">
        <v>84</v>
      </c>
      <c r="E477" s="2" t="s">
        <v>14</v>
      </c>
      <c r="F477" s="2" t="s">
        <v>15</v>
      </c>
      <c r="G477" s="2" t="s">
        <v>1447</v>
      </c>
      <c r="H477" s="2" t="s">
        <v>347</v>
      </c>
      <c r="I477" s="2" t="str">
        <f>IFERROR(__xludf.DUMMYFUNCTION("GOOGLETRANSLATE(C477,""fr"",""en"")"),"Hello, I am not myself insured at the MAIF (and after my experience it is not likely to happen), but the few contacts I had with them is enough for me to make a very negative opinion.
It's very simple, my mother, insured in Maif for decades (teacher al"&amp;"l her life), died 6 months ago, in June to be precise.
Obviously we then point out his death to the MAIF, with sending the death certificate, and asking that his various contracts be maintained during the settlement of the succession and that the sums "&amp;"to be resolved to be addressed to us his children.
. At first, no answer, absolutely none. A month is going on, still no news until the day we find a letter in his mailbox, addressed to his name (while they have had a death certificate for a month) and"&amp;" reporting that the levy has been Rejected by his bank (normal the account is blocked, which is why we asked to settle the sums due ourselves) ....
Well, sending a second letter, accompanied by a second death certificate (all of course) ...
Again, abs"&amp;"olutely no response to our mail, nothing .... except a new letter, again addressed to his name, to his address (when they received a second death certificate and that we had asked for what The mails are sent to us!) Namely signaling the rejection of the d"&amp;"ebit of the bank, and this time a slightly more threatening tone, threats of formal notice, etc ...
I Fear on a third letter, this time much more virulent because the bowl of this lack of respect towards my deceased mother. And there as a miracle an an"&amp;"swer 4 months after they received the first death certificate, that our requests were going to be taken into account.
It took the sending of three death certificates and four months before they react, and of course no excuse on their part.
The peopl"&amp;"e responsible for opening letters at home can they read French ??? Do they throw the trays to the basket when they don't want to work?
 In short, anything, we were disgusted by this lack of consideration and respect for a deceased person.")</f>
        <v>Hello, I am not myself insured at the MAIF (and after my experience it is not likely to happen), but the few contacts I had with them is enough for me to make a very negative opinion.
It's very simple, my mother, insured in Maif for decades (teacher all her life), died 6 months ago, in June to be precise.
Obviously we then point out his death to the MAIF, with sending the death certificate, and asking that his various contracts be maintained during the settlement of the succession and that the sums to be resolved to be addressed to us his children.
. At first, no answer, absolutely none. A month is going on, still no news until the day we find a letter in his mailbox, addressed to his name (while they have had a death certificate for a month) and reporting that the levy has been Rejected by his bank (normal the account is blocked, which is why we asked to settle the sums due ourselves) ....
Well, sending a second letter, accompanied by a second death certificate (all of course) ...
Again, absolutely no response to our mail, nothing .... except a new letter, again addressed to his name, to his address (when they received a second death certificate and that we had asked for what The mails are sent to us!) Namely signaling the rejection of the debit of the bank, and this time a slightly more threatening tone, threats of formal notice, etc ...
I Fear on a third letter, this time much more virulent because the bowl of this lack of respect towards my deceased mother. And there as a miracle an answer 4 months after they received the first death certificate, that our requests were going to be taken into account.
It took the sending of three death certificates and four months before they react, and of course no excuse on their part.
The people responsible for opening letters at home can they read French ??? Do they throw the trays to the basket when they don't want to work?
 In short, anything, we were disgusted by this lack of consideration and respect for a deceased person.</v>
      </c>
    </row>
    <row r="478" ht="15.75" customHeight="1">
      <c r="A478" s="2">
        <v>5.0</v>
      </c>
      <c r="B478" s="2" t="s">
        <v>1448</v>
      </c>
      <c r="C478" s="2" t="s">
        <v>1449</v>
      </c>
      <c r="D478" s="2" t="s">
        <v>26</v>
      </c>
      <c r="E478" s="2" t="s">
        <v>14</v>
      </c>
      <c r="F478" s="2" t="s">
        <v>15</v>
      </c>
      <c r="G478" s="2" t="s">
        <v>644</v>
      </c>
      <c r="H478" s="2" t="s">
        <v>166</v>
      </c>
      <c r="I478" s="2" t="str">
        <f>IFERROR(__xludf.DUMMYFUNCTION("GOOGLETRANSLATE(C478,""fr"",""en"")"),"I am satisfied with the service offer by Direct Insurance. Relatively fast online quote. Attractive price according to the customer's need I recommend.")</f>
        <v>I am satisfied with the service offer by Direct Insurance. Relatively fast online quote. Attractive price according to the customer's need I recommend.</v>
      </c>
    </row>
    <row r="479" ht="15.75" customHeight="1">
      <c r="A479" s="2">
        <v>3.0</v>
      </c>
      <c r="B479" s="2" t="s">
        <v>1450</v>
      </c>
      <c r="C479" s="2" t="s">
        <v>1451</v>
      </c>
      <c r="D479" s="2" t="s">
        <v>338</v>
      </c>
      <c r="E479" s="2" t="s">
        <v>14</v>
      </c>
      <c r="F479" s="2" t="s">
        <v>15</v>
      </c>
      <c r="G479" s="2" t="s">
        <v>583</v>
      </c>
      <c r="H479" s="2" t="s">
        <v>583</v>
      </c>
      <c r="I479" s="2" t="str">
        <f>IFERROR(__xludf.DUMMYFUNCTION("GOOGLETRANSLATE(C479,""fr"",""en"")"),"Insured at home on January 15 and after paying 122 th for 4 months in advance and provides all the documents that have been validated and after calling to the surcharged number and sent several email I still have not received the green card")</f>
        <v>Insured at home on January 15 and after paying 122 th for 4 months in advance and provides all the documents that have been validated and after calling to the surcharged number and sent several email I still have not received the green card</v>
      </c>
    </row>
    <row r="480" ht="15.75" customHeight="1">
      <c r="A480" s="2">
        <v>4.0</v>
      </c>
      <c r="B480" s="2" t="s">
        <v>1452</v>
      </c>
      <c r="C480" s="2" t="s">
        <v>1453</v>
      </c>
      <c r="D480" s="2" t="s">
        <v>26</v>
      </c>
      <c r="E480" s="2" t="s">
        <v>14</v>
      </c>
      <c r="F480" s="2" t="s">
        <v>15</v>
      </c>
      <c r="G480" s="2" t="s">
        <v>1454</v>
      </c>
      <c r="H480" s="2" t="s">
        <v>34</v>
      </c>
      <c r="I480" s="2" t="str">
        <f>IFERROR(__xludf.DUMMYFUNCTION("GOOGLETRANSLATE(C480,""fr"",""en"")"),"I am satisfied with the way in which the contract was proposed to me in writing and then explained by oral.
The price level is competitive.
I have no opinion, obviously, on the way the claims are treated and I hope I never have it.")</f>
        <v>I am satisfied with the way in which the contract was proposed to me in writing and then explained by oral.
The price level is competitive.
I have no opinion, obviously, on the way the claims are treated and I hope I never have it.</v>
      </c>
    </row>
    <row r="481" ht="15.75" customHeight="1">
      <c r="A481" s="2">
        <v>4.0</v>
      </c>
      <c r="B481" s="2" t="s">
        <v>1455</v>
      </c>
      <c r="C481" s="2" t="s">
        <v>1456</v>
      </c>
      <c r="D481" s="2" t="s">
        <v>57</v>
      </c>
      <c r="E481" s="2" t="s">
        <v>14</v>
      </c>
      <c r="F481" s="2" t="s">
        <v>15</v>
      </c>
      <c r="G481" s="2" t="s">
        <v>1457</v>
      </c>
      <c r="H481" s="2" t="s">
        <v>34</v>
      </c>
      <c r="I481" s="2" t="str">
        <f>IFERROR(__xludf.DUMMYFUNCTION("GOOGLETRANSLATE(C481,""fr"",""en"")"),"The Multitontrate offer is nice but it could be envisaged another management of this offer (allow the other driver to take out his own contract and issue the SEPA mandate to his name).")</f>
        <v>The Multitontrate offer is nice but it could be envisaged another management of this offer (allow the other driver to take out his own contract and issue the SEPA mandate to his name).</v>
      </c>
    </row>
    <row r="482" ht="15.75" customHeight="1">
      <c r="A482" s="2">
        <v>5.0</v>
      </c>
      <c r="B482" s="2" t="s">
        <v>1458</v>
      </c>
      <c r="C482" s="2" t="s">
        <v>1459</v>
      </c>
      <c r="D482" s="2" t="s">
        <v>26</v>
      </c>
      <c r="E482" s="2" t="s">
        <v>14</v>
      </c>
      <c r="F482" s="2" t="s">
        <v>15</v>
      </c>
      <c r="G482" s="2" t="s">
        <v>1460</v>
      </c>
      <c r="H482" s="2" t="s">
        <v>28</v>
      </c>
      <c r="I482" s="2" t="str">
        <f>IFERROR(__xludf.DUMMYFUNCTION("GOOGLETRANSLATE(C482,""fr"",""en"")"),"I am satisfied to ensure my C5 car with optional driver -breeze guarantee everything is included with a reasonable price seen from value for money
thank you direct insurance cordially")</f>
        <v>I am satisfied to ensure my C5 car with optional driver -breeze guarantee everything is included with a reasonable price seen from value for money
thank you direct insurance cordially</v>
      </c>
    </row>
    <row r="483" ht="15.75" customHeight="1">
      <c r="A483" s="2">
        <v>3.0</v>
      </c>
      <c r="B483" s="2" t="s">
        <v>1461</v>
      </c>
      <c r="C483" s="2" t="s">
        <v>1462</v>
      </c>
      <c r="D483" s="2" t="s">
        <v>53</v>
      </c>
      <c r="E483" s="2" t="s">
        <v>14</v>
      </c>
      <c r="F483" s="2" t="s">
        <v>15</v>
      </c>
      <c r="G483" s="2" t="s">
        <v>464</v>
      </c>
      <c r="H483" s="2" t="s">
        <v>54</v>
      </c>
      <c r="I483" s="2" t="str">
        <f>IFERROR(__xludf.DUMMYFUNCTION("GOOGLETRANSLATE(C483,""fr"",""en"")"),"I still find the price of all risks quite expensive even after 10 years of seniority without claims. The advisers on the other hand are pleasant, except of course when in agency, that of Verdun (55) in this case, the advisor puts a ""friend"" customer in "&amp;"front of other customers! It is not very redpectious.")</f>
        <v>I still find the price of all risks quite expensive even after 10 years of seniority without claims. The advisers on the other hand are pleasant, except of course when in agency, that of Verdun (55) in this case, the advisor puts a "friend" customer in front of other customers! It is not very redpectious.</v>
      </c>
    </row>
    <row r="484" ht="15.75" customHeight="1">
      <c r="A484" s="2">
        <v>1.0</v>
      </c>
      <c r="B484" s="2" t="s">
        <v>1463</v>
      </c>
      <c r="C484" s="2" t="s">
        <v>1464</v>
      </c>
      <c r="D484" s="2" t="s">
        <v>388</v>
      </c>
      <c r="E484" s="2" t="s">
        <v>38</v>
      </c>
      <c r="F484" s="2" t="s">
        <v>15</v>
      </c>
      <c r="G484" s="2" t="s">
        <v>1465</v>
      </c>
      <c r="H484" s="2" t="s">
        <v>161</v>
      </c>
      <c r="I484" s="2" t="str">
        <f>IFERROR(__xludf.DUMMYFUNCTION("GOOGLETRANSLATE(C484,""fr"",""en"")"),"Very disappointed with this insurance, a band of usurpers. The prices announced during the quote are revised upwards during the contract. Personals on the arrogant phone and which takes you high.")</f>
        <v>Very disappointed with this insurance, a band of usurpers. The prices announced during the quote are revised upwards during the contract. Personals on the arrogant phone and which takes you high.</v>
      </c>
    </row>
    <row r="485" ht="15.75" customHeight="1">
      <c r="A485" s="2">
        <v>3.0</v>
      </c>
      <c r="B485" s="2" t="s">
        <v>1466</v>
      </c>
      <c r="C485" s="2" t="s">
        <v>1467</v>
      </c>
      <c r="D485" s="2" t="s">
        <v>26</v>
      </c>
      <c r="E485" s="2" t="s">
        <v>14</v>
      </c>
      <c r="F485" s="2" t="s">
        <v>15</v>
      </c>
      <c r="G485" s="2" t="s">
        <v>1251</v>
      </c>
      <c r="H485" s="2" t="s">
        <v>28</v>
      </c>
      <c r="I485" s="2" t="str">
        <f>IFERROR(__xludf.DUMMYFUNCTION("GOOGLETRANSLATE(C485,""fr"",""en"")"),"This suits me regarding the proposed prices and the speed of subscription online.
Everything is well explained and clear. I recommend this insurance with my entourage.")</f>
        <v>This suits me regarding the proposed prices and the speed of subscription online.
Everything is well explained and clear. I recommend this insurance with my entourage.</v>
      </c>
    </row>
    <row r="486" ht="15.75" customHeight="1">
      <c r="A486" s="2">
        <v>5.0</v>
      </c>
      <c r="B486" s="2" t="s">
        <v>1468</v>
      </c>
      <c r="C486" s="2" t="s">
        <v>1469</v>
      </c>
      <c r="D486" s="2" t="s">
        <v>57</v>
      </c>
      <c r="E486" s="2" t="s">
        <v>14</v>
      </c>
      <c r="F486" s="2" t="s">
        <v>15</v>
      </c>
      <c r="G486" s="2" t="s">
        <v>263</v>
      </c>
      <c r="H486" s="2" t="s">
        <v>81</v>
      </c>
      <c r="I486" s="2" t="str">
        <f>IFERROR(__xludf.DUMMYFUNCTION("GOOGLETRANSLATE(C486,""fr"",""en"")"),"I am satisfied with my interlocutors, very friendly and listening to the customer
I recommend Olivier Insurance all perfect
thank you so much
M SPARD")</f>
        <v>I am satisfied with my interlocutors, very friendly and listening to the customer
I recommend Olivier Insurance all perfect
thank you so much
M SPARD</v>
      </c>
    </row>
    <row r="487" ht="15.75" customHeight="1">
      <c r="A487" s="2">
        <v>5.0</v>
      </c>
      <c r="B487" s="2" t="s">
        <v>1470</v>
      </c>
      <c r="C487" s="2" t="s">
        <v>1471</v>
      </c>
      <c r="D487" s="2" t="s">
        <v>26</v>
      </c>
      <c r="E487" s="2" t="s">
        <v>14</v>
      </c>
      <c r="F487" s="2" t="s">
        <v>15</v>
      </c>
      <c r="G487" s="2" t="s">
        <v>1056</v>
      </c>
      <c r="H487" s="2" t="s">
        <v>122</v>
      </c>
      <c r="I487" s="2" t="str">
        <f>IFERROR(__xludf.DUMMYFUNCTION("GOOGLETRANSLATE(C487,""fr"",""en"")"),"Very easy to use very fast and chat advisers are at the top, I recommend direct insurance to my loved ones closed, we have been insured for several years")</f>
        <v>Very easy to use very fast and chat advisers are at the top, I recommend direct insurance to my loved ones closed, we have been insured for several years</v>
      </c>
    </row>
    <row r="488" ht="15.75" customHeight="1">
      <c r="A488" s="2">
        <v>1.0</v>
      </c>
      <c r="B488" s="2" t="s">
        <v>1472</v>
      </c>
      <c r="C488" s="2" t="s">
        <v>1473</v>
      </c>
      <c r="D488" s="2" t="s">
        <v>84</v>
      </c>
      <c r="E488" s="2" t="s">
        <v>104</v>
      </c>
      <c r="F488" s="2" t="s">
        <v>15</v>
      </c>
      <c r="G488" s="2" t="s">
        <v>1474</v>
      </c>
      <c r="H488" s="2" t="s">
        <v>23</v>
      </c>
      <c r="I488" s="2" t="str">
        <f>IFERROR(__xludf.DUMMYFUNCTION("GOOGLETRANSLATE(C488,""fr"",""en"")"),"They make new with old people, this is the case to say it with their system and archaic website in addition they are 1.5 times more expensive than their competitors.
When we moved, they took our new address into account but they did not update the postal"&amp;" address.
When they receive a registered mail termination request, the latter is ignored and the direct debit continues to be taken and when the bank account was closed then they send recommended letters to the old address where we no longer reside and t"&amp;"hen Bout of a year they contact us not by electronic message (not expensive enough or not eco degrading) but by message on the vocal box accompanied by a notice of formal notice. I strongly advise against Maif, to flee!")</f>
        <v>They make new with old people, this is the case to say it with their system and archaic website in addition they are 1.5 times more expensive than their competitors.
When we moved, they took our new address into account but they did not update the postal address.
When they receive a registered mail termination request, the latter is ignored and the direct debit continues to be taken and when the bank account was closed then they send recommended letters to the old address where we no longer reside and then Bout of a year they contact us not by electronic message (not expensive enough or not eco degrading) but by message on the vocal box accompanied by a notice of formal notice. I strongly advise against Maif, to flee!</v>
      </c>
    </row>
    <row r="489" ht="15.75" customHeight="1">
      <c r="A489" s="2">
        <v>1.0</v>
      </c>
      <c r="B489" s="2" t="s">
        <v>1475</v>
      </c>
      <c r="C489" s="2" t="s">
        <v>1476</v>
      </c>
      <c r="D489" s="2" t="s">
        <v>571</v>
      </c>
      <c r="E489" s="2" t="s">
        <v>21</v>
      </c>
      <c r="F489" s="2" t="s">
        <v>15</v>
      </c>
      <c r="G489" s="2" t="s">
        <v>1477</v>
      </c>
      <c r="H489" s="2" t="s">
        <v>90</v>
      </c>
      <c r="I489" s="2" t="str">
        <f>IFERROR(__xludf.DUMMYFUNCTION("GOOGLETRANSLATE(C489,""fr"",""en"")"),"no one reimburses fantoma new member since April 1, 2021 I have hate to be on the anniversary date to be able to terminate my contract for this mutual.")</f>
        <v>no one reimburses fantoma new member since April 1, 2021 I have hate to be on the anniversary date to be able to terminate my contract for this mutual.</v>
      </c>
    </row>
    <row r="490" ht="15.75" customHeight="1">
      <c r="A490" s="2">
        <v>2.0</v>
      </c>
      <c r="B490" s="2" t="s">
        <v>1478</v>
      </c>
      <c r="C490" s="2" t="s">
        <v>1479</v>
      </c>
      <c r="D490" s="2" t="s">
        <v>69</v>
      </c>
      <c r="E490" s="2" t="s">
        <v>21</v>
      </c>
      <c r="F490" s="2" t="s">
        <v>15</v>
      </c>
      <c r="G490" s="2" t="s">
        <v>1480</v>
      </c>
      <c r="H490" s="2" t="s">
        <v>122</v>
      </c>
      <c r="I490" s="2" t="str">
        <f>IFERROR(__xludf.DUMMYFUNCTION("GOOGLETRANSLATE(C490,""fr"",""en"")"),"I do not recommend.
Problem with Amelie. They are not able to solve the problem.
No contact with the advisor.
Once you have taken their mutual, it wash your hands.
Very disappointed. I will change without any qualms.
Too bad because the advisor was v"&amp;"ery kind to selling her mutual. Since nothing.
")</f>
        <v>I do not recommend.
Problem with Amelie. They are not able to solve the problem.
No contact with the advisor.
Once you have taken their mutual, it wash your hands.
Very disappointed. I will change without any qualms.
Too bad because the advisor was very kind to selling her mutual. Since nothing.
</v>
      </c>
    </row>
    <row r="491" ht="15.75" customHeight="1">
      <c r="A491" s="2">
        <v>1.0</v>
      </c>
      <c r="B491" s="2" t="s">
        <v>1481</v>
      </c>
      <c r="C491" s="2" t="s">
        <v>1482</v>
      </c>
      <c r="D491" s="2" t="s">
        <v>84</v>
      </c>
      <c r="E491" s="2" t="s">
        <v>14</v>
      </c>
      <c r="F491" s="2" t="s">
        <v>15</v>
      </c>
      <c r="G491" s="2" t="s">
        <v>1483</v>
      </c>
      <c r="H491" s="2" t="s">
        <v>214</v>
      </c>
      <c r="I491" s="2" t="str">
        <f>IFERROR(__xludf.DUMMYFUNCTION("GOOGLETRANSLATE(C491,""fr"",""en"")"),"I went to L.Maif de Villeurbanne at the end of July 2 times and each time the manager was more careful about his son (information gives by the young man to the reception) than people annoyed in the waiting room. A nursery? What a lack of professionalism f"&amp;"rom the MAIF and this answer that believes itself above all. I wouldn't put my feet anymore.")</f>
        <v>I went to L.Maif de Villeurbanne at the end of July 2 times and each time the manager was more careful about his son (information gives by the young man to the reception) than people annoyed in the waiting room. A nursery? What a lack of professionalism from the MAIF and this answer that believes itself above all. I wouldn't put my feet anymore.</v>
      </c>
    </row>
    <row r="492" ht="15.75" customHeight="1">
      <c r="A492" s="2">
        <v>5.0</v>
      </c>
      <c r="B492" s="2" t="s">
        <v>1484</v>
      </c>
      <c r="C492" s="2" t="s">
        <v>1485</v>
      </c>
      <c r="D492" s="2" t="s">
        <v>26</v>
      </c>
      <c r="E492" s="2" t="s">
        <v>14</v>
      </c>
      <c r="F492" s="2" t="s">
        <v>15</v>
      </c>
      <c r="G492" s="2" t="s">
        <v>276</v>
      </c>
      <c r="H492" s="2" t="s">
        <v>81</v>
      </c>
      <c r="I492" s="2" t="str">
        <f>IFERROR(__xludf.DUMMYFUNCTION("GOOGLETRANSLATE(C492,""fr"",""en"")"),"The suitable price and speed of the service very simple to use
I would recommend direct insurance I am very satisfied with speed and price")</f>
        <v>The suitable price and speed of the service very simple to use
I would recommend direct insurance I am very satisfied with speed and price</v>
      </c>
    </row>
    <row r="493" ht="15.75" customHeight="1">
      <c r="A493" s="2">
        <v>2.0</v>
      </c>
      <c r="B493" s="2" t="s">
        <v>1486</v>
      </c>
      <c r="C493" s="2" t="s">
        <v>1487</v>
      </c>
      <c r="D493" s="2" t="s">
        <v>103</v>
      </c>
      <c r="E493" s="2" t="s">
        <v>104</v>
      </c>
      <c r="F493" s="2" t="s">
        <v>15</v>
      </c>
      <c r="G493" s="2" t="s">
        <v>1488</v>
      </c>
      <c r="H493" s="2" t="s">
        <v>149</v>
      </c>
      <c r="I493" s="2" t="str">
        <f>IFERROR(__xludf.DUMMYFUNCTION("GOOGLETRANSLATE(C493,""fr"",""en"")"),"I have been a Macif customer for 47 years I find that the telephone service is degraded, the hostesses are no longer at the service of the customer.")</f>
        <v>I have been a Macif customer for 47 years I find that the telephone service is degraded, the hostesses are no longer at the service of the customer.</v>
      </c>
    </row>
    <row r="494" ht="15.75" customHeight="1">
      <c r="A494" s="2">
        <v>5.0</v>
      </c>
      <c r="B494" s="2" t="s">
        <v>1489</v>
      </c>
      <c r="C494" s="2" t="s">
        <v>1490</v>
      </c>
      <c r="D494" s="2" t="s">
        <v>57</v>
      </c>
      <c r="E494" s="2" t="s">
        <v>14</v>
      </c>
      <c r="F494" s="2" t="s">
        <v>15</v>
      </c>
      <c r="G494" s="2" t="s">
        <v>1491</v>
      </c>
      <c r="H494" s="2" t="s">
        <v>63</v>
      </c>
      <c r="I494" s="2" t="str">
        <f>IFERROR(__xludf.DUMMYFUNCTION("GOOGLETRANSLATE(C494,""fr"",""en"")"),"Really nickel insurance, well explained by the advisor, speed to process ours requests, easy to make, and attractive price, really to recommend !!")</f>
        <v>Really nickel insurance, well explained by the advisor, speed to process ours requests, easy to make, and attractive price, really to recommend !!</v>
      </c>
    </row>
    <row r="495" ht="15.75" customHeight="1">
      <c r="A495" s="2">
        <v>1.0</v>
      </c>
      <c r="B495" s="2" t="s">
        <v>1492</v>
      </c>
      <c r="C495" s="2" t="s">
        <v>1493</v>
      </c>
      <c r="D495" s="2" t="s">
        <v>211</v>
      </c>
      <c r="E495" s="2" t="s">
        <v>212</v>
      </c>
      <c r="F495" s="2" t="s">
        <v>15</v>
      </c>
      <c r="G495" s="2" t="s">
        <v>778</v>
      </c>
      <c r="H495" s="2" t="s">
        <v>90</v>
      </c>
      <c r="I495" s="2" t="str">
        <f>IFERROR(__xludf.DUMMYFUNCTION("GOOGLETRANSLATE(C495,""fr"",""en"")"),"It takes you by phone, you sell the dream but it is not! Run away !!
I have been paying insurance for my dog ​​for 3 years at 350 € per year. My dog ​​is diagnosed for life treatment. I will have to pay 130 € per month this treatment without counting thi"&amp;"s visit at 350 €. Having ""insurance"" I tell myself that it's okay. But their only answers ""pathology outside contract"" and ""I invite you to read your contract""!
I am very unhappy with this insurance. It turns out that my mother has her mutual at ho"&amp;"me is the same story !!
And of course hell to terminate!")</f>
        <v>It takes you by phone, you sell the dream but it is not! Run away !!
I have been paying insurance for my dog ​​for 3 years at 350 € per year. My dog ​​is diagnosed for life treatment. I will have to pay 130 € per month this treatment without counting this visit at 350 €. Having "insurance" I tell myself that it's okay. But their only answers "pathology outside contract" and "I invite you to read your contract"!
I am very unhappy with this insurance. It turns out that my mother has her mutual at home is the same story !!
And of course hell to terminate!</v>
      </c>
    </row>
    <row r="496" ht="15.75" customHeight="1">
      <c r="A496" s="2">
        <v>2.0</v>
      </c>
      <c r="B496" s="2" t="s">
        <v>1494</v>
      </c>
      <c r="C496" s="2" t="s">
        <v>1495</v>
      </c>
      <c r="D496" s="2" t="s">
        <v>84</v>
      </c>
      <c r="E496" s="2" t="s">
        <v>14</v>
      </c>
      <c r="F496" s="2" t="s">
        <v>15</v>
      </c>
      <c r="G496" s="2" t="s">
        <v>1496</v>
      </c>
      <c r="H496" s="2" t="s">
        <v>214</v>
      </c>
      <c r="I496" s="2" t="str">
        <f>IFERROR(__xludf.DUMMYFUNCTION("GOOGLETRANSLATE(C496,""fr"",""en"")"),"Hello everyone,
I have been a maif member for 10 years I was happy with Maif until the day you unfortunately use one of their contract (in my case of car accident assured all risks bonus 0.50).
For assistance very good care but after for the rest a "&amp;"disaster.
MAIF does not respect its members by not indicating all the subtleties when you do not walk in their direction.
I explain to you I wanted to do my repairs in the garage or I bought my vehicle -2 years worth € 25,000.
Until we are told n"&amp;"othing we answer you ok because the echoes of the multi -brands garages are bad because they change you repairing parts, not very cheap, to choose prefer to have repaired in a garage of the brand of Your car because they will order original parts of cours"&amp;"e they are more expensive but better suited and electronic level they are aware of your vehicle and settings to be made.
In short my vehicle is taken to my garage or I bought it it is taken care of quickly waiting for expertise until it is OK.
I see w"&amp;"ith the garage to have a courtesy vehicle while waiting for repairs, it does not have available for a week ...
Well I go back to Maif and that's where they put a big carrot for you !!!!
Are you asking you first if your vehicle is immobilized in an a"&amp;"pproved garage?
No, it's that we are answered well we are sorry but we can do nothing despite you took the loan vehicle option in the event of a breakdown or an accident.
The only thing the MAIF offers me is to take care of a car rental up to 30 € /"&amp;" day over 7 days no more or more € 210.
A traditional rental company is minimum € 30 per day + 40 € insurance per day or 70 € per day.
In all 490 € to be well covered! Either 280 € of your pocket ... Ah yes I forgot to specify you had to make you get "&amp;"in touch with the rental company advancing the costs or 490 € good it starts to do a lot at once.
You are supposedly repaying within 15 days on invoice.
In short, my setbacks do not stop there not having been with a garage approved by the maif I have "&amp;"to make an advance in repair costs or 3500 € still an entouroupe.
If I had agreed to have my vehicle repaired in an approved Muti Brand -end garage Ben there I would not have had repair costs and the maif take care of finding me a rental company by not"&amp;" leaving a penny From my pocket!
As said I paid rental and repairs and I am waiting for reimbursement more than 3 weeks or € 4000.
I phone Maif and I am told that because of the health crisis a delay period that can be observed and that we will plac"&amp;"e your urgency to reimburse you.
In short, a bad experience because for paid for 9 years it is fine but when it comes to needing one of their service well there they are in absent subscriber !!
I prefer to see elsewhere a real assurance because it i"&amp;"s useless your so -called green advertising eco -ect.
A friend had to call the maif also a year ago but she is much worse than me because she agreed to have her vehicle repaired -6 months value 35000 € replacement of door ect .. she was satisfied at Depa"&amp;"rture of the care but it is reported that it is not a new door but beautiful and a door recover from another wreckage vehicle I suppose.
A serious shame is from that moment that I should have left you.
In any case currently I changed insurance I am "&amp;"at the GMF and it is much and more as a civil servant I have advantages as a discount.
The error that I did not make is to question my GMF advisor on all cases of figures do not hesitate! They are there for that.
Results I pay cheaper not much of my"&amp;" insurance but with better care in the event of an accident.
You have the choice of your garage we do not impose their approved garage and above all it takes care of everything to find a replacement vehicle in the event of a breakdown or an accident!
"&amp;"We don't give you abandonment as Maif does it!
On the other hand if you choose to have repaired with an unknown garage, you will still be asked for the advance of the costs.
But as the garages say are often accommodating because of one you have chosen"&amp;" them and 2nd we do not have € 5000 to go out suddenly.
I'm happy to have left Maif !!!")</f>
        <v>Hello everyone,
I have been a maif member for 10 years I was happy with Maif until the day you unfortunately use one of their contract (in my case of car accident assured all risks bonus 0.50).
For assistance very good care but after for the rest a disaster.
MAIF does not respect its members by not indicating all the subtleties when you do not walk in their direction.
I explain to you I wanted to do my repairs in the garage or I bought my vehicle -2 years worth € 25,000.
Until we are told nothing we answer you ok because the echoes of the multi -brands garages are bad because they change you repairing parts, not very cheap, to choose prefer to have repaired in a garage of the brand of Your car because they will order original parts of course they are more expensive but better suited and electronic level they are aware of your vehicle and settings to be made.
In short my vehicle is taken to my garage or I bought it it is taken care of quickly waiting for expertise until it is OK.
I see with the garage to have a courtesy vehicle while waiting for repairs, it does not have available for a week ...
Well I go back to Maif and that's where they put a big carrot for you !!!!
Are you asking you first if your vehicle is immobilized in an approved garage?
No, it's that we are answered well we are sorry but we can do nothing despite you took the loan vehicle option in the event of a breakdown or an accident.
The only thing the MAIF offers me is to take care of a car rental up to 30 € / day over 7 days no more or more € 210.
A traditional rental company is minimum € 30 per day + 40 € insurance per day or 70 € per day.
In all 490 € to be well covered! Either 280 € of your pocket ... Ah yes I forgot to specify you had to make you get in touch with the rental company advancing the costs or 490 € good it starts to do a lot at once.
You are supposedly repaying within 15 days on invoice.
In short, my setbacks do not stop there not having been with a garage approved by the maif I have to make an advance in repair costs or 3500 € still an entouroupe.
If I had agreed to have my vehicle repaired in an approved Muti Brand -end garage Ben there I would not have had repair costs and the maif take care of finding me a rental company by not leaving a penny From my pocket!
As said I paid rental and repairs and I am waiting for reimbursement more than 3 weeks or € 4000.
I phone Maif and I am told that because of the health crisis a delay period that can be observed and that we will place your urgency to reimburse you.
In short, a bad experience because for paid for 9 years it is fine but when it comes to needing one of their service well there they are in absent subscriber !!
I prefer to see elsewhere a real assurance because it is useless your so -called green advertising eco -ect.
A friend had to call the maif also a year ago but she is much worse than me because she agreed to have her vehicle repaired -6 months value 35000 € replacement of door ect .. she was satisfied at Departure of the care but it is reported that it is not a new door but beautiful and a door recover from another wreckage vehicle I suppose.
A serious shame is from that moment that I should have left you.
In any case currently I changed insurance I am at the GMF and it is much and more as a civil servant I have advantages as a discount.
The error that I did not make is to question my GMF advisor on all cases of figures do not hesitate! They are there for that.
Results I pay cheaper not much of my insurance but with better care in the event of an accident.
You have the choice of your garage we do not impose their approved garage and above all it takes care of everything to find a replacement vehicle in the event of a breakdown or an accident!
We don't give you abandonment as Maif does it!
On the other hand if you choose to have repaired with an unknown garage, you will still be asked for the advance of the costs.
But as the garages say are often accommodating because of one you have chosen them and 2nd we do not have € 5000 to go out suddenly.
I'm happy to have left Maif !!!</v>
      </c>
    </row>
    <row r="497" ht="15.75" customHeight="1">
      <c r="A497" s="2">
        <v>2.0</v>
      </c>
      <c r="B497" s="2" t="s">
        <v>1497</v>
      </c>
      <c r="C497" s="2" t="s">
        <v>1498</v>
      </c>
      <c r="D497" s="2" t="s">
        <v>48</v>
      </c>
      <c r="E497" s="2" t="s">
        <v>21</v>
      </c>
      <c r="F497" s="2" t="s">
        <v>15</v>
      </c>
      <c r="G497" s="2" t="s">
        <v>1293</v>
      </c>
      <c r="H497" s="2" t="s">
        <v>81</v>
      </c>
      <c r="I497" s="2" t="str">
        <f>IFERROR(__xludf.DUMMYFUNCTION("GOOGLETRANSLATE(C497,""fr"",""en"")"),"Funny attention to insurance that only proposes and impose other additional insurance
Forget about beating to cancel
as soon as I can change
This morning it came across a nice advice Daouda
But I would change on the 1st occasion
You have to wait unti"&amp;"l reimbursement to see")</f>
        <v>Funny attention to insurance that only proposes and impose other additional insurance
Forget about beating to cancel
as soon as I can change
This morning it came across a nice advice Daouda
But I would change on the 1st occasion
You have to wait until reimbursement to see</v>
      </c>
    </row>
    <row r="498" ht="15.75" customHeight="1">
      <c r="A498" s="2">
        <v>4.0</v>
      </c>
      <c r="B498" s="2" t="s">
        <v>1499</v>
      </c>
      <c r="C498" s="2" t="s">
        <v>1500</v>
      </c>
      <c r="D498" s="2" t="s">
        <v>305</v>
      </c>
      <c r="E498" s="2" t="s">
        <v>38</v>
      </c>
      <c r="F498" s="2" t="s">
        <v>15</v>
      </c>
      <c r="G498" s="2" t="s">
        <v>339</v>
      </c>
      <c r="H498" s="2" t="s">
        <v>28</v>
      </c>
      <c r="I498" s="2" t="str">
        <f>IFERROR(__xludf.DUMMYFUNCTION("GOOGLETRANSLATE(C498,""fr"",""en"")"),"Satisfactory, fast and clear service. Simple explanation. Secure and immediate payment. Hoping that all this over time. And have the opportunity to speak to someone.")</f>
        <v>Satisfactory, fast and clear service. Simple explanation. Secure and immediate payment. Hoping that all this over time. And have the opportunity to speak to someone.</v>
      </c>
    </row>
    <row r="499" ht="15.75" customHeight="1">
      <c r="A499" s="2">
        <v>1.0</v>
      </c>
      <c r="B499" s="2" t="s">
        <v>1501</v>
      </c>
      <c r="C499" s="2" t="s">
        <v>1502</v>
      </c>
      <c r="D499" s="2" t="s">
        <v>57</v>
      </c>
      <c r="E499" s="2" t="s">
        <v>14</v>
      </c>
      <c r="F499" s="2" t="s">
        <v>15</v>
      </c>
      <c r="G499" s="2" t="s">
        <v>1056</v>
      </c>
      <c r="H499" s="2" t="s">
        <v>122</v>
      </c>
      <c r="I499" s="2" t="str">
        <f>IFERROR(__xludf.DUMMYFUNCTION("GOOGLETRANSLATE(C499,""fr"",""en"")"),"RUN AWAY!
Formerly insured with Société Générale, a claim arrived in January 2021 with a driver who was on his phone and deflected on my track by tearing me away my rear view mirror. I was declared 100% not responsible
Here in March 2021 I change my i"&amp;"nsurance I go to the Olivier Insurance. Basic price in the 45 euros, now I receive an email telling myself that I would have an increase of 115 euros / year from the claim that occurred in January 2021. I call them, I tell them that I was not responsible "&amp;"And we don't want to hear anything because despite the fact that I could not avoid the driver, it still impacts my profile! Is this a joke?!?!
This kind of accident can happen to everyone! Ashamed ! Have an increase of 115 euros when I was in no way re"&amp;"sponsible! Arnarch! I realize and I will give you a nice advertisement near my entourage! You will hear about me!
")</f>
        <v>RUN AWAY!
Formerly insured with Société Générale, a claim arrived in January 2021 with a driver who was on his phone and deflected on my track by tearing me away my rear view mirror. I was declared 100% not responsible
Here in March 2021 I change my insurance I go to the Olivier Insurance. Basic price in the 45 euros, now I receive an email telling myself that I would have an increase of 115 euros / year from the claim that occurred in January 2021. I call them, I tell them that I was not responsible And we don't want to hear anything because despite the fact that I could not avoid the driver, it still impacts my profile! Is this a joke?!?!
This kind of accident can happen to everyone! Ashamed ! Have an increase of 115 euros when I was in no way responsible! Arnarch! I realize and I will give you a nice advertisement near my entourage! You will hear about me!
</v>
      </c>
    </row>
    <row r="500" ht="15.75" customHeight="1">
      <c r="A500" s="2">
        <v>1.0</v>
      </c>
      <c r="B500" s="2" t="s">
        <v>1503</v>
      </c>
      <c r="C500" s="2" t="s">
        <v>1504</v>
      </c>
      <c r="D500" s="2" t="s">
        <v>305</v>
      </c>
      <c r="E500" s="2" t="s">
        <v>38</v>
      </c>
      <c r="F500" s="2" t="s">
        <v>15</v>
      </c>
      <c r="G500" s="2" t="s">
        <v>1505</v>
      </c>
      <c r="H500" s="2" t="s">
        <v>741</v>
      </c>
      <c r="I500" s="2" t="str">
        <f>IFERROR(__xludf.DUMMYFUNCTION("GOOGLETRANSLATE(C500,""fr"",""en"")"),"Doubtful practices which consist in sending several contracts to sign in a few days to hide price change ... inadmissible and so easy to exploit the electronic signature to pass almost invisible change on a smartphone screen size ...")</f>
        <v>Doubtful practices which consist in sending several contracts to sign in a few days to hide price change ... inadmissible and so easy to exploit the electronic signature to pass almost invisible change on a smartphone screen size ...</v>
      </c>
    </row>
    <row r="501" ht="15.75" customHeight="1">
      <c r="A501" s="2">
        <v>5.0</v>
      </c>
      <c r="B501" s="2" t="s">
        <v>1506</v>
      </c>
      <c r="C501" s="2" t="s">
        <v>1507</v>
      </c>
      <c r="D501" s="2" t="s">
        <v>57</v>
      </c>
      <c r="E501" s="2" t="s">
        <v>14</v>
      </c>
      <c r="F501" s="2" t="s">
        <v>15</v>
      </c>
      <c r="G501" s="2" t="s">
        <v>697</v>
      </c>
      <c r="H501" s="2" t="s">
        <v>81</v>
      </c>
      <c r="I501" s="2" t="str">
        <f>IFERROR(__xludf.DUMMYFUNCTION("GOOGLETRANSLATE(C501,""fr"",""en"")"),"Good insurance for vehicles. I recommend around me. Very good value for money. To be known more. And to share. Just I can't connect")</f>
        <v>Good insurance for vehicles. I recommend around me. Very good value for money. To be known more. And to share. Just I can't connect</v>
      </c>
    </row>
    <row r="502" ht="15.75" customHeight="1">
      <c r="A502" s="2">
        <v>5.0</v>
      </c>
      <c r="B502" s="2" t="s">
        <v>1508</v>
      </c>
      <c r="C502" s="2" t="s">
        <v>1509</v>
      </c>
      <c r="D502" s="2" t="s">
        <v>57</v>
      </c>
      <c r="E502" s="2" t="s">
        <v>14</v>
      </c>
      <c r="F502" s="2" t="s">
        <v>15</v>
      </c>
      <c r="G502" s="2" t="s">
        <v>808</v>
      </c>
      <c r="H502" s="2" t="s">
        <v>34</v>
      </c>
      <c r="I502" s="2" t="str">
        <f>IFERROR(__xludf.DUMMYFUNCTION("GOOGLETRANSLATE(C502,""fr"",""en"")"),"Nikel unbeatable price and quality service I recommend. Quick management, a lot of insurance should do the same, and friendly staff and compete")</f>
        <v>Nikel unbeatable price and quality service I recommend. Quick management, a lot of insurance should do the same, and friendly staff and compete</v>
      </c>
    </row>
    <row r="503" ht="15.75" customHeight="1">
      <c r="A503" s="2">
        <v>1.0</v>
      </c>
      <c r="B503" s="2" t="s">
        <v>1510</v>
      </c>
      <c r="C503" s="2" t="s">
        <v>1511</v>
      </c>
      <c r="D503" s="2" t="s">
        <v>13</v>
      </c>
      <c r="E503" s="2" t="s">
        <v>104</v>
      </c>
      <c r="F503" s="2" t="s">
        <v>15</v>
      </c>
      <c r="G503" s="2" t="s">
        <v>655</v>
      </c>
      <c r="H503" s="2" t="s">
        <v>185</v>
      </c>
      <c r="I503" s="2" t="str">
        <f>IFERROR(__xludf.DUMMYFUNCTION("GOOGLETRANSLATE(C503,""fr"",""en"")"),"I was at the MAAF where I had a very good service. Following the purchase of my apartment I had to go to Pacifica (loan condition). My return: to flee !!!
I pay insurance but they do nothing, I have been damage to the waters for 5 months and they are not"&amp;" able to intervene, I relaunch by email, by phone, impossible to have someone and when I arrive To have the so-called ""responsible for my file"" she does not remember anything, has nothing, she is completely lost.
")</f>
        <v>I was at the MAAF where I had a very good service. Following the purchase of my apartment I had to go to Pacifica (loan condition). My return: to flee !!!
I pay insurance but they do nothing, I have been damage to the waters for 5 months and they are not able to intervene, I relaunch by email, by phone, impossible to have someone and when I arrive To have the so-called "responsible for my file" she does not remember anything, has nothing, she is completely lost.
</v>
      </c>
    </row>
    <row r="504" ht="15.75" customHeight="1">
      <c r="A504" s="2">
        <v>2.0</v>
      </c>
      <c r="B504" s="2" t="s">
        <v>1512</v>
      </c>
      <c r="C504" s="2" t="s">
        <v>1513</v>
      </c>
      <c r="D504" s="2" t="s">
        <v>13</v>
      </c>
      <c r="E504" s="2" t="s">
        <v>14</v>
      </c>
      <c r="F504" s="2" t="s">
        <v>15</v>
      </c>
      <c r="G504" s="2" t="s">
        <v>488</v>
      </c>
      <c r="H504" s="2" t="s">
        <v>185</v>
      </c>
      <c r="I504" s="2" t="str">
        <f>IFERROR(__xludf.DUMMYFUNCTION("GOOGLETRANSLATE(C504,""fr"",""en"")"),"Watch out for this insurance I am a farmer I am assured at home. In the event of a very poorly supported claim I plan to change. I have a sinister with a tractor It was threw wreck but insurance reimburses me that € 2500 while the machine at 2 years good "&amp;"insurance to take your insurance but bad insurance for reimbursement")</f>
        <v>Watch out for this insurance I am a farmer I am assured at home. In the event of a very poorly supported claim I plan to change. I have a sinister with a tractor It was threw wreck but insurance reimburses me that € 2500 while the machine at 2 years good insurance to take your insurance but bad insurance for reimbursement</v>
      </c>
    </row>
    <row r="505" ht="15.75" customHeight="1">
      <c r="A505" s="2">
        <v>2.0</v>
      </c>
      <c r="B505" s="2" t="s">
        <v>1514</v>
      </c>
      <c r="C505" s="2" t="s">
        <v>1515</v>
      </c>
      <c r="D505" s="2" t="s">
        <v>84</v>
      </c>
      <c r="E505" s="2" t="s">
        <v>14</v>
      </c>
      <c r="F505" s="2" t="s">
        <v>15</v>
      </c>
      <c r="G505" s="2" t="s">
        <v>1516</v>
      </c>
      <c r="H505" s="2" t="s">
        <v>583</v>
      </c>
      <c r="I505" s="2" t="str">
        <f>IFERROR(__xludf.DUMMYFUNCTION("GOOGLETRANSLATE(C505,""fr"",""en"")"),"More and more and less militant insurance")</f>
        <v>More and more and less militant insurance</v>
      </c>
    </row>
    <row r="506" ht="15.75" customHeight="1">
      <c r="A506" s="2">
        <v>2.0</v>
      </c>
      <c r="B506" s="2" t="s">
        <v>1517</v>
      </c>
      <c r="C506" s="2" t="s">
        <v>1518</v>
      </c>
      <c r="D506" s="2" t="s">
        <v>188</v>
      </c>
      <c r="E506" s="2" t="s">
        <v>14</v>
      </c>
      <c r="F506" s="2" t="s">
        <v>15</v>
      </c>
      <c r="G506" s="2" t="s">
        <v>1519</v>
      </c>
      <c r="H506" s="2" t="s">
        <v>106</v>
      </c>
      <c r="I506" s="2" t="str">
        <f>IFERROR(__xludf.DUMMYFUNCTION("GOOGLETRANSLATE(C506,""fr"",""en"")"),"Years that I pay insurance (car, house and mutual) never an accident (but never a reduction) now I am forced a 50/50 to increase my monthly payments.
(Without reimbursement of course)
")</f>
        <v>Years that I pay insurance (car, house and mutual) never an accident (but never a reduction) now I am forced a 50/50 to increase my monthly payments.
(Without reimbursement of course)
</v>
      </c>
    </row>
    <row r="507" ht="15.75" customHeight="1">
      <c r="A507" s="2">
        <v>1.0</v>
      </c>
      <c r="B507" s="2" t="s">
        <v>1520</v>
      </c>
      <c r="C507" s="2" t="s">
        <v>1521</v>
      </c>
      <c r="D507" s="2" t="s">
        <v>996</v>
      </c>
      <c r="E507" s="2" t="s">
        <v>43</v>
      </c>
      <c r="F507" s="2" t="s">
        <v>15</v>
      </c>
      <c r="G507" s="2" t="s">
        <v>562</v>
      </c>
      <c r="H507" s="2" t="s">
        <v>136</v>
      </c>
      <c r="I507" s="2" t="str">
        <f>IFERROR(__xludf.DUMMYFUNCTION("GOOGLETRANSLATE(C507,""fr"",""en"")"),"AFER at the next AG S approaches to have a resolution to increase the management fees of 0.35 pts on the main funds in account whose outstanding is around 9 billion euros. This represents a puncture of 30 million euros on our savings. The maneuver is part"&amp;"icularly hypocritical because the measure is presented as an improvement in the contract by balances a reduction in entry fees and the abolition of arbitration costs. The entry fees generated around 270,000 euros in 2018 for the association, i.e. less tha"&amp;"n 1 percent of the future puncture. Arbitration fees being capped at 50 euros per arbitration and the first of the year being free should not bring much in the year.")</f>
        <v>AFER at the next AG S approaches to have a resolution to increase the management fees of 0.35 pts on the main funds in account whose outstanding is around 9 billion euros. This represents a puncture of 30 million euros on our savings. The maneuver is particularly hypocritical because the measure is presented as an improvement in the contract by balances a reduction in entry fees and the abolition of arbitration costs. The entry fees generated around 270,000 euros in 2018 for the association, i.e. less than 1 percent of the future puncture. Arbitration fees being capped at 50 euros per arbitration and the first of the year being free should not bring much in the year.</v>
      </c>
    </row>
    <row r="508" ht="15.75" customHeight="1">
      <c r="A508" s="2">
        <v>3.0</v>
      </c>
      <c r="B508" s="2" t="s">
        <v>1522</v>
      </c>
      <c r="C508" s="2" t="s">
        <v>1523</v>
      </c>
      <c r="D508" s="2" t="s">
        <v>57</v>
      </c>
      <c r="E508" s="2" t="s">
        <v>14</v>
      </c>
      <c r="F508" s="2" t="s">
        <v>15</v>
      </c>
      <c r="G508" s="2" t="s">
        <v>1524</v>
      </c>
      <c r="H508" s="2" t="s">
        <v>74</v>
      </c>
      <c r="I508" s="2" t="str">
        <f>IFERROR(__xludf.DUMMYFUNCTION("GOOGLETRANSLATE(C508,""fr"",""en"")"),"I just made sure so I can't testify yet. Beware of distorted monthly payments by an initial overpriced payment adding several hundred euros a year.")</f>
        <v>I just made sure so I can't testify yet. Beware of distorted monthly payments by an initial overpriced payment adding several hundred euros a year.</v>
      </c>
    </row>
    <row r="509" ht="15.75" customHeight="1">
      <c r="A509" s="2">
        <v>1.0</v>
      </c>
      <c r="B509" s="2" t="s">
        <v>1525</v>
      </c>
      <c r="C509" s="2" t="s">
        <v>1526</v>
      </c>
      <c r="D509" s="2" t="s">
        <v>26</v>
      </c>
      <c r="E509" s="2" t="s">
        <v>14</v>
      </c>
      <c r="F509" s="2" t="s">
        <v>15</v>
      </c>
      <c r="G509" s="2" t="s">
        <v>1527</v>
      </c>
      <c r="H509" s="2" t="s">
        <v>34</v>
      </c>
      <c r="I509" s="2" t="str">
        <f>IFERROR(__xludf.DUMMYFUNCTION("GOOGLETRANSLATE(C509,""fr"",""en"")"),"It’s a long time lost but kindly and politely that I denounce your abusive actions. If 2 “non-responsible” claims, including an ice cream, in 3 years, are your reason for the termination of my car insurance contract, only invincible people will soon benef"&amp;"it from your help to lighten their wallets. Supporting your customers and listening to them does not concern you, however, finish them you know how to do it.")</f>
        <v>It’s a long time lost but kindly and politely that I denounce your abusive actions. If 2 “non-responsible” claims, including an ice cream, in 3 years, are your reason for the termination of my car insurance contract, only invincible people will soon benefit from your help to lighten their wallets. Supporting your customers and listening to them does not concern you, however, finish them you know how to do it.</v>
      </c>
    </row>
    <row r="510" ht="15.75" customHeight="1">
      <c r="A510" s="2">
        <v>1.0</v>
      </c>
      <c r="B510" s="2" t="s">
        <v>1528</v>
      </c>
      <c r="C510" s="2" t="s">
        <v>1529</v>
      </c>
      <c r="D510" s="2" t="s">
        <v>103</v>
      </c>
      <c r="E510" s="2" t="s">
        <v>104</v>
      </c>
      <c r="F510" s="2" t="s">
        <v>15</v>
      </c>
      <c r="G510" s="2" t="s">
        <v>1530</v>
      </c>
      <c r="H510" s="2" t="s">
        <v>390</v>
      </c>
      <c r="I510" s="2" t="str">
        <f>IFERROR(__xludf.DUMMYFUNCTION("GOOGLETRANSLATE(C510,""fr"",""en"")"),"35 minutes of waiting on the phone, that's very often. Televisions that give contradictory opinions.")</f>
        <v>35 minutes of waiting on the phone, that's very often. Televisions that give contradictory opinions.</v>
      </c>
    </row>
    <row r="511" ht="15.75" customHeight="1">
      <c r="A511" s="2">
        <v>1.0</v>
      </c>
      <c r="B511" s="2" t="s">
        <v>1531</v>
      </c>
      <c r="C511" s="2" t="s">
        <v>1532</v>
      </c>
      <c r="D511" s="2" t="s">
        <v>181</v>
      </c>
      <c r="E511" s="2" t="s">
        <v>32</v>
      </c>
      <c r="F511" s="2" t="s">
        <v>15</v>
      </c>
      <c r="G511" s="2" t="s">
        <v>1533</v>
      </c>
      <c r="H511" s="2" t="s">
        <v>1255</v>
      </c>
      <c r="I511" s="2" t="str">
        <f>IFERROR(__xludf.DUMMYFUNCTION("GOOGLETRANSLATE(C511,""fr"",""en"")"),"To flee this makes it possible to judge your state of health at a distance when I have just passed before the doctor's doctor who judges my state in the incapacity for work and they have not united me for 2 months to ask me constantly Paper that I provide"&amp;" them and still nothing of them I wait another 1 week after I will see with a legal service I will not take the lead I already have enough concern like that.")</f>
        <v>To flee this makes it possible to judge your state of health at a distance when I have just passed before the doctor's doctor who judges my state in the incapacity for work and they have not united me for 2 months to ask me constantly Paper that I provide them and still nothing of them I wait another 1 week after I will see with a legal service I will not take the lead I already have enough concern like that.</v>
      </c>
    </row>
    <row r="512" ht="15.75" customHeight="1">
      <c r="A512" s="2">
        <v>1.0</v>
      </c>
      <c r="B512" s="2" t="s">
        <v>1534</v>
      </c>
      <c r="C512" s="2" t="s">
        <v>1535</v>
      </c>
      <c r="D512" s="2" t="s">
        <v>410</v>
      </c>
      <c r="E512" s="2" t="s">
        <v>104</v>
      </c>
      <c r="F512" s="2" t="s">
        <v>15</v>
      </c>
      <c r="G512" s="2" t="s">
        <v>1536</v>
      </c>
      <c r="H512" s="2" t="s">
        <v>86</v>
      </c>
      <c r="I512" s="2" t="str">
        <f>IFERROR(__xludf.DUMMYFUNCTION("GOOGLETRANSLATE(C512,""fr"",""en"")"),"to flee !!!! Not serious, no follow -up or respect
Do not subscribe to them")</f>
        <v>to flee !!!! Not serious, no follow -up or respect
Do not subscribe to them</v>
      </c>
    </row>
    <row r="513" ht="15.75" customHeight="1">
      <c r="A513" s="2">
        <v>2.0</v>
      </c>
      <c r="B513" s="2" t="s">
        <v>1537</v>
      </c>
      <c r="C513" s="2" t="s">
        <v>1538</v>
      </c>
      <c r="D513" s="2" t="s">
        <v>996</v>
      </c>
      <c r="E513" s="2" t="s">
        <v>43</v>
      </c>
      <c r="F513" s="2" t="s">
        <v>15</v>
      </c>
      <c r="G513" s="2" t="s">
        <v>1539</v>
      </c>
      <c r="H513" s="2" t="s">
        <v>166</v>
      </c>
      <c r="I513" s="2" t="str">
        <f>IFERROR(__xludf.DUMMYFUNCTION("GOOGLETRANSLATE(C513,""fr"",""en"")"),"My father has died for 5 weeks. AFER was informed almost immediately. No news not even a waiting letter. This targets confidence; I will not transfer the funds on AFER because it is difficult to recover the funds. It was indicated to me following my reque"&amp;"st possibly in August, personnel problem, liquidity ?? incomprehensible")</f>
        <v>My father has died for 5 weeks. AFER was informed almost immediately. No news not even a waiting letter. This targets confidence; I will not transfer the funds on AFER because it is difficult to recover the funds. It was indicated to me following my request possibly in August, personnel problem, liquidity ?? incomprehensible</v>
      </c>
    </row>
    <row r="514" ht="15.75" customHeight="1">
      <c r="A514" s="2">
        <v>4.0</v>
      </c>
      <c r="B514" s="2" t="s">
        <v>1540</v>
      </c>
      <c r="C514" s="2" t="s">
        <v>1541</v>
      </c>
      <c r="D514" s="2" t="s">
        <v>57</v>
      </c>
      <c r="E514" s="2" t="s">
        <v>14</v>
      </c>
      <c r="F514" s="2" t="s">
        <v>15</v>
      </c>
      <c r="G514" s="2" t="s">
        <v>485</v>
      </c>
      <c r="H514" s="2" t="s">
        <v>122</v>
      </c>
      <c r="I514" s="2" t="str">
        <f>IFERROR(__xludf.DUMMYFUNCTION("GOOGLETRANSLATE(C514,""fr"",""en"")"),"Simple and practical, fast of access. The prices are correct. The site is clear, easy to understand, to sign. I think I made the right choice, by choosing the Olivier Insurance.")</f>
        <v>Simple and practical, fast of access. The prices are correct. The site is clear, easy to understand, to sign. I think I made the right choice, by choosing the Olivier Insurance.</v>
      </c>
    </row>
    <row r="515" ht="15.75" customHeight="1">
      <c r="A515" s="2">
        <v>4.0</v>
      </c>
      <c r="B515" s="2" t="s">
        <v>1542</v>
      </c>
      <c r="C515" s="2" t="s">
        <v>1543</v>
      </c>
      <c r="D515" s="2" t="s">
        <v>57</v>
      </c>
      <c r="E515" s="2" t="s">
        <v>14</v>
      </c>
      <c r="F515" s="2" t="s">
        <v>15</v>
      </c>
      <c r="G515" s="2" t="s">
        <v>1544</v>
      </c>
      <c r="H515" s="2" t="s">
        <v>28</v>
      </c>
      <c r="I515" s="2" t="str">
        <f>IFERROR(__xludf.DUMMYFUNCTION("GOOGLETRANSLATE(C515,""fr"",""en"")"),"Customer service in France attentive.
Good service overall with interesting price.
Too bad that certain options do not exist (refund price to new)")</f>
        <v>Customer service in France attentive.
Good service overall with interesting price.
Too bad that certain options do not exist (refund price to new)</v>
      </c>
    </row>
    <row r="516" ht="15.75" customHeight="1">
      <c r="A516" s="2">
        <v>4.0</v>
      </c>
      <c r="B516" s="2" t="s">
        <v>1545</v>
      </c>
      <c r="C516" s="2" t="s">
        <v>1546</v>
      </c>
      <c r="D516" s="2" t="s">
        <v>188</v>
      </c>
      <c r="E516" s="2" t="s">
        <v>14</v>
      </c>
      <c r="F516" s="2" t="s">
        <v>15</v>
      </c>
      <c r="G516" s="2" t="s">
        <v>1547</v>
      </c>
      <c r="H516" s="2" t="s">
        <v>818</v>
      </c>
      <c r="I516" s="2" t="str">
        <f>IFERROR(__xludf.DUMMYFUNCTION("GOOGLETRANSLATE(C516,""fr"",""en"")"),"Customer for 36 years")</f>
        <v>Customer for 36 years</v>
      </c>
    </row>
    <row r="517" ht="15.75" customHeight="1">
      <c r="A517" s="2">
        <v>2.0</v>
      </c>
      <c r="B517" s="2" t="s">
        <v>1548</v>
      </c>
      <c r="C517" s="2" t="s">
        <v>1549</v>
      </c>
      <c r="D517" s="2" t="s">
        <v>103</v>
      </c>
      <c r="E517" s="2" t="s">
        <v>14</v>
      </c>
      <c r="F517" s="2" t="s">
        <v>15</v>
      </c>
      <c r="G517" s="2" t="s">
        <v>1550</v>
      </c>
      <c r="H517" s="2" t="s">
        <v>583</v>
      </c>
      <c r="I517" s="2" t="str">
        <f>IFERROR(__xludf.DUMMYFUNCTION("GOOGLETRANSLATE(C517,""fr"",""en"")"),"At the Macif since 2010, a few months ago, a very old BMW vehicle and in very poor condition stuck to the lacquered black back shield on my recent audi A3 which caused scratches. I took a picture of the vehicle from several angles and transmitted to the M"&amp;"acif with my declaration of claim. In a first step everything was fine, appointment with an approved garage with an expert not friendly and very authoritarian. This expert did everything to underestimate the damage. 2 to 3 months later I received a letter"&amp;" from the Macif which refused to take care of my damage because the manager disputed the facts despite the photos and a witness who could not be retained because it was transported in my vehicle. In the end, a lot of lost time and above all a trip for exp"&amp;"ertise for nothing. The Macif is no longer what it was.")</f>
        <v>At the Macif since 2010, a few months ago, a very old BMW vehicle and in very poor condition stuck to the lacquered black back shield on my recent audi A3 which caused scratches. I took a picture of the vehicle from several angles and transmitted to the Macif with my declaration of claim. In a first step everything was fine, appointment with an approved garage with an expert not friendly and very authoritarian. This expert did everything to underestimate the damage. 2 to 3 months later I received a letter from the Macif which refused to take care of my damage because the manager disputed the facts despite the photos and a witness who could not be retained because it was transported in my vehicle. In the end, a lot of lost time and above all a trip for expertise for nothing. The Macif is no longer what it was.</v>
      </c>
    </row>
    <row r="518" ht="15.75" customHeight="1">
      <c r="A518" s="2">
        <v>5.0</v>
      </c>
      <c r="B518" s="2" t="s">
        <v>1551</v>
      </c>
      <c r="C518" s="2" t="s">
        <v>1552</v>
      </c>
      <c r="D518" s="2" t="s">
        <v>152</v>
      </c>
      <c r="E518" s="2" t="s">
        <v>21</v>
      </c>
      <c r="F518" s="2" t="s">
        <v>15</v>
      </c>
      <c r="G518" s="2" t="s">
        <v>1553</v>
      </c>
      <c r="H518" s="2" t="s">
        <v>145</v>
      </c>
      <c r="I518" s="2" t="str">
        <f>IFERROR(__xludf.DUMMYFUNCTION("GOOGLETRANSLATE(C518,""fr"",""en"")"),"I am very satisfied with the services offered by my MGP mutual.
In illness for 18 months, I have no repayment problem for the additional salary, which allows me to live comfortably.
I thus avoid the double punishment that a serious illness can cause whe"&amp;"n it is associated with financial problems.")</f>
        <v>I am very satisfied with the services offered by my MGP mutual.
In illness for 18 months, I have no repayment problem for the additional salary, which allows me to live comfortably.
I thus avoid the double punishment that a serious illness can cause when it is associated with financial problems.</v>
      </c>
    </row>
    <row r="519" ht="15.75" customHeight="1">
      <c r="A519" s="2">
        <v>4.0</v>
      </c>
      <c r="B519" s="2" t="s">
        <v>1554</v>
      </c>
      <c r="C519" s="2" t="s">
        <v>1555</v>
      </c>
      <c r="D519" s="2" t="s">
        <v>26</v>
      </c>
      <c r="E519" s="2" t="s">
        <v>14</v>
      </c>
      <c r="F519" s="2" t="s">
        <v>15</v>
      </c>
      <c r="G519" s="2" t="s">
        <v>1324</v>
      </c>
      <c r="H519" s="2" t="s">
        <v>34</v>
      </c>
      <c r="I519" s="2" t="str">
        <f>IFERROR(__xludf.DUMMYFUNCTION("GOOGLETRANSLATE(C519,""fr"",""en"")"),"I am satisfied with the services and I find the website intuitive and friendly. No additional observations, good continuations in your service offer")</f>
        <v>I am satisfied with the services and I find the website intuitive and friendly. No additional observations, good continuations in your service offer</v>
      </c>
    </row>
    <row r="520" ht="15.75" customHeight="1">
      <c r="A520" s="2">
        <v>1.0</v>
      </c>
      <c r="B520" s="2" t="s">
        <v>1556</v>
      </c>
      <c r="C520" s="2" t="s">
        <v>1557</v>
      </c>
      <c r="D520" s="2" t="s">
        <v>26</v>
      </c>
      <c r="E520" s="2" t="s">
        <v>14</v>
      </c>
      <c r="F520" s="2" t="s">
        <v>15</v>
      </c>
      <c r="G520" s="2" t="s">
        <v>1558</v>
      </c>
      <c r="H520" s="2" t="s">
        <v>583</v>
      </c>
      <c r="I520" s="2" t="str">
        <f>IFERROR(__xludf.DUMMYFUNCTION("GOOGLETRANSLATE(C520,""fr"",""en"")"),"Avoid this insurance, take a contract in this insurance that if you are sure you never need them")</f>
        <v>Avoid this insurance, take a contract in this insurance that if you are sure you never need them</v>
      </c>
    </row>
    <row r="521" ht="15.75" customHeight="1">
      <c r="A521" s="2">
        <v>5.0</v>
      </c>
      <c r="B521" s="2" t="s">
        <v>1559</v>
      </c>
      <c r="C521" s="2" t="s">
        <v>1560</v>
      </c>
      <c r="D521" s="2" t="s">
        <v>26</v>
      </c>
      <c r="E521" s="2" t="s">
        <v>14</v>
      </c>
      <c r="F521" s="2" t="s">
        <v>15</v>
      </c>
      <c r="G521" s="2" t="s">
        <v>614</v>
      </c>
      <c r="H521" s="2" t="s">
        <v>90</v>
      </c>
      <c r="I521" s="2" t="str">
        <f>IFERROR(__xludf.DUMMYFUNCTION("GOOGLETRANSLATE(C521,""fr"",""en"")"),"Nothing to say that it is in terms of price, level of guarantees, kindness of reception, the simplicity of declarations.
What perfect. I highly recommend.")</f>
        <v>Nothing to say that it is in terms of price, level of guarantees, kindness of reception, the simplicity of declarations.
What perfect. I highly recommend.</v>
      </c>
    </row>
    <row r="522" ht="15.75" customHeight="1">
      <c r="A522" s="2">
        <v>3.0</v>
      </c>
      <c r="B522" s="2" t="s">
        <v>1561</v>
      </c>
      <c r="C522" s="2" t="s">
        <v>1562</v>
      </c>
      <c r="D522" s="2" t="s">
        <v>26</v>
      </c>
      <c r="E522" s="2" t="s">
        <v>14</v>
      </c>
      <c r="F522" s="2" t="s">
        <v>15</v>
      </c>
      <c r="G522" s="2" t="s">
        <v>176</v>
      </c>
      <c r="H522" s="2" t="s">
        <v>34</v>
      </c>
      <c r="I522" s="2" t="str">
        <f>IFERROR(__xludf.DUMMYFUNCTION("GOOGLETRANSLATE(C522,""fr"",""en"")"),"I changed because I found it cheaper elsewhere. But otherwise everything was fine. If the subscription had not increased we would have stayed, but we renegotiate every year.")</f>
        <v>I changed because I found it cheaper elsewhere. But otherwise everything was fine. If the subscription had not increased we would have stayed, but we renegotiate every year.</v>
      </c>
    </row>
    <row r="523" ht="15.75" customHeight="1">
      <c r="A523" s="2">
        <v>3.0</v>
      </c>
      <c r="B523" s="2" t="s">
        <v>1563</v>
      </c>
      <c r="C523" s="2" t="s">
        <v>1564</v>
      </c>
      <c r="D523" s="2" t="s">
        <v>26</v>
      </c>
      <c r="E523" s="2" t="s">
        <v>14</v>
      </c>
      <c r="F523" s="2" t="s">
        <v>15</v>
      </c>
      <c r="G523" s="2" t="s">
        <v>1565</v>
      </c>
      <c r="H523" s="2" t="s">
        <v>185</v>
      </c>
      <c r="I523" s="2" t="str">
        <f>IFERROR(__xludf.DUMMYFUNCTION("GOOGLETRANSLATE(C523,""fr"",""en"")"),"I am completely satisfied with the service, efficient and fast, very good level.
On the recognition of seniority and driving quality, some commercial discounts can be fitted out.")</f>
        <v>I am completely satisfied with the service, efficient and fast, very good level.
On the recognition of seniority and driving quality, some commercial discounts can be fitted out.</v>
      </c>
    </row>
    <row r="524" ht="15.75" customHeight="1">
      <c r="A524" s="2">
        <v>2.0</v>
      </c>
      <c r="B524" s="2" t="s">
        <v>1566</v>
      </c>
      <c r="C524" s="2" t="s">
        <v>1567</v>
      </c>
      <c r="D524" s="2" t="s">
        <v>26</v>
      </c>
      <c r="E524" s="2" t="s">
        <v>14</v>
      </c>
      <c r="F524" s="2" t="s">
        <v>15</v>
      </c>
      <c r="G524" s="2" t="s">
        <v>661</v>
      </c>
      <c r="H524" s="2" t="s">
        <v>90</v>
      </c>
      <c r="I524" s="2" t="str">
        <f>IFERROR(__xludf.DUMMYFUNCTION("GOOGLETRANSLATE(C524,""fr"",""en"")"),"I am not satisfied with the management of claims, it is anything.
I send emails and people does not bother to answer.
1 month that it drags and forced to advance the repair costs when we are not responsible.
We wonder why we pay you.")</f>
        <v>I am not satisfied with the management of claims, it is anything.
I send emails and people does not bother to answer.
1 month that it drags and forced to advance the repair costs when we are not responsible.
We wonder why we pay you.</v>
      </c>
    </row>
    <row r="525" ht="15.75" customHeight="1">
      <c r="A525" s="2">
        <v>4.0</v>
      </c>
      <c r="B525" s="2" t="s">
        <v>1568</v>
      </c>
      <c r="C525" s="2" t="s">
        <v>1569</v>
      </c>
      <c r="D525" s="2" t="s">
        <v>152</v>
      </c>
      <c r="E525" s="2" t="s">
        <v>21</v>
      </c>
      <c r="F525" s="2" t="s">
        <v>15</v>
      </c>
      <c r="G525" s="2" t="s">
        <v>1570</v>
      </c>
      <c r="H525" s="2" t="s">
        <v>452</v>
      </c>
      <c r="I525" s="2" t="str">
        <f>IFERROR(__xludf.DUMMYFUNCTION("GOOGLETRANSLATE(C525,""fr"",""en"")"),"Correct mutual in the global. Too bad that certain reimbursement categories are low in particular optics. For police officials, this is a very important area.")</f>
        <v>Correct mutual in the global. Too bad that certain reimbursement categories are low in particular optics. For police officials, this is a very important area.</v>
      </c>
    </row>
    <row r="526" ht="15.75" customHeight="1">
      <c r="A526" s="2">
        <v>4.0</v>
      </c>
      <c r="B526" s="2" t="s">
        <v>1571</v>
      </c>
      <c r="C526" s="2" t="s">
        <v>1572</v>
      </c>
      <c r="D526" s="2" t="s">
        <v>26</v>
      </c>
      <c r="E526" s="2" t="s">
        <v>14</v>
      </c>
      <c r="F526" s="2" t="s">
        <v>15</v>
      </c>
      <c r="G526" s="2" t="s">
        <v>1573</v>
      </c>
      <c r="H526" s="2" t="s">
        <v>90</v>
      </c>
      <c r="I526" s="2" t="str">
        <f>IFERROR(__xludf.DUMMYFUNCTION("GOOGLETRANSLATE(C526,""fr"",""en"")")," It is the best insurance ... Simple and practical site. The prices are correct and very reactive customer service and listening.
I highly recommend !
")</f>
        <v> It is the best insurance ... Simple and practical site. The prices are correct and very reactive customer service and listening.
I highly recommend !
</v>
      </c>
    </row>
    <row r="527" ht="15.75" customHeight="1">
      <c r="A527" s="2">
        <v>1.0</v>
      </c>
      <c r="B527" s="2" t="s">
        <v>1574</v>
      </c>
      <c r="C527" s="2" t="s">
        <v>1575</v>
      </c>
      <c r="D527" s="2" t="s">
        <v>42</v>
      </c>
      <c r="E527" s="2" t="s">
        <v>14</v>
      </c>
      <c r="F527" s="2" t="s">
        <v>15</v>
      </c>
      <c r="G527" s="2" t="s">
        <v>1576</v>
      </c>
      <c r="H527" s="2" t="s">
        <v>214</v>
      </c>
      <c r="I527" s="2" t="str">
        <f>IFERROR(__xludf.DUMMYFUNCTION("GOOGLETRANSLATE(C527,""fr"",""en"")"),"I have already given my opinion, more than waiting for you to remind me of ghost insurance ?? I no longer waste my time calling me or writing you many emails that I have sent you to which you do not answer ghost and deaf ?? Ashamed ??")</f>
        <v>I have already given my opinion, more than waiting for you to remind me of ghost insurance ?? I no longer waste my time calling me or writing you many emails that I have sent you to which you do not answer ghost and deaf ?? Ashamed ??</v>
      </c>
    </row>
    <row r="528" ht="15.75" customHeight="1">
      <c r="A528" s="2">
        <v>5.0</v>
      </c>
      <c r="B528" s="2" t="s">
        <v>1577</v>
      </c>
      <c r="C528" s="2" t="s">
        <v>1578</v>
      </c>
      <c r="D528" s="2" t="s">
        <v>57</v>
      </c>
      <c r="E528" s="2" t="s">
        <v>14</v>
      </c>
      <c r="F528" s="2" t="s">
        <v>15</v>
      </c>
      <c r="G528" s="2" t="s">
        <v>295</v>
      </c>
      <c r="H528" s="2" t="s">
        <v>28</v>
      </c>
      <c r="I528" s="2" t="str">
        <f>IFERROR(__xludf.DUMMYFUNCTION("GOOGLETRANSLATE(C528,""fr"",""en"")"),"I am satisfied with the prices you offer me, the wait on the phone is not long, it is simple, e -de -law, fast and you have a good understanding of my needs. Everything by email, very good.")</f>
        <v>I am satisfied with the prices you offer me, the wait on the phone is not long, it is simple, e -de -law, fast and you have a good understanding of my needs. Everything by email, very good.</v>
      </c>
    </row>
    <row r="529" ht="15.75" customHeight="1">
      <c r="A529" s="2">
        <v>4.0</v>
      </c>
      <c r="B529" s="2" t="s">
        <v>1579</v>
      </c>
      <c r="C529" s="2" t="s">
        <v>1580</v>
      </c>
      <c r="D529" s="2" t="s">
        <v>305</v>
      </c>
      <c r="E529" s="2" t="s">
        <v>38</v>
      </c>
      <c r="F529" s="2" t="s">
        <v>15</v>
      </c>
      <c r="G529" s="2" t="s">
        <v>586</v>
      </c>
      <c r="H529" s="2" t="s">
        <v>90</v>
      </c>
      <c r="I529" s="2" t="str">
        <f>IFERROR(__xludf.DUMMYFUNCTION("GOOGLETRANSLATE(C529,""fr"",""en"")"),"Very responsive service, people are very pro and very friendly. answered all my questions and offered me well -related offers with my needs.")</f>
        <v>Very responsive service, people are very pro and very friendly. answered all my questions and offered me well -related offers with my needs.</v>
      </c>
    </row>
    <row r="530" ht="15.75" customHeight="1">
      <c r="A530" s="2">
        <v>1.0</v>
      </c>
      <c r="B530" s="2" t="s">
        <v>1581</v>
      </c>
      <c r="C530" s="2" t="s">
        <v>1582</v>
      </c>
      <c r="D530" s="2" t="s">
        <v>69</v>
      </c>
      <c r="E530" s="2" t="s">
        <v>21</v>
      </c>
      <c r="F530" s="2" t="s">
        <v>15</v>
      </c>
      <c r="G530" s="2" t="s">
        <v>1583</v>
      </c>
      <c r="H530" s="2" t="s">
        <v>201</v>
      </c>
      <c r="I530" s="2" t="str">
        <f>IFERROR(__xludf.DUMMYFUNCTION("GOOGLETRANSLATE(C530,""fr"",""en"")"),"As read in the comments, the implementation of the remote transmission is awful, contacts with impossible insurance and reimbursements are not made. After sending my certificate at least three times by email, with acknowledgment of receipt, they finally r"&amp;"eacted, but following a complaint filing. Frankly, it's heartbreaking. To get more than a response that is simply a nonsense. I strongly advise against anyone to subscribe. In addition, online customer spaces are useless, requests remain in all expectatio"&amp;"ns without ever being processed. I am waiting for my two years of reimbursements on my side ...")</f>
        <v>As read in the comments, the implementation of the remote transmission is awful, contacts with impossible insurance and reimbursements are not made. After sending my certificate at least three times by email, with acknowledgment of receipt, they finally reacted, but following a complaint filing. Frankly, it's heartbreaking. To get more than a response that is simply a nonsense. I strongly advise against anyone to subscribe. In addition, online customer spaces are useless, requests remain in all expectations without ever being processed. I am waiting for my two years of reimbursements on my side ...</v>
      </c>
    </row>
    <row r="531" ht="15.75" customHeight="1">
      <c r="A531" s="2">
        <v>1.0</v>
      </c>
      <c r="B531" s="2" t="s">
        <v>1584</v>
      </c>
      <c r="C531" s="2" t="s">
        <v>1585</v>
      </c>
      <c r="D531" s="2" t="s">
        <v>57</v>
      </c>
      <c r="E531" s="2" t="s">
        <v>14</v>
      </c>
      <c r="F531" s="2" t="s">
        <v>15</v>
      </c>
      <c r="G531" s="2" t="s">
        <v>1586</v>
      </c>
      <c r="H531" s="2" t="s">
        <v>23</v>
      </c>
      <c r="I531" s="2" t="str">
        <f>IFERROR(__xludf.DUMMYFUNCTION("GOOGLETRANSLATE(C531,""fr"",""en"")"),"Lack of professionalism, appeal transferred 7 times and no concrete response.
No empathy after the flight of my car,
No compensation or compensation because no offense, despite the police report and the indices that prove the flight.
")</f>
        <v>Lack of professionalism, appeal transferred 7 times and no concrete response.
No empathy after the flight of my car,
No compensation or compensation because no offense, despite the police report and the indices that prove the flight.
</v>
      </c>
    </row>
    <row r="532" ht="15.75" customHeight="1">
      <c r="A532" s="2">
        <v>1.0</v>
      </c>
      <c r="B532" s="2" t="s">
        <v>1587</v>
      </c>
      <c r="C532" s="2" t="s">
        <v>1588</v>
      </c>
      <c r="D532" s="2" t="s">
        <v>410</v>
      </c>
      <c r="E532" s="2" t="s">
        <v>104</v>
      </c>
      <c r="F532" s="2" t="s">
        <v>15</v>
      </c>
      <c r="G532" s="2" t="s">
        <v>1589</v>
      </c>
      <c r="H532" s="2" t="s">
        <v>442</v>
      </c>
      <c r="I532" s="2" t="str">
        <f>IFERROR(__xludf.DUMMYFUNCTION("GOOGLETRANSLATE(C532,""fr"",""en"")"),"Housing insurance and car at home and assists. Everything is fine until you ask for anything. First request in 15 years for the residence refusal quotes, they want to impose their partner artisans who do you at a discount. No dispute possible. The assets,"&amp;" you are only good for paying. Damage 5 contracts")</f>
        <v>Housing insurance and car at home and assists. Everything is fine until you ask for anything. First request in 15 years for the residence refusal quotes, they want to impose their partner artisans who do you at a discount. No dispute possible. The assets, you are only good for paying. Damage 5 contracts</v>
      </c>
    </row>
    <row r="533" ht="15.75" customHeight="1">
      <c r="A533" s="2">
        <v>3.0</v>
      </c>
      <c r="B533" s="2" t="s">
        <v>1590</v>
      </c>
      <c r="C533" s="2" t="s">
        <v>1591</v>
      </c>
      <c r="D533" s="2" t="s">
        <v>305</v>
      </c>
      <c r="E533" s="2" t="s">
        <v>38</v>
      </c>
      <c r="F533" s="2" t="s">
        <v>15</v>
      </c>
      <c r="G533" s="2" t="s">
        <v>1592</v>
      </c>
      <c r="H533" s="2" t="s">
        <v>140</v>
      </c>
      <c r="I533" s="2" t="str">
        <f>IFERROR(__xludf.DUMMYFUNCTION("GOOGLETRANSLATE(C533,""fr"",""en"")"),"I am satisfied with the price,
Satisfied with the process except that I could not correct the administrative information of the quote (date of circulation) and that I will have to contact customer service.
To see the rest ...
")</f>
        <v>I am satisfied with the price,
Satisfied with the process except that I could not correct the administrative information of the quote (date of circulation) and that I will have to contact customer service.
To see the rest ...
</v>
      </c>
    </row>
    <row r="534" ht="15.75" customHeight="1">
      <c r="A534" s="2">
        <v>5.0</v>
      </c>
      <c r="B534" s="2" t="s">
        <v>1593</v>
      </c>
      <c r="C534" s="2" t="s">
        <v>1594</v>
      </c>
      <c r="D534" s="2" t="s">
        <v>26</v>
      </c>
      <c r="E534" s="2" t="s">
        <v>14</v>
      </c>
      <c r="F534" s="2" t="s">
        <v>15</v>
      </c>
      <c r="G534" s="2" t="s">
        <v>1595</v>
      </c>
      <c r="H534" s="2" t="s">
        <v>34</v>
      </c>
      <c r="I534" s="2" t="str">
        <f>IFERROR(__xludf.DUMMYFUNCTION("GOOGLETRANSLATE(C534,""fr"",""en"")"),"I am delighted with the direct insurance service, listening and very responsive. Insurance prices are really attractive and now a customer for several years, everything suits me for the best")</f>
        <v>I am delighted with the direct insurance service, listening and very responsive. Insurance prices are really attractive and now a customer for several years, everything suits me for the best</v>
      </c>
    </row>
    <row r="535" ht="15.75" customHeight="1">
      <c r="A535" s="2">
        <v>1.0</v>
      </c>
      <c r="B535" s="2" t="s">
        <v>1596</v>
      </c>
      <c r="C535" s="2" t="s">
        <v>1597</v>
      </c>
      <c r="D535" s="2" t="s">
        <v>315</v>
      </c>
      <c r="E535" s="2" t="s">
        <v>14</v>
      </c>
      <c r="F535" s="2" t="s">
        <v>15</v>
      </c>
      <c r="G535" s="2" t="s">
        <v>1598</v>
      </c>
      <c r="H535" s="2" t="s">
        <v>194</v>
      </c>
      <c r="I535" s="2" t="str">
        <f>IFERROR(__xludf.DUMMYFUNCTION("GOOGLETRANSLATE(C535,""fr"",""en"")"),"Hello, No claim to my credit, bonus with full rate and insurance decides to terminate me without reason and wants to head to his partner Assur People. Well played the technique, I wonder at what rates are your commissions ...")</f>
        <v>Hello, No claim to my credit, bonus with full rate and insurance decides to terminate me without reason and wants to head to his partner Assur People. Well played the technique, I wonder at what rates are your commissions ...</v>
      </c>
    </row>
    <row r="536" ht="15.75" customHeight="1">
      <c r="A536" s="2">
        <v>1.0</v>
      </c>
      <c r="B536" s="2" t="s">
        <v>1599</v>
      </c>
      <c r="C536" s="2" t="s">
        <v>1600</v>
      </c>
      <c r="D536" s="2" t="s">
        <v>103</v>
      </c>
      <c r="E536" s="2" t="s">
        <v>104</v>
      </c>
      <c r="F536" s="2" t="s">
        <v>15</v>
      </c>
      <c r="G536" s="2" t="s">
        <v>1601</v>
      </c>
      <c r="H536" s="2" t="s">
        <v>126</v>
      </c>
      <c r="I536" s="2" t="str">
        <f>IFERROR(__xludf.DUMMYFUNCTION("GOOGLETRANSLATE(C536,""fr"",""en"")"),"They are unable to provide me with an insurance certificate or a payment confirmation, but on the other hand send a recommended to my old address to ask me for my money, they know how to do it! What I find strange is that it is nowhere in my file ... I fe"&amp;"el that my data is well updated as it should be, that makes me happy.")</f>
        <v>They are unable to provide me with an insurance certificate or a payment confirmation, but on the other hand send a recommended to my old address to ask me for my money, they know how to do it! What I find strange is that it is nowhere in my file ... I feel that my data is well updated as it should be, that makes me happy.</v>
      </c>
    </row>
    <row r="537" ht="15.75" customHeight="1">
      <c r="A537" s="2">
        <v>1.0</v>
      </c>
      <c r="B537" s="2" t="s">
        <v>1602</v>
      </c>
      <c r="C537" s="2" t="s">
        <v>1603</v>
      </c>
      <c r="D537" s="2" t="s">
        <v>26</v>
      </c>
      <c r="E537" s="2" t="s">
        <v>14</v>
      </c>
      <c r="F537" s="2" t="s">
        <v>15</v>
      </c>
      <c r="G537" s="2" t="s">
        <v>1604</v>
      </c>
      <c r="H537" s="2" t="s">
        <v>17</v>
      </c>
      <c r="I537" s="2" t="str">
        <f>IFERROR(__xludf.DUMMYFUNCTION("GOOGLETRANSLATE(C537,""fr"",""en"")"),"Hello, Customer Direct Insurance For several years, I have just undergone a wheel flight, car towed to an approved garage, passage of the experts for estimate. On this estimate I must take care of the cross, the 10% repair and the dilapidation of the stol"&amp;"en wheels, total of the invoice to more than 900 euros at my charge, as much to say that I would have less expensive to do it myself, from The more I have subscribed to the serenity pack option, but the advisor tells me that I am not entitled to a replace"&amp;"ment vehicle and that I have to manage with the mechanic, and to finish annual contribution 1219 euros, while the simulation on the DA site gives me a subscription for the same guarantees at 748 euros, is there no problem?
Another point, I have suffered "&amp;"a lot of bad weather in 2014, I declared the disaster, paid for the franchise, but I am still waiting for the approved garages to make the repairs .... basically Da to flee ..")</f>
        <v>Hello, Customer Direct Insurance For several years, I have just undergone a wheel flight, car towed to an approved garage, passage of the experts for estimate. On this estimate I must take care of the cross, the 10% repair and the dilapidation of the stolen wheels, total of the invoice to more than 900 euros at my charge, as much to say that I would have less expensive to do it myself, from The more I have subscribed to the serenity pack option, but the advisor tells me that I am not entitled to a replacement vehicle and that I have to manage with the mechanic, and to finish annual contribution 1219 euros, while the simulation on the DA site gives me a subscription for the same guarantees at 748 euros, is there no problem?
Another point, I have suffered a lot of bad weather in 2014, I declared the disaster, paid for the franchise, but I am still waiting for the approved garages to make the repairs .... basically Da to flee ..</v>
      </c>
    </row>
    <row r="538" ht="15.75" customHeight="1">
      <c r="A538" s="2">
        <v>5.0</v>
      </c>
      <c r="B538" s="2" t="s">
        <v>1605</v>
      </c>
      <c r="C538" s="2" t="s">
        <v>1606</v>
      </c>
      <c r="D538" s="2" t="s">
        <v>26</v>
      </c>
      <c r="E538" s="2" t="s">
        <v>14</v>
      </c>
      <c r="F538" s="2" t="s">
        <v>15</v>
      </c>
      <c r="G538" s="2" t="s">
        <v>382</v>
      </c>
      <c r="H538" s="2" t="s">
        <v>81</v>
      </c>
      <c r="I538" s="2" t="str">
        <f>IFERROR(__xludf.DUMMYFUNCTION("GOOGLETRANSLATE(C538,""fr"",""en"")"),"Fast and efficient prices its attractive I am very satisfied with the very fast online service I thanked you for everything. Most of the other insurances are excessively cheap")</f>
        <v>Fast and efficient prices its attractive I am very satisfied with the very fast online service I thanked you for everything. Most of the other insurances are excessively cheap</v>
      </c>
    </row>
    <row r="539" ht="15.75" customHeight="1">
      <c r="A539" s="2">
        <v>1.0</v>
      </c>
      <c r="B539" s="2" t="s">
        <v>1607</v>
      </c>
      <c r="C539" s="2" t="s">
        <v>1608</v>
      </c>
      <c r="D539" s="2" t="s">
        <v>13</v>
      </c>
      <c r="E539" s="2" t="s">
        <v>104</v>
      </c>
      <c r="F539" s="2" t="s">
        <v>15</v>
      </c>
      <c r="G539" s="2" t="s">
        <v>1609</v>
      </c>
      <c r="H539" s="2" t="s">
        <v>194</v>
      </c>
      <c r="I539" s="2" t="str">
        <f>IFERROR(__xludf.DUMMYFUNCTION("GOOGLETRANSLATE(C539,""fr"",""en"")"),"Not taking care of a collapse of a support wall caused by heavy rains during our construction in 2018. More than 15,000 euros in unexpected additional costs for us, not covered by the insurer. What are the question what are it for during construction? Our"&amp;" neighbors who had the same problem were compensated. Let us seek the error.")</f>
        <v>Not taking care of a collapse of a support wall caused by heavy rains during our construction in 2018. More than 15,000 euros in unexpected additional costs for us, not covered by the insurer. What are the question what are it for during construction? Our neighbors who had the same problem were compensated. Let us seek the error.</v>
      </c>
    </row>
    <row r="540" ht="15.75" customHeight="1">
      <c r="A540" s="2">
        <v>2.0</v>
      </c>
      <c r="B540" s="2" t="s">
        <v>1610</v>
      </c>
      <c r="C540" s="2" t="s">
        <v>1611</v>
      </c>
      <c r="D540" s="2" t="s">
        <v>13</v>
      </c>
      <c r="E540" s="2" t="s">
        <v>14</v>
      </c>
      <c r="F540" s="2" t="s">
        <v>15</v>
      </c>
      <c r="G540" s="2" t="s">
        <v>1612</v>
      </c>
      <c r="H540" s="2" t="s">
        <v>45</v>
      </c>
      <c r="I540" s="2" t="str">
        <f>IFERROR(__xludf.DUMMYFUNCTION("GOOGLETRANSLATE(C540,""fr"",""en"")"),"Mixed")</f>
        <v>Mixed</v>
      </c>
    </row>
    <row r="541" ht="15.75" customHeight="1">
      <c r="A541" s="2">
        <v>5.0</v>
      </c>
      <c r="B541" s="2" t="s">
        <v>1613</v>
      </c>
      <c r="C541" s="2" t="s">
        <v>1614</v>
      </c>
      <c r="D541" s="2" t="s">
        <v>26</v>
      </c>
      <c r="E541" s="2" t="s">
        <v>14</v>
      </c>
      <c r="F541" s="2" t="s">
        <v>15</v>
      </c>
      <c r="G541" s="2" t="s">
        <v>339</v>
      </c>
      <c r="H541" s="2" t="s">
        <v>28</v>
      </c>
      <c r="I541" s="2" t="str">
        <f>IFERROR(__xludf.DUMMYFUNCTION("GOOGLETRANSLATE(C541,""fr"",""en"")"),"I am satisfied with the service of your insurance, I look forward to starting this contract with you, the contract A was fast and all went quickly")</f>
        <v>I am satisfied with the service of your insurance, I look forward to starting this contract with you, the contract A was fast and all went quickly</v>
      </c>
    </row>
    <row r="542" ht="15.75" customHeight="1">
      <c r="A542" s="2">
        <v>1.0</v>
      </c>
      <c r="B542" s="2" t="s">
        <v>1615</v>
      </c>
      <c r="C542" s="2" t="s">
        <v>1616</v>
      </c>
      <c r="D542" s="2" t="s">
        <v>1617</v>
      </c>
      <c r="E542" s="2" t="s">
        <v>38</v>
      </c>
      <c r="F542" s="2" t="s">
        <v>15</v>
      </c>
      <c r="G542" s="2" t="s">
        <v>1618</v>
      </c>
      <c r="H542" s="2" t="s">
        <v>1255</v>
      </c>
      <c r="I542" s="2" t="str">
        <f>IFERROR(__xludf.DUMMYFUNCTION("GOOGLETRANSLATE(C542,""fr"",""en"")"),"Null insurer never responds to the email. Nor on the phone. Impossible to have my information statement. On the other hand, send you recovery letters SA they are very strong. But having explanations they are zero")</f>
        <v>Null insurer never responds to the email. Nor on the phone. Impossible to have my information statement. On the other hand, send you recovery letters SA they are very strong. But having explanations they are zero</v>
      </c>
    </row>
    <row r="543" ht="15.75" customHeight="1">
      <c r="A543" s="2">
        <v>4.0</v>
      </c>
      <c r="B543" s="2" t="s">
        <v>1619</v>
      </c>
      <c r="C543" s="2" t="s">
        <v>1620</v>
      </c>
      <c r="D543" s="2" t="s">
        <v>305</v>
      </c>
      <c r="E543" s="2" t="s">
        <v>38</v>
      </c>
      <c r="F543" s="2" t="s">
        <v>15</v>
      </c>
      <c r="G543" s="2" t="s">
        <v>1621</v>
      </c>
      <c r="H543" s="2" t="s">
        <v>185</v>
      </c>
      <c r="I543" s="2" t="str">
        <f>IFERROR(__xludf.DUMMYFUNCTION("GOOGLETRANSLATE(C543,""fr"",""en"")"),"Quick treatment. Simplict of the form ensures immediately. Green card and specify that two months take up. Otherly nothing to say super")</f>
        <v>Quick treatment. Simplict of the form ensures immediately. Green card and specify that two months take up. Otherly nothing to say super</v>
      </c>
    </row>
    <row r="544" ht="15.75" customHeight="1">
      <c r="A544" s="2">
        <v>3.0</v>
      </c>
      <c r="B544" s="2" t="s">
        <v>1622</v>
      </c>
      <c r="C544" s="2" t="s">
        <v>1623</v>
      </c>
      <c r="D544" s="2" t="s">
        <v>26</v>
      </c>
      <c r="E544" s="2" t="s">
        <v>14</v>
      </c>
      <c r="F544" s="2" t="s">
        <v>15</v>
      </c>
      <c r="G544" s="2" t="s">
        <v>90</v>
      </c>
      <c r="H544" s="2" t="s">
        <v>90</v>
      </c>
      <c r="I544" s="2" t="str">
        <f>IFERROR(__xludf.DUMMYFUNCTION("GOOGLETRANSLATE(C544,""fr"",""en"")"),"The prices are more expensive but the services and simplicity are satisfactory.
I met a disaster, all was taken into account and followed in a very effective way")</f>
        <v>The prices are more expensive but the services and simplicity are satisfactory.
I met a disaster, all was taken into account and followed in a very effective way</v>
      </c>
    </row>
    <row r="545" ht="15.75" customHeight="1">
      <c r="A545" s="2">
        <v>3.0</v>
      </c>
      <c r="B545" s="2" t="s">
        <v>1624</v>
      </c>
      <c r="C545" s="2" t="s">
        <v>1625</v>
      </c>
      <c r="D545" s="2" t="s">
        <v>61</v>
      </c>
      <c r="E545" s="2" t="s">
        <v>109</v>
      </c>
      <c r="F545" s="2" t="s">
        <v>15</v>
      </c>
      <c r="G545" s="2" t="s">
        <v>1626</v>
      </c>
      <c r="H545" s="2" t="s">
        <v>111</v>
      </c>
      <c r="I545" s="2" t="str">
        <f>IFERROR(__xludf.DUMMYFUNCTION("GOOGLETRANSLATE(C545,""fr"",""en"")"),"You must not be recognized as invalid by their expert doctor because from the way it is hell! They refuse to honor the contract.")</f>
        <v>You must not be recognized as invalid by their expert doctor because from the way it is hell! They refuse to honor the contract.</v>
      </c>
    </row>
    <row r="546" ht="15.75" customHeight="1">
      <c r="A546" s="2">
        <v>3.0</v>
      </c>
      <c r="B546" s="2" t="s">
        <v>1627</v>
      </c>
      <c r="C546" s="2" t="s">
        <v>1628</v>
      </c>
      <c r="D546" s="2" t="s">
        <v>26</v>
      </c>
      <c r="E546" s="2" t="s">
        <v>14</v>
      </c>
      <c r="F546" s="2" t="s">
        <v>15</v>
      </c>
      <c r="G546" s="2" t="s">
        <v>39</v>
      </c>
      <c r="H546" s="2" t="s">
        <v>28</v>
      </c>
      <c r="I546" s="2" t="str">
        <f>IFERROR(__xludf.DUMMYFUNCTION("GOOGLETRANSLATE(C546,""fr"",""en"")"),"Very pleasant staff in their telephone approach a simple approach, practical online and above all fast.
Serious insurance company
To advise for young drivers")</f>
        <v>Very pleasant staff in their telephone approach a simple approach, practical online and above all fast.
Serious insurance company
To advise for young drivers</v>
      </c>
    </row>
    <row r="547" ht="15.75" customHeight="1">
      <c r="A547" s="2">
        <v>3.0</v>
      </c>
      <c r="B547" s="2" t="s">
        <v>1629</v>
      </c>
      <c r="C547" s="2" t="s">
        <v>1630</v>
      </c>
      <c r="D547" s="2" t="s">
        <v>69</v>
      </c>
      <c r="E547" s="2" t="s">
        <v>21</v>
      </c>
      <c r="F547" s="2" t="s">
        <v>15</v>
      </c>
      <c r="G547" s="2" t="s">
        <v>302</v>
      </c>
      <c r="H547" s="2" t="s">
        <v>28</v>
      </c>
      <c r="I547" s="2" t="str">
        <f>IFERROR(__xludf.DUMMYFUNCTION("GOOGLETRANSLATE(C547,""fr"",""en"")"),"Yes so no problem for this mutual and the person called Ravanat called me to confirm my registration and therefore everything is fine for the best if everything is going well thank you since my membership starts today thank you ok")</f>
        <v>Yes so no problem for this mutual and the person called Ravanat called me to confirm my registration and therefore everything is fine for the best if everything is going well thank you since my membership starts today thank you ok</v>
      </c>
    </row>
    <row r="548" ht="15.75" customHeight="1">
      <c r="A548" s="2">
        <v>1.0</v>
      </c>
      <c r="B548" s="2" t="s">
        <v>1631</v>
      </c>
      <c r="C548" s="2" t="s">
        <v>1632</v>
      </c>
      <c r="D548" s="2" t="s">
        <v>20</v>
      </c>
      <c r="E548" s="2" t="s">
        <v>21</v>
      </c>
      <c r="F548" s="2" t="s">
        <v>15</v>
      </c>
      <c r="G548" s="2" t="s">
        <v>80</v>
      </c>
      <c r="H548" s="2" t="s">
        <v>81</v>
      </c>
      <c r="I548" s="2" t="str">
        <f>IFERROR(__xludf.DUMMYFUNCTION("GOOGLETRANSLATE(C548,""fr"",""en"")"),"RUN AWAY ! It is a mutual of draws! They are not!
I unfortunately have no choice ... business mutual. I want to leave, and find my old mutual generation ....")</f>
        <v>RUN AWAY ! It is a mutual of draws! They are not!
I unfortunately have no choice ... business mutual. I want to leave, and find my old mutual generation ....</v>
      </c>
    </row>
    <row r="549" ht="15.75" customHeight="1">
      <c r="A549" s="2">
        <v>3.0</v>
      </c>
      <c r="B549" s="2" t="s">
        <v>1633</v>
      </c>
      <c r="C549" s="2" t="s">
        <v>1634</v>
      </c>
      <c r="D549" s="2" t="s">
        <v>48</v>
      </c>
      <c r="E549" s="2" t="s">
        <v>21</v>
      </c>
      <c r="F549" s="2" t="s">
        <v>15</v>
      </c>
      <c r="G549" s="2" t="s">
        <v>1635</v>
      </c>
      <c r="H549" s="2" t="s">
        <v>583</v>
      </c>
      <c r="I549" s="2" t="str">
        <f>IFERROR(__xludf.DUMMYFUNCTION("GOOGLETRANSLATE(C549,""fr"",""en"")"),"Good morning!
After long phone calls and many of the messages, I was listened to by the manager who called me and resolved my problem, fast and efficient. Thank you for being comprehensive with my situation.")</f>
        <v>Good morning!
After long phone calls and many of the messages, I was listened to by the manager who called me and resolved my problem, fast and efficient. Thank you for being comprehensive with my situation.</v>
      </c>
    </row>
    <row r="550" ht="15.75" customHeight="1">
      <c r="A550" s="2">
        <v>5.0</v>
      </c>
      <c r="B550" s="2" t="s">
        <v>1636</v>
      </c>
      <c r="C550" s="2" t="s">
        <v>1637</v>
      </c>
      <c r="D550" s="2" t="s">
        <v>26</v>
      </c>
      <c r="E550" s="2" t="s">
        <v>14</v>
      </c>
      <c r="F550" s="2" t="s">
        <v>15</v>
      </c>
      <c r="G550" s="2" t="s">
        <v>1638</v>
      </c>
      <c r="H550" s="2" t="s">
        <v>28</v>
      </c>
      <c r="I550" s="2" t="str">
        <f>IFERROR(__xludf.DUMMYFUNCTION("GOOGLETRANSLATE(C550,""fr"",""en"")"),"I am satisfied with the service
Ease of use of service with personal space
Correct value for money
Nothing to add
Mr Choisy
")</f>
        <v>I am satisfied with the service
Ease of use of service with personal space
Correct value for money
Nothing to add
Mr Choisy
</v>
      </c>
    </row>
    <row r="551" ht="15.75" customHeight="1">
      <c r="A551" s="2">
        <v>4.0</v>
      </c>
      <c r="B551" s="2" t="s">
        <v>1639</v>
      </c>
      <c r="C551" s="2" t="s">
        <v>1640</v>
      </c>
      <c r="D551" s="2" t="s">
        <v>26</v>
      </c>
      <c r="E551" s="2" t="s">
        <v>14</v>
      </c>
      <c r="F551" s="2" t="s">
        <v>15</v>
      </c>
      <c r="G551" s="2" t="s">
        <v>325</v>
      </c>
      <c r="H551" s="2" t="s">
        <v>28</v>
      </c>
      <c r="I551" s="2" t="str">
        <f>IFERROR(__xludf.DUMMYFUNCTION("GOOGLETRANSLATE(C551,""fr"",""en"")"),"Offers you a good price. The site is easy to access and the immediate quote. I hope we will also be happy if one day we have a glitch. Here is")</f>
        <v>Offers you a good price. The site is easy to access and the immediate quote. I hope we will also be happy if one day we have a glitch. Here is</v>
      </c>
    </row>
    <row r="552" ht="15.75" customHeight="1">
      <c r="A552" s="2">
        <v>1.0</v>
      </c>
      <c r="B552" s="2" t="s">
        <v>1641</v>
      </c>
      <c r="C552" s="2" t="s">
        <v>1642</v>
      </c>
      <c r="D552" s="2" t="s">
        <v>61</v>
      </c>
      <c r="E552" s="2" t="s">
        <v>109</v>
      </c>
      <c r="F552" s="2" t="s">
        <v>15</v>
      </c>
      <c r="G552" s="2" t="s">
        <v>914</v>
      </c>
      <c r="H552" s="2" t="s">
        <v>50</v>
      </c>
      <c r="I552" s="2" t="str">
        <f>IFERROR(__xludf.DUMMYFUNCTION("GOOGLETRANSLATE(C552,""fr"",""en"")"),"Mediocre customer service, hyper long treatment and the doctor concluded advice of the disease that the surgeon disputes but still no compensation 2 months later ...")</f>
        <v>Mediocre customer service, hyper long treatment and the doctor concluded advice of the disease that the surgeon disputes but still no compensation 2 months later ...</v>
      </c>
    </row>
    <row r="553" ht="15.75" customHeight="1">
      <c r="A553" s="2">
        <v>2.0</v>
      </c>
      <c r="B553" s="2" t="s">
        <v>1643</v>
      </c>
      <c r="C553" s="2" t="s">
        <v>1644</v>
      </c>
      <c r="D553" s="2" t="s">
        <v>164</v>
      </c>
      <c r="E553" s="2" t="s">
        <v>43</v>
      </c>
      <c r="F553" s="2" t="s">
        <v>15</v>
      </c>
      <c r="G553" s="2" t="s">
        <v>1645</v>
      </c>
      <c r="H553" s="2" t="s">
        <v>149</v>
      </c>
      <c r="I553" s="2" t="str">
        <f>IFERROR(__xludf.DUMMYFUNCTION("GOOGLETRANSLATE(C553,""fr"",""en"")"),"I have two small life insurance contracts at Cardif but I hesitate to pay larger sums of fear (as illustrated by the number of messages in this direction) to not be able to recover them or my heirs. I already have the experience of the mismanagement of th"&amp;"is company classified last on this site with the note of 1.3/5: I reported to the company through my customer advisor to the BNP on January 1 2015 that I became a non -resident (proof) and despite this at December 31, 2015 Cardifififer took social securit"&amp;"y contributions. I made several complaints by joining the certificate of tax residence for 2015 and despite the promises of the BNP, social security contributions (certainly modest) have not been returned to date. I specify that from December 31, 2016 soc"&amp;"ial contributions were no longer taken.")</f>
        <v>I have two small life insurance contracts at Cardif but I hesitate to pay larger sums of fear (as illustrated by the number of messages in this direction) to not be able to recover them or my heirs. I already have the experience of the mismanagement of this company classified last on this site with the note of 1.3/5: I reported to the company through my customer advisor to the BNP on January 1 2015 that I became a non -resident (proof) and despite this at December 31, 2015 Cardifififer took social security contributions. I made several complaints by joining the certificate of tax residence for 2015 and despite the promises of the BNP, social security contributions (certainly modest) have not been returned to date. I specify that from December 31, 2016 social contributions were no longer taken.</v>
      </c>
    </row>
    <row r="554" ht="15.75" customHeight="1">
      <c r="A554" s="2">
        <v>2.0</v>
      </c>
      <c r="B554" s="2" t="s">
        <v>1646</v>
      </c>
      <c r="C554" s="2" t="s">
        <v>1647</v>
      </c>
      <c r="D554" s="2" t="s">
        <v>571</v>
      </c>
      <c r="E554" s="2" t="s">
        <v>21</v>
      </c>
      <c r="F554" s="2" t="s">
        <v>15</v>
      </c>
      <c r="G554" s="2" t="s">
        <v>1648</v>
      </c>
      <c r="H554" s="2" t="s">
        <v>452</v>
      </c>
      <c r="I554" s="2" t="str">
        <f>IFERROR(__xludf.DUMMYFUNCTION("GOOGLETRANSLATE(C554,""fr"",""en"")"),"Carte blanche and reimbursement within 48 hours, only the bleuf, for 1 month I have been waiting for them to reimburse my optician to recover my glasses, I such. I send emails but nobody answers, they do not reimburse but make the samples in time, for tha"&amp;"t it works, I am disgusted")</f>
        <v>Carte blanche and reimbursement within 48 hours, only the bleuf, for 1 month I have been waiting for them to reimburse my optician to recover my glasses, I such. I send emails but nobody answers, they do not reimburse but make the samples in time, for that it works, I am disgusted</v>
      </c>
    </row>
    <row r="555" ht="15.75" customHeight="1">
      <c r="A555" s="2">
        <v>2.0</v>
      </c>
      <c r="B555" s="2" t="s">
        <v>1649</v>
      </c>
      <c r="C555" s="2" t="s">
        <v>1650</v>
      </c>
      <c r="D555" s="2" t="s">
        <v>57</v>
      </c>
      <c r="E555" s="2" t="s">
        <v>14</v>
      </c>
      <c r="F555" s="2" t="s">
        <v>15</v>
      </c>
      <c r="G555" s="2" t="s">
        <v>1651</v>
      </c>
      <c r="H555" s="2" t="s">
        <v>140</v>
      </c>
      <c r="I555" s="2" t="str">
        <f>IFERROR(__xludf.DUMMYFUNCTION("GOOGLETRANSLATE(C555,""fr"",""en"")"),"Incredible never go to them I explain to you !!!!
A person was pursuing the police with the police, contacting me by telling me to come to the Carma car police station was hit
So I'm going there I sign the complaint the person was arrested there is his "&amp;"name his first name his date of birth etc
I send all the documents to the olive tree
1 year after my car is always broken and I take a penalty, he explains to me that it is because I opened a dispute but that the person is not identified I therefore che"&amp;"ck my documents and I see that 'We have his name his first name etc I therefore ask them why in today's days two years after nothing is done? Why I still have a penalty when my car is not even repaired when they have everything on the author is incredible"&amp;" I get broken my car we have the guy but it is I who pay a penalty While my car is still broken.
2020736692")</f>
        <v>Incredible never go to them I explain to you !!!!
A person was pursuing the police with the police, contacting me by telling me to come to the Carma car police station was hit
So I'm going there I sign the complaint the person was arrested there is his name his first name his date of birth etc
I send all the documents to the olive tree
1 year after my car is always broken and I take a penalty, he explains to me that it is because I opened a dispute but that the person is not identified I therefore check my documents and I see that 'We have his name his first name etc I therefore ask them why in today's days two years after nothing is done? Why I still have a penalty when my car is not even repaired when they have everything on the author is incredible I get broken my car we have the guy but it is I who pay a penalty While my car is still broken.
2020736692</v>
      </c>
    </row>
    <row r="556" ht="15.75" customHeight="1">
      <c r="A556" s="2">
        <v>4.0</v>
      </c>
      <c r="B556" s="2" t="s">
        <v>1652</v>
      </c>
      <c r="C556" s="2" t="s">
        <v>1653</v>
      </c>
      <c r="D556" s="2" t="s">
        <v>37</v>
      </c>
      <c r="E556" s="2" t="s">
        <v>38</v>
      </c>
      <c r="F556" s="2" t="s">
        <v>15</v>
      </c>
      <c r="G556" s="2" t="s">
        <v>469</v>
      </c>
      <c r="H556" s="2" t="s">
        <v>122</v>
      </c>
      <c r="I556" s="2" t="str">
        <f>IFERROR(__xludf.DUMMYFUNCTION("GOOGLETRANSLATE(C556,""fr"",""en"")"),"I assure all my motorcycles at AMV
Very good value for money.
Reactive and efficient insurance.
Good interpersonal skills I recommend this insurance for his professionalism.")</f>
        <v>I assure all my motorcycles at AMV
Very good value for money.
Reactive and efficient insurance.
Good interpersonal skills I recommend this insurance for his professionalism.</v>
      </c>
    </row>
    <row r="557" ht="15.75" customHeight="1">
      <c r="A557" s="2">
        <v>1.0</v>
      </c>
      <c r="B557" s="2" t="s">
        <v>1654</v>
      </c>
      <c r="C557" s="2" t="s">
        <v>1655</v>
      </c>
      <c r="D557" s="2" t="s">
        <v>410</v>
      </c>
      <c r="E557" s="2" t="s">
        <v>104</v>
      </c>
      <c r="F557" s="2" t="s">
        <v>15</v>
      </c>
      <c r="G557" s="2" t="s">
        <v>1656</v>
      </c>
      <c r="H557" s="2" t="s">
        <v>347</v>
      </c>
      <c r="I557" s="2" t="str">
        <f>IFERROR(__xludf.DUMMYFUNCTION("GOOGLETRANSLATE(C557,""fr"",""en"")"),"After 40 years at home I had two seeds of blow, more lightning infringement to flee they minimize everything so as not to reimburse anything")</f>
        <v>After 40 years at home I had two seeds of blow, more lightning infringement to flee they minimize everything so as not to reimburse anything</v>
      </c>
    </row>
    <row r="558" ht="15.75" customHeight="1">
      <c r="A558" s="2">
        <v>1.0</v>
      </c>
      <c r="B558" s="2" t="s">
        <v>1657</v>
      </c>
      <c r="C558" s="2" t="s">
        <v>1658</v>
      </c>
      <c r="D558" s="2" t="s">
        <v>315</v>
      </c>
      <c r="E558" s="2" t="s">
        <v>14</v>
      </c>
      <c r="F558" s="2" t="s">
        <v>15</v>
      </c>
      <c r="G558" s="2" t="s">
        <v>1659</v>
      </c>
      <c r="H558" s="2" t="s">
        <v>86</v>
      </c>
      <c r="I558" s="2" t="str">
        <f>IFERROR(__xludf.DUMMYFUNCTION("GOOGLETRANSLATE(C558,""fr"",""en"")"),"Cie far too rigid we do not have that the possibility of subscribing what is without risk for them
1) Impossible to subscribe as a driver 2 cars only one accepted
2) Impossible to indicate on the 2 contracts its spouse holding permit as a secondary driv"&amp;"er
3) Impossible to designate her partner holder of the license as a secondary driver if you indicate that it is possible that she will drive the car to go to work
4) If they do not want to ensure for the previous reasons, you have the ultimate in medio"&amp;"crity because they are automatically resilled you within 15 days
5) For this reason I prohibit you all contact with me I terminate you
")</f>
        <v>Cie far too rigid we do not have that the possibility of subscribing what is without risk for them
1) Impossible to subscribe as a driver 2 cars only one accepted
2) Impossible to indicate on the 2 contracts its spouse holding permit as a secondary driver
3) Impossible to designate her partner holder of the license as a secondary driver if you indicate that it is possible that she will drive the car to go to work
4) If they do not want to ensure for the previous reasons, you have the ultimate in mediocrity because they are automatically resilled you within 15 days
5) For this reason I prohibit you all contact with me I terminate you
</v>
      </c>
    </row>
    <row r="559" ht="15.75" customHeight="1">
      <c r="A559" s="2">
        <v>5.0</v>
      </c>
      <c r="B559" s="2" t="s">
        <v>1660</v>
      </c>
      <c r="C559" s="2" t="s">
        <v>1661</v>
      </c>
      <c r="D559" s="2" t="s">
        <v>48</v>
      </c>
      <c r="E559" s="2" t="s">
        <v>21</v>
      </c>
      <c r="F559" s="2" t="s">
        <v>15</v>
      </c>
      <c r="G559" s="2" t="s">
        <v>889</v>
      </c>
      <c r="H559" s="2" t="s">
        <v>361</v>
      </c>
      <c r="I559" s="2" t="str">
        <f>IFERROR(__xludf.DUMMYFUNCTION("GOOGLETRANSLATE(C559,""fr"",""en"")"),"The guaranteed ijh my help during my stay at the hospital")</f>
        <v>The guaranteed ijh my help during my stay at the hospital</v>
      </c>
    </row>
    <row r="560" ht="15.75" customHeight="1">
      <c r="A560" s="2">
        <v>1.0</v>
      </c>
      <c r="B560" s="2" t="s">
        <v>1662</v>
      </c>
      <c r="C560" s="2" t="s">
        <v>1663</v>
      </c>
      <c r="D560" s="2" t="s">
        <v>26</v>
      </c>
      <c r="E560" s="2" t="s">
        <v>14</v>
      </c>
      <c r="F560" s="2" t="s">
        <v>15</v>
      </c>
      <c r="G560" s="2" t="s">
        <v>1251</v>
      </c>
      <c r="H560" s="2" t="s">
        <v>28</v>
      </c>
      <c r="I560" s="2" t="str">
        <f>IFERROR(__xludf.DUMMYFUNCTION("GOOGLETRANSLATE(C560,""fr"",""en"")"),"I would have preferred a monthly payment damage This option was not possible however the price remains reasonable I recommend for all
Thank you")</f>
        <v>I would have preferred a monthly payment damage This option was not possible however the price remains reasonable I recommend for all
Thank you</v>
      </c>
    </row>
    <row r="561" ht="15.75" customHeight="1">
      <c r="A561" s="2">
        <v>4.0</v>
      </c>
      <c r="B561" s="2" t="s">
        <v>1664</v>
      </c>
      <c r="C561" s="2" t="s">
        <v>1665</v>
      </c>
      <c r="D561" s="2" t="s">
        <v>42</v>
      </c>
      <c r="E561" s="2" t="s">
        <v>14</v>
      </c>
      <c r="F561" s="2" t="s">
        <v>15</v>
      </c>
      <c r="G561" s="2" t="s">
        <v>1128</v>
      </c>
      <c r="H561" s="2" t="s">
        <v>23</v>
      </c>
      <c r="I561" s="2" t="str">
        <f>IFERROR(__xludf.DUMMYFUNCTION("GOOGLETRANSLATE(C561,""fr"",""en"")"),"All my contracts are with this agent and I am satisfied with his management. He has a very conspiracy and very kind team. (Cabinet Julian, Place Lamarque - 32100 - Condom)")</f>
        <v>All my contracts are with this agent and I am satisfied with his management. He has a very conspiracy and very kind team. (Cabinet Julian, Place Lamarque - 32100 - Condom)</v>
      </c>
    </row>
    <row r="562" ht="15.75" customHeight="1">
      <c r="A562" s="2">
        <v>4.0</v>
      </c>
      <c r="B562" s="2" t="s">
        <v>1666</v>
      </c>
      <c r="C562" s="2" t="s">
        <v>1667</v>
      </c>
      <c r="D562" s="2" t="s">
        <v>57</v>
      </c>
      <c r="E562" s="2" t="s">
        <v>14</v>
      </c>
      <c r="F562" s="2" t="s">
        <v>15</v>
      </c>
      <c r="G562" s="2" t="s">
        <v>1668</v>
      </c>
      <c r="H562" s="2" t="s">
        <v>201</v>
      </c>
      <c r="I562" s="2" t="str">
        <f>IFERROR(__xludf.DUMMYFUNCTION("GOOGLETRANSLATE(C562,""fr"",""en"")"),"Competitive price for the first year of subscription; Increased increase in the order of 7% for the second year.
After a call, commercial delivery bringing the contribution to the height of the first year.")</f>
        <v>Competitive price for the first year of subscription; Increased increase in the order of 7% for the second year.
After a call, commercial delivery bringing the contribution to the height of the first year.</v>
      </c>
    </row>
    <row r="563" ht="15.75" customHeight="1">
      <c r="A563" s="2">
        <v>1.0</v>
      </c>
      <c r="B563" s="2" t="s">
        <v>1669</v>
      </c>
      <c r="C563" s="2" t="s">
        <v>1670</v>
      </c>
      <c r="D563" s="2" t="s">
        <v>26</v>
      </c>
      <c r="E563" s="2" t="s">
        <v>14</v>
      </c>
      <c r="F563" s="2" t="s">
        <v>15</v>
      </c>
      <c r="G563" s="2" t="s">
        <v>1671</v>
      </c>
      <c r="H563" s="2" t="s">
        <v>390</v>
      </c>
      <c r="I563" s="2" t="str">
        <f>IFERROR(__xludf.DUMMYFUNCTION("GOOGLETRANSLATE(C563,""fr"",""en"")"),"I wanted to change insurance so I looked for I came across direct insurance they made me a quote I accepted it was cheaper than what I had so I accepted in the questionnaire I answered To the questions about the claim I declared two claims that I was not "&amp;"responsible for which they were not even mentioned on my information statement the first he broke a window in a parking lot to steal trucks inside From the car The insurance repaired me the window the second accident in full congestion A woman returned to"&amp;" me so I was not wrong I repaired the car not third party insurance finally after giving all the papers And the information they forced me to pay three me in advance that I did so they asked for the termination with the other insurance after some day I re"&amp;"ceived an email like what they are forced to terminate with them they left me amazed by their badly polite behavior it looks like they caught u n Criminal so I found myself without insurance I have a galery for hole insurance with the Macif that they were"&amp;" cheaper and more advantages")</f>
        <v>I wanted to change insurance so I looked for I came across direct insurance they made me a quote I accepted it was cheaper than what I had so I accepted in the questionnaire I answered To the questions about the claim I declared two claims that I was not responsible for which they were not even mentioned on my information statement the first he broke a window in a parking lot to steal trucks inside From the car The insurance repaired me the window the second accident in full congestion A woman returned to me so I was not wrong I repaired the car not third party insurance finally after giving all the papers And the information they forced me to pay three me in advance that I did so they asked for the termination with the other insurance after some day I received an email like what they are forced to terminate with them they left me amazed by their badly polite behavior it looks like they caught u n Criminal so I found myself without insurance I have a galery for hole insurance with the Macif that they were cheaper and more advantages</v>
      </c>
    </row>
    <row r="564" ht="15.75" customHeight="1">
      <c r="A564" s="2">
        <v>4.0</v>
      </c>
      <c r="B564" s="2" t="s">
        <v>1672</v>
      </c>
      <c r="C564" s="2" t="s">
        <v>1673</v>
      </c>
      <c r="D564" s="2" t="s">
        <v>152</v>
      </c>
      <c r="E564" s="2" t="s">
        <v>21</v>
      </c>
      <c r="F564" s="2" t="s">
        <v>15</v>
      </c>
      <c r="G564" s="2" t="s">
        <v>472</v>
      </c>
      <c r="H564" s="2" t="s">
        <v>23</v>
      </c>
      <c r="I564" s="2" t="str">
        <f>IFERROR(__xludf.DUMMYFUNCTION("GOOGLETRANSLATE(C564,""fr"",""en"")"),"Very very very welcome or even excellent, very humanist and reassuring in view of the mastery of the products of my interlocutor who offered me a re -study of a home and automotive insurance file at the same time. Proposal for a quick recall by his collea"&amp;"gue for a comparative quote according to my availability in view of my care. Very good telephone support !!!")</f>
        <v>Very very very welcome or even excellent, very humanist and reassuring in view of the mastery of the products of my interlocutor who offered me a re -study of a home and automotive insurance file at the same time. Proposal for a quick recall by his colleague for a comparative quote according to my availability in view of my care. Very good telephone support !!!</v>
      </c>
    </row>
    <row r="565" ht="15.75" customHeight="1">
      <c r="A565" s="2">
        <v>3.0</v>
      </c>
      <c r="B565" s="2" t="s">
        <v>1674</v>
      </c>
      <c r="C565" s="2" t="s">
        <v>1675</v>
      </c>
      <c r="D565" s="2" t="s">
        <v>26</v>
      </c>
      <c r="E565" s="2" t="s">
        <v>14</v>
      </c>
      <c r="F565" s="2" t="s">
        <v>15</v>
      </c>
      <c r="G565" s="2" t="s">
        <v>169</v>
      </c>
      <c r="H565" s="2" t="s">
        <v>122</v>
      </c>
      <c r="I565" s="2" t="str">
        <f>IFERROR(__xludf.DUMMYFUNCTION("GOOGLETRANSLATE(C565,""fr"",""en"")"),"The reception is kind on the phone and the requests are processed. However, the price level has not been there for loyal and disaster customers for several years.")</f>
        <v>The reception is kind on the phone and the requests are processed. However, the price level has not been there for loyal and disaster customers for several years.</v>
      </c>
    </row>
    <row r="566" ht="15.75" customHeight="1">
      <c r="A566" s="2">
        <v>3.0</v>
      </c>
      <c r="B566" s="2" t="s">
        <v>1676</v>
      </c>
      <c r="C566" s="2" t="s">
        <v>1677</v>
      </c>
      <c r="D566" s="2" t="s">
        <v>356</v>
      </c>
      <c r="E566" s="2" t="s">
        <v>21</v>
      </c>
      <c r="F566" s="2" t="s">
        <v>15</v>
      </c>
      <c r="G566" s="2" t="s">
        <v>895</v>
      </c>
      <c r="H566" s="2" t="s">
        <v>122</v>
      </c>
      <c r="I566" s="2" t="str">
        <f>IFERROR(__xludf.DUMMYFUNCTION("GOOGLETRANSLATE(C566,""fr"",""en"")"),"Anaelle was of exemplary clarity which allowed me to know very quickly the walk to follow an example of professionalism
Which was not the case in the return of reimbursement that we made at my request and it is a shame
Cheer")</f>
        <v>Anaelle was of exemplary clarity which allowed me to know very quickly the walk to follow an example of professionalism
Which was not the case in the return of reimbursement that we made at my request and it is a shame
Cheer</v>
      </c>
    </row>
    <row r="567" ht="15.75" customHeight="1">
      <c r="A567" s="2">
        <v>2.0</v>
      </c>
      <c r="B567" s="2" t="s">
        <v>1678</v>
      </c>
      <c r="C567" s="2" t="s">
        <v>1679</v>
      </c>
      <c r="D567" s="2" t="s">
        <v>262</v>
      </c>
      <c r="E567" s="2" t="s">
        <v>14</v>
      </c>
      <c r="F567" s="2" t="s">
        <v>15</v>
      </c>
      <c r="G567" s="2" t="s">
        <v>1375</v>
      </c>
      <c r="H567" s="2" t="s">
        <v>713</v>
      </c>
      <c r="I567" s="2" t="str">
        <f>IFERROR(__xludf.DUMMYFUNCTION("GOOGLETRANSLATE(C567,""fr"",""en"")"),"To flee ! Insurance that does not take into account the human!")</f>
        <v>To flee ! Insurance that does not take into account the human!</v>
      </c>
    </row>
    <row r="568" ht="15.75" customHeight="1">
      <c r="A568" s="2">
        <v>3.0</v>
      </c>
      <c r="B568" s="2" t="s">
        <v>1680</v>
      </c>
      <c r="C568" s="2" t="s">
        <v>1681</v>
      </c>
      <c r="D568" s="2" t="s">
        <v>69</v>
      </c>
      <c r="E568" s="2" t="s">
        <v>21</v>
      </c>
      <c r="F568" s="2" t="s">
        <v>15</v>
      </c>
      <c r="G568" s="2" t="s">
        <v>1682</v>
      </c>
      <c r="H568" s="2" t="s">
        <v>741</v>
      </c>
      <c r="I568" s="2" t="str">
        <f>IFERROR(__xludf.DUMMYFUNCTION("GOOGLETRANSLATE(C568,""fr"",""en"")"),"The advisor was very cordial and youness referred me very well. Compared to my old mutual is the day and night")</f>
        <v>The advisor was very cordial and youness referred me very well. Compared to my old mutual is the day and night</v>
      </c>
    </row>
    <row r="569" ht="15.75" customHeight="1">
      <c r="A569" s="2">
        <v>5.0</v>
      </c>
      <c r="B569" s="2" t="s">
        <v>1683</v>
      </c>
      <c r="C569" s="2" t="s">
        <v>1684</v>
      </c>
      <c r="D569" s="2" t="s">
        <v>305</v>
      </c>
      <c r="E569" s="2" t="s">
        <v>38</v>
      </c>
      <c r="F569" s="2" t="s">
        <v>15</v>
      </c>
      <c r="G569" s="2" t="s">
        <v>1685</v>
      </c>
      <c r="H569" s="2" t="s">
        <v>90</v>
      </c>
      <c r="I569" s="2" t="str">
        <f>IFERROR(__xludf.DUMMYFUNCTION("GOOGLETRANSLATE(C569,""fr"",""en"")"),"I am satisfied with the price and the service offered ...
And I hope that the service is listening to its members in the event of concerns or disputes ...
Cordially....")</f>
        <v>I am satisfied with the price and the service offered ...
And I hope that the service is listening to its members in the event of concerns or disputes ...
Cordially....</v>
      </c>
    </row>
    <row r="570" ht="15.75" customHeight="1">
      <c r="A570" s="2">
        <v>1.0</v>
      </c>
      <c r="B570" s="2" t="s">
        <v>1686</v>
      </c>
      <c r="C570" s="2" t="s">
        <v>1687</v>
      </c>
      <c r="D570" s="2" t="s">
        <v>42</v>
      </c>
      <c r="E570" s="2" t="s">
        <v>14</v>
      </c>
      <c r="F570" s="2" t="s">
        <v>15</v>
      </c>
      <c r="G570" s="2" t="s">
        <v>1688</v>
      </c>
      <c r="H570" s="2" t="s">
        <v>136</v>
      </c>
      <c r="I570" s="2" t="str">
        <f>IFERROR(__xludf.DUMMYFUNCTION("GOOGLETRANSLATE(C570,""fr"",""en"")"),"Fire sinister. Imdemnation for 55 days and 2 demure. No termination and not reimbursement of ""too paid"". For 78 days and 2 recomandee letter I still pay insurance. Justice will treat, but is painful!")</f>
        <v>Fire sinister. Imdemnation for 55 days and 2 demure. No termination and not reimbursement of "too paid". For 78 days and 2 recomandee letter I still pay insurance. Justice will treat, but is painful!</v>
      </c>
    </row>
    <row r="571" ht="15.75" customHeight="1">
      <c r="A571" s="2">
        <v>5.0</v>
      </c>
      <c r="B571" s="2" t="s">
        <v>1689</v>
      </c>
      <c r="C571" s="2" t="s">
        <v>1690</v>
      </c>
      <c r="D571" s="2" t="s">
        <v>57</v>
      </c>
      <c r="E571" s="2" t="s">
        <v>14</v>
      </c>
      <c r="F571" s="2" t="s">
        <v>15</v>
      </c>
      <c r="G571" s="2" t="s">
        <v>485</v>
      </c>
      <c r="H571" s="2" t="s">
        <v>122</v>
      </c>
      <c r="I571" s="2" t="str">
        <f>IFERROR(__xludf.DUMMYFUNCTION("GOOGLETRANSLATE(C571,""fr"",""en"")"),"I am super satisfied with your services. The exchange with your advisor was very interesting and above all very clear. Thank you very much for your advice.")</f>
        <v>I am super satisfied with your services. The exchange with your advisor was very interesting and above all very clear. Thank you very much for your advice.</v>
      </c>
    </row>
    <row r="572" ht="15.75" customHeight="1">
      <c r="A572" s="2">
        <v>2.0</v>
      </c>
      <c r="B572" s="2" t="s">
        <v>1691</v>
      </c>
      <c r="C572" s="2" t="s">
        <v>1692</v>
      </c>
      <c r="D572" s="2" t="s">
        <v>266</v>
      </c>
      <c r="E572" s="2" t="s">
        <v>32</v>
      </c>
      <c r="F572" s="2" t="s">
        <v>15</v>
      </c>
      <c r="G572" s="2" t="s">
        <v>1693</v>
      </c>
      <c r="H572" s="2" t="s">
        <v>17</v>
      </c>
      <c r="I572" s="2" t="str">
        <f>IFERROR(__xludf.DUMMYFUNCTION("GOOGLETRANSLATE(C572,""fr"",""en"")"),"I dispute that my condition is not consolidated, on the date of 1/10/17.c is just that the RSI my inability Total on this date and also disputes a rate to which the ACMN expert calculated because I had already seen an expert before and the professional ra"&amp;"te was 66% and the 41.6% and in functional at 80% for the same member! You have to see several experts to fall on the same rate because there is really a difference that makes that I am not covered. I have not chosen to have had breast cancer with a heavy"&amp;" treatment chemo radiotherapy hormone therapy 7 and a half being no longer able to work. .ma Ref 601160913779")</f>
        <v>I dispute that my condition is not consolidated, on the date of 1/10/17.c is just that the RSI my inability Total on this date and also disputes a rate to which the ACMN expert calculated because I had already seen an expert before and the professional rate was 66% and the 41.6% and in functional at 80% for the same member! You have to see several experts to fall on the same rate because there is really a difference that makes that I am not covered. I have not chosen to have had breast cancer with a heavy treatment chemo radiotherapy hormone therapy 7 and a half being no longer able to work. .ma Ref 601160913779</v>
      </c>
    </row>
    <row r="573" ht="15.75" customHeight="1">
      <c r="A573" s="2">
        <v>3.0</v>
      </c>
      <c r="B573" s="2" t="s">
        <v>1694</v>
      </c>
      <c r="C573" s="2" t="s">
        <v>1695</v>
      </c>
      <c r="D573" s="2" t="s">
        <v>69</v>
      </c>
      <c r="E573" s="2" t="s">
        <v>21</v>
      </c>
      <c r="F573" s="2" t="s">
        <v>15</v>
      </c>
      <c r="G573" s="2" t="s">
        <v>1696</v>
      </c>
      <c r="H573" s="2" t="s">
        <v>228</v>
      </c>
      <c r="I573" s="2" t="str">
        <f>IFERROR(__xludf.DUMMYFUNCTION("GOOGLETRANSLATE(C573,""fr"",""en"")"),"I subscribed to the beginning of 2015 a health contract performance 4 debut 2016 It increased twice in two months I refuse the increase and request to pass EB performance 3 dying my reimbursements of glasses I was at 450 euro I return to 350 euro c is nor"&amp;"mal I Recycles a new document for my reimbursements mentions 350 euro glasses and the I have just changed my glasses my optician receives only 250 euro for the care impossible to make them understand that there is an error I nevertheless sent my proofs no"&amp;" dialogues")</f>
        <v>I subscribed to the beginning of 2015 a health contract performance 4 debut 2016 It increased twice in two months I refuse the increase and request to pass EB performance 3 dying my reimbursements of glasses I was at 450 euro I return to 350 euro c is normal I Recycles a new document for my reimbursements mentions 350 euro glasses and the I have just changed my glasses my optician receives only 250 euro for the care impossible to make them understand that there is an error I nevertheless sent my proofs no dialogues</v>
      </c>
    </row>
    <row r="574" ht="15.75" customHeight="1">
      <c r="A574" s="2">
        <v>1.0</v>
      </c>
      <c r="B574" s="2" t="s">
        <v>1697</v>
      </c>
      <c r="C574" s="2" t="s">
        <v>1698</v>
      </c>
      <c r="D574" s="2" t="s">
        <v>26</v>
      </c>
      <c r="E574" s="2" t="s">
        <v>14</v>
      </c>
      <c r="F574" s="2" t="s">
        <v>15</v>
      </c>
      <c r="G574" s="2" t="s">
        <v>122</v>
      </c>
      <c r="H574" s="2" t="s">
        <v>122</v>
      </c>
      <c r="I574" s="2" t="str">
        <f>IFERROR(__xludf.DUMMYFUNCTION("GOOGLETRANSLATE(C574,""fr"",""en"")"),"My opinion do not stay with you, treat you better the new customers than the faithful who pay your pricing policy, in short we leave!")</f>
        <v>My opinion do not stay with you, treat you better the new customers than the faithful who pay your pricing policy, in short we leave!</v>
      </c>
    </row>
    <row r="575" ht="15.75" customHeight="1">
      <c r="A575" s="2">
        <v>4.0</v>
      </c>
      <c r="B575" s="2" t="s">
        <v>1699</v>
      </c>
      <c r="C575" s="2" t="s">
        <v>1700</v>
      </c>
      <c r="D575" s="2" t="s">
        <v>57</v>
      </c>
      <c r="E575" s="2" t="s">
        <v>14</v>
      </c>
      <c r="F575" s="2" t="s">
        <v>15</v>
      </c>
      <c r="G575" s="2" t="s">
        <v>1524</v>
      </c>
      <c r="H575" s="2" t="s">
        <v>74</v>
      </c>
      <c r="I575" s="2" t="str">
        <f>IFERROR(__xludf.DUMMYFUNCTION("GOOGLETRANSLATE(C575,""fr"",""en"")"),"I am satisfied with the service and the price of my insurance and the services I would recommend this insurance with my knowledge and I would not fail to compare for my future cars")</f>
        <v>I am satisfied with the service and the price of my insurance and the services I would recommend this insurance with my knowledge and I would not fail to compare for my future cars</v>
      </c>
    </row>
    <row r="576" ht="15.75" customHeight="1">
      <c r="A576" s="2">
        <v>4.0</v>
      </c>
      <c r="B576" s="2" t="s">
        <v>1701</v>
      </c>
      <c r="C576" s="2" t="s">
        <v>1702</v>
      </c>
      <c r="D576" s="2" t="s">
        <v>26</v>
      </c>
      <c r="E576" s="2" t="s">
        <v>14</v>
      </c>
      <c r="F576" s="2" t="s">
        <v>15</v>
      </c>
      <c r="G576" s="2" t="s">
        <v>1293</v>
      </c>
      <c r="H576" s="2" t="s">
        <v>81</v>
      </c>
      <c r="I576" s="2" t="str">
        <f>IFERROR(__xludf.DUMMYFUNCTION("GOOGLETRANSLATE(C576,""fr"",""en"")"),"Satisfied with the ease of registration and prices
Fast and effective to be insured the next day
If everything is going well I would recommend direct insurance
")</f>
        <v>Satisfied with the ease of registration and prices
Fast and effective to be insured the next day
If everything is going well I would recommend direct insurance
</v>
      </c>
    </row>
    <row r="577" ht="15.75" customHeight="1">
      <c r="A577" s="2">
        <v>4.0</v>
      </c>
      <c r="B577" s="2" t="s">
        <v>1703</v>
      </c>
      <c r="C577" s="2" t="s">
        <v>1704</v>
      </c>
      <c r="D577" s="2" t="s">
        <v>69</v>
      </c>
      <c r="E577" s="2" t="s">
        <v>21</v>
      </c>
      <c r="F577" s="2" t="s">
        <v>15</v>
      </c>
      <c r="G577" s="2" t="s">
        <v>1705</v>
      </c>
      <c r="H577" s="2" t="s">
        <v>312</v>
      </c>
      <c r="I577" s="2" t="str">
        <f>IFERROR(__xludf.DUMMYFUNCTION("GOOGLETRANSLATE(C577,""fr"",""en"")"),"A member recently, I am very happy with the relationship in Santiane, for monitoring and free access to direct medicine")</f>
        <v>A member recently, I am very happy with the relationship in Santiane, for monitoring and free access to direct medicine</v>
      </c>
    </row>
    <row r="578" ht="15.75" customHeight="1">
      <c r="A578" s="2">
        <v>5.0</v>
      </c>
      <c r="B578" s="2" t="s">
        <v>1706</v>
      </c>
      <c r="C578" s="2" t="s">
        <v>1707</v>
      </c>
      <c r="D578" s="2" t="s">
        <v>57</v>
      </c>
      <c r="E578" s="2" t="s">
        <v>14</v>
      </c>
      <c r="F578" s="2" t="s">
        <v>15</v>
      </c>
      <c r="G578" s="2" t="s">
        <v>1708</v>
      </c>
      <c r="H578" s="2" t="s">
        <v>122</v>
      </c>
      <c r="I578" s="2" t="str">
        <f>IFERROR(__xludf.DUMMYFUNCTION("GOOGLETRANSLATE(C578,""fr"",""en"")"),"Hello
Thank you very much to the Olivier Insurance for professionalism and its attractive prices.
I highly recommend.
very good exchange with telephone technicians")</f>
        <v>Hello
Thank you very much to the Olivier Insurance for professionalism and its attractive prices.
I highly recommend.
very good exchange with telephone technicians</v>
      </c>
    </row>
    <row r="579" ht="15.75" customHeight="1">
      <c r="A579" s="2">
        <v>1.0</v>
      </c>
      <c r="B579" s="2" t="s">
        <v>1709</v>
      </c>
      <c r="C579" s="2" t="s">
        <v>1710</v>
      </c>
      <c r="D579" s="2" t="s">
        <v>250</v>
      </c>
      <c r="E579" s="2" t="s">
        <v>21</v>
      </c>
      <c r="F579" s="2" t="s">
        <v>15</v>
      </c>
      <c r="G579" s="2" t="s">
        <v>1711</v>
      </c>
      <c r="H579" s="2" t="s">
        <v>329</v>
      </c>
      <c r="I579" s="2" t="str">
        <f>IFERROR(__xludf.DUMMYFUNCTION("GOOGLETRANSLATE(C579,""fr"",""en"")"),"Following termination (hiring linked to new employment), the monthly direct debits are not stopped, despite recommended mail. No return, despite the reminders would I be reimbursed? Unjusting on the phone for a complaint.")</f>
        <v>Following termination (hiring linked to new employment), the monthly direct debits are not stopped, despite recommended mail. No return, despite the reminders would I be reimbursed? Unjusting on the phone for a complaint.</v>
      </c>
    </row>
    <row r="580" ht="15.75" customHeight="1">
      <c r="A580" s="2">
        <v>3.0</v>
      </c>
      <c r="B580" s="2" t="s">
        <v>1712</v>
      </c>
      <c r="C580" s="2" t="s">
        <v>1713</v>
      </c>
      <c r="D580" s="2" t="s">
        <v>57</v>
      </c>
      <c r="E580" s="2" t="s">
        <v>14</v>
      </c>
      <c r="F580" s="2" t="s">
        <v>15</v>
      </c>
      <c r="G580" s="2" t="s">
        <v>1714</v>
      </c>
      <c r="H580" s="2" t="s">
        <v>90</v>
      </c>
      <c r="I580" s="2" t="str">
        <f>IFERROR(__xludf.DUMMYFUNCTION("GOOGLETRANSLATE(C580,""fr"",""en"")"),"I find the website is quite well done. The telephone service is of quality, with advisers which is clearly and kind. The prices are correct without being attractive")</f>
        <v>I find the website is quite well done. The telephone service is of quality, with advisers which is clearly and kind. The prices are correct without being attractive</v>
      </c>
    </row>
    <row r="581" ht="15.75" customHeight="1">
      <c r="A581" s="2">
        <v>4.0</v>
      </c>
      <c r="B581" s="2" t="s">
        <v>1715</v>
      </c>
      <c r="C581" s="2" t="s">
        <v>1716</v>
      </c>
      <c r="D581" s="2" t="s">
        <v>37</v>
      </c>
      <c r="E581" s="2" t="s">
        <v>38</v>
      </c>
      <c r="F581" s="2" t="s">
        <v>15</v>
      </c>
      <c r="G581" s="2" t="s">
        <v>1717</v>
      </c>
      <c r="H581" s="2" t="s">
        <v>50</v>
      </c>
      <c r="I581" s="2" t="str">
        <f>IFERROR(__xludf.DUMMYFUNCTION("GOOGLETRANSLATE(C581,""fr"",""en"")"),"Customer service available and listened to. Quick refund and respecting my price extension option of the new one following a flight. New motorcycle provided at home at a good price. I have always taken the most expensive formulas at AMV, very satisfied at"&amp;" the moment")</f>
        <v>Customer service available and listened to. Quick refund and respecting my price extension option of the new one following a flight. New motorcycle provided at home at a good price. I have always taken the most expensive formulas at AMV, very satisfied at the moment</v>
      </c>
    </row>
    <row r="582" ht="15.75" customHeight="1">
      <c r="A582" s="2">
        <v>1.0</v>
      </c>
      <c r="B582" s="2" t="s">
        <v>1718</v>
      </c>
      <c r="C582" s="2" t="s">
        <v>1719</v>
      </c>
      <c r="D582" s="2" t="s">
        <v>164</v>
      </c>
      <c r="E582" s="2" t="s">
        <v>43</v>
      </c>
      <c r="F582" s="2" t="s">
        <v>15</v>
      </c>
      <c r="G582" s="2" t="s">
        <v>1720</v>
      </c>
      <c r="H582" s="2" t="s">
        <v>1083</v>
      </c>
      <c r="I582" s="2" t="str">
        <f>IFERROR(__xludf.DUMMYFUNCTION("GOOGLETRANSLATE(C582,""fr"",""en"")"),"Holder at Cardif Life Insurance of a PERM I do not manage to recover my funds (capital outing) since 01/31/2018.
They do not answer the registered mail or the formal notice.
Putting money on a perm and not being able to recover your retirement is a sham"&amp;"e")</f>
        <v>Holder at Cardif Life Insurance of a PERM I do not manage to recover my funds (capital outing) since 01/31/2018.
They do not answer the registered mail or the formal notice.
Putting money on a perm and not being able to recover your retirement is a shame</v>
      </c>
    </row>
    <row r="583" ht="15.75" customHeight="1">
      <c r="A583" s="2">
        <v>2.0</v>
      </c>
      <c r="B583" s="2" t="s">
        <v>1721</v>
      </c>
      <c r="C583" s="2" t="s">
        <v>1722</v>
      </c>
      <c r="D583" s="2" t="s">
        <v>13</v>
      </c>
      <c r="E583" s="2" t="s">
        <v>104</v>
      </c>
      <c r="F583" s="2" t="s">
        <v>15</v>
      </c>
      <c r="G583" s="2" t="s">
        <v>1723</v>
      </c>
      <c r="H583" s="2" t="s">
        <v>361</v>
      </c>
      <c r="I583" s="2" t="str">
        <f>IFERROR(__xludf.DUMMYFUNCTION("GOOGLETRANSLATE(C583,""fr"",""en"")"),"Pacifica has authorized to terminate my contract with false information: disasterality. A single damage of water in 3 years!")</f>
        <v>Pacifica has authorized to terminate my contract with false information: disasterality. A single damage of water in 3 years!</v>
      </c>
    </row>
    <row r="584" ht="15.75" customHeight="1">
      <c r="A584" s="2">
        <v>5.0</v>
      </c>
      <c r="B584" s="2" t="s">
        <v>1724</v>
      </c>
      <c r="C584" s="2" t="s">
        <v>1725</v>
      </c>
      <c r="D584" s="2" t="s">
        <v>57</v>
      </c>
      <c r="E584" s="2" t="s">
        <v>14</v>
      </c>
      <c r="F584" s="2" t="s">
        <v>15</v>
      </c>
      <c r="G584" s="2" t="s">
        <v>877</v>
      </c>
      <c r="H584" s="2" t="s">
        <v>81</v>
      </c>
      <c r="I584" s="2" t="str">
        <f>IFERROR(__xludf.DUMMYFUNCTION("GOOGLETRANSLATE(C584,""fr"",""en"")"),"TOP service, much cheaper than my old insurance.
Listening and reactivity at the top.
Easy to secure online even from a mobile phone.
Really well done !")</f>
        <v>TOP service, much cheaper than my old insurance.
Listening and reactivity at the top.
Easy to secure online even from a mobile phone.
Really well done !</v>
      </c>
    </row>
    <row r="585" ht="15.75" customHeight="1">
      <c r="A585" s="2">
        <v>5.0</v>
      </c>
      <c r="B585" s="2" t="s">
        <v>1726</v>
      </c>
      <c r="C585" s="2" t="s">
        <v>1727</v>
      </c>
      <c r="D585" s="2" t="s">
        <v>26</v>
      </c>
      <c r="E585" s="2" t="s">
        <v>14</v>
      </c>
      <c r="F585" s="2" t="s">
        <v>15</v>
      </c>
      <c r="G585" s="2" t="s">
        <v>670</v>
      </c>
      <c r="H585" s="2" t="s">
        <v>28</v>
      </c>
      <c r="I585" s="2" t="str">
        <f>IFERROR(__xludf.DUMMYFUNCTION("GOOGLETRANSLATE(C585,""fr"",""en"")"),"Prices and services satisfied
Clear and effective online quote and subscription
Totally satisfied with all services.
The explanations are at the top.")</f>
        <v>Prices and services satisfied
Clear and effective online quote and subscription
Totally satisfied with all services.
The explanations are at the top.</v>
      </c>
    </row>
    <row r="586" ht="15.75" customHeight="1">
      <c r="A586" s="2">
        <v>3.0</v>
      </c>
      <c r="B586" s="2" t="s">
        <v>1728</v>
      </c>
      <c r="C586" s="2" t="s">
        <v>1729</v>
      </c>
      <c r="D586" s="2" t="s">
        <v>31</v>
      </c>
      <c r="E586" s="2" t="s">
        <v>32</v>
      </c>
      <c r="F586" s="2" t="s">
        <v>15</v>
      </c>
      <c r="G586" s="2" t="s">
        <v>1730</v>
      </c>
      <c r="H586" s="2" t="s">
        <v>122</v>
      </c>
      <c r="I586" s="2" t="str">
        <f>IFERROR(__xludf.DUMMYFUNCTION("GOOGLETRANSLATE(C586,""fr"",""en"")"),"I am generally satisfied with the service, although it seems to me to have already signed this document there. The person on the phone was quick to recall and explain the terms to follow.")</f>
        <v>I am generally satisfied with the service, although it seems to me to have already signed this document there. The person on the phone was quick to recall and explain the terms to follow.</v>
      </c>
    </row>
    <row r="587" ht="15.75" customHeight="1">
      <c r="A587" s="2">
        <v>1.0</v>
      </c>
      <c r="B587" s="2" t="s">
        <v>1731</v>
      </c>
      <c r="C587" s="2" t="s">
        <v>1732</v>
      </c>
      <c r="D587" s="2" t="s">
        <v>192</v>
      </c>
      <c r="E587" s="2" t="s">
        <v>21</v>
      </c>
      <c r="F587" s="2" t="s">
        <v>15</v>
      </c>
      <c r="G587" s="2" t="s">
        <v>1733</v>
      </c>
      <c r="H587" s="2" t="s">
        <v>17</v>
      </c>
      <c r="I587" s="2" t="str">
        <f>IFERROR(__xludf.DUMMYFUNCTION("GOOGLETRANSLATE(C587,""fr"",""en"")"),"I represent my mother under supervision which is at MGEN.
Impossible to get the slightest thing from them. Make Kafkaian requests so as not to have to reimburse 800 euros ... Genre: they ask for a copy of the identity card, I send the only one I have, my"&amp;" passport: refusal of the file. Ridiculous.")</f>
        <v>I represent my mother under supervision which is at MGEN.
Impossible to get the slightest thing from them. Make Kafkaian requests so as not to have to reimburse 800 euros ... Genre: they ask for a copy of the identity card, I send the only one I have, my passport: refusal of the file. Ridiculous.</v>
      </c>
    </row>
    <row r="588" ht="15.75" customHeight="1">
      <c r="A588" s="2">
        <v>3.0</v>
      </c>
      <c r="B588" s="2" t="s">
        <v>1734</v>
      </c>
      <c r="C588" s="2" t="s">
        <v>1735</v>
      </c>
      <c r="D588" s="2" t="s">
        <v>26</v>
      </c>
      <c r="E588" s="2" t="s">
        <v>14</v>
      </c>
      <c r="F588" s="2" t="s">
        <v>15</v>
      </c>
      <c r="G588" s="2" t="s">
        <v>429</v>
      </c>
      <c r="H588" s="2" t="s">
        <v>34</v>
      </c>
      <c r="I588" s="2" t="str">
        <f>IFERROR(__xludf.DUMMYFUNCTION("GOOGLETRANSLATE(C588,""fr"",""en"")"),"I am satisfied with the service, and the speed of the creation of the contract.
I appreciate not having to terminate my old contract.
The franchises remains high")</f>
        <v>I am satisfied with the service, and the speed of the creation of the contract.
I appreciate not having to terminate my old contract.
The franchises remains high</v>
      </c>
    </row>
    <row r="589" ht="15.75" customHeight="1">
      <c r="A589" s="2">
        <v>1.0</v>
      </c>
      <c r="B589" s="2" t="s">
        <v>1736</v>
      </c>
      <c r="C589" s="2" t="s">
        <v>1737</v>
      </c>
      <c r="D589" s="2" t="s">
        <v>250</v>
      </c>
      <c r="E589" s="2" t="s">
        <v>21</v>
      </c>
      <c r="F589" s="2" t="s">
        <v>15</v>
      </c>
      <c r="G589" s="2" t="s">
        <v>1738</v>
      </c>
      <c r="H589" s="2" t="s">
        <v>145</v>
      </c>
      <c r="I589" s="2" t="str">
        <f>IFERROR(__xludf.DUMMYFUNCTION("GOOGLETRANSLATE(C589,""fr"",""en"")"),"I subscribed to a mutual contract at the highest level which is level 6 to 120 euro I have to ask several resumptions if the care I was going to do will be reimbursed in level 6 what was confirmed following this subscription I have been careful with my de"&amp;"ntist for more than 6000 euros
I go back to my mutual insurance company to see how much he reimburses me = disaster
Since I have been a member for less than a year my ceiling is limited to 1000 euros for one year for 2 years
Run away to run away
It is"&amp;" written anywhere that the new members are subject to this law
In the meantime I must settle this astronomical sum
Thank you harmony
I will not let go")</f>
        <v>I subscribed to a mutual contract at the highest level which is level 6 to 120 euro I have to ask several resumptions if the care I was going to do will be reimbursed in level 6 what was confirmed following this subscription I have been careful with my dentist for more than 6000 euros
I go back to my mutual insurance company to see how much he reimburses me = disaster
Since I have been a member for less than a year my ceiling is limited to 1000 euros for one year for 2 years
Run away to run away
It is written anywhere that the new members are subject to this law
In the meantime I must settle this astronomical sum
Thank you harmony
I will not let go</v>
      </c>
    </row>
    <row r="590" ht="15.75" customHeight="1">
      <c r="A590" s="2">
        <v>2.0</v>
      </c>
      <c r="B590" s="2" t="s">
        <v>1739</v>
      </c>
      <c r="C590" s="2" t="s">
        <v>1740</v>
      </c>
      <c r="D590" s="2" t="s">
        <v>48</v>
      </c>
      <c r="E590" s="2" t="s">
        <v>21</v>
      </c>
      <c r="F590" s="2" t="s">
        <v>15</v>
      </c>
      <c r="G590" s="2" t="s">
        <v>1741</v>
      </c>
      <c r="H590" s="2" t="s">
        <v>50</v>
      </c>
      <c r="I590" s="2" t="str">
        <f>IFERROR(__xludf.DUMMYFUNCTION("GOOGLETRANSLATE(C590,""fr"",""en"")"),"Correct price but minimal reimbursements The glasses specialists, he never responds to letters")</f>
        <v>Correct price but minimal reimbursements The glasses specialists, he never responds to letters</v>
      </c>
    </row>
    <row r="591" ht="15.75" customHeight="1">
      <c r="A591" s="2">
        <v>2.0</v>
      </c>
      <c r="B591" s="2" t="s">
        <v>1742</v>
      </c>
      <c r="C591" s="2" t="s">
        <v>1743</v>
      </c>
      <c r="D591" s="2" t="s">
        <v>305</v>
      </c>
      <c r="E591" s="2" t="s">
        <v>38</v>
      </c>
      <c r="F591" s="2" t="s">
        <v>15</v>
      </c>
      <c r="G591" s="2" t="s">
        <v>1744</v>
      </c>
      <c r="H591" s="2" t="s">
        <v>691</v>
      </c>
      <c r="I591" s="2" t="str">
        <f>IFERROR(__xludf.DUMMYFUNCTION("GOOGLETRANSLATE(C591,""fr"",""en"")"),"I had a March 2019 accident we are in April 2020 and supposedly not the verbal trial on the other hand we received a nice mail with an application of a 50/50 barem for the accident when they do not know If responsible or not but I site for customer servic"&amp;"e when calling it ""it is in case or"" in short lamentable website that does not work shabby customer service. A disaster")</f>
        <v>I had a March 2019 accident we are in April 2020 and supposedly not the verbal trial on the other hand we received a nice mail with an application of a 50/50 barem for the accident when they do not know If responsible or not but I site for customer service when calling it "it is in case or" in short lamentable website that does not work shabby customer service. A disaster</v>
      </c>
    </row>
    <row r="592" ht="15.75" customHeight="1">
      <c r="A592" s="2">
        <v>1.0</v>
      </c>
      <c r="B592" s="2" t="s">
        <v>1745</v>
      </c>
      <c r="C592" s="2" t="s">
        <v>1746</v>
      </c>
      <c r="D592" s="2" t="s">
        <v>315</v>
      </c>
      <c r="E592" s="2" t="s">
        <v>14</v>
      </c>
      <c r="F592" s="2" t="s">
        <v>15</v>
      </c>
      <c r="G592" s="2" t="s">
        <v>1747</v>
      </c>
      <c r="H592" s="2" t="s">
        <v>343</v>
      </c>
      <c r="I592" s="2" t="str">
        <f>IFERROR(__xludf.DUMMYFUNCTION("GOOGLETRANSLATE(C592,""fr"",""en"")"),"Do not make the mistake of taking out a contract with Eurofil!
No customer at Eurofil I made a quote from them. The price was interesting but the harassment of the advisers which reminds me of 10x per day to subscribe and the opinions of Internet users m"&amp;"y quickly disillusioned. I told them that I did not want to make sure of the opinions that I had seen at home, and immediately the advisor became hyper aggressive to finally hang up on me.
This proves precisely that customer opinions reflect a simple tru"&amp;"th.")</f>
        <v>Do not make the mistake of taking out a contract with Eurofil!
No customer at Eurofil I made a quote from them. The price was interesting but the harassment of the advisers which reminds me of 10x per day to subscribe and the opinions of Internet users my quickly disillusioned. I told them that I did not want to make sure of the opinions that I had seen at home, and immediately the advisor became hyper aggressive to finally hang up on me.
This proves precisely that customer opinions reflect a simple truth.</v>
      </c>
    </row>
    <row r="593" ht="15.75" customHeight="1">
      <c r="A593" s="2">
        <v>1.0</v>
      </c>
      <c r="B593" s="2" t="s">
        <v>1748</v>
      </c>
      <c r="C593" s="2" t="s">
        <v>1749</v>
      </c>
      <c r="D593" s="2" t="s">
        <v>550</v>
      </c>
      <c r="E593" s="2" t="s">
        <v>104</v>
      </c>
      <c r="F593" s="2" t="s">
        <v>15</v>
      </c>
      <c r="G593" s="2" t="s">
        <v>1750</v>
      </c>
      <c r="H593" s="2" t="s">
        <v>50</v>
      </c>
      <c r="I593" s="2" t="str">
        <f>IFERROR(__xludf.DUMMYFUNCTION("GOOGLETRANSLATE(C593,""fr"",""en"")"),"I am assured for the vehicle, the house and the health")</f>
        <v>I am assured for the vehicle, the house and the health</v>
      </c>
    </row>
    <row r="594" ht="15.75" customHeight="1">
      <c r="A594" s="2">
        <v>4.0</v>
      </c>
      <c r="B594" s="2" t="s">
        <v>1751</v>
      </c>
      <c r="C594" s="2" t="s">
        <v>1752</v>
      </c>
      <c r="D594" s="2" t="s">
        <v>26</v>
      </c>
      <c r="E594" s="2" t="s">
        <v>14</v>
      </c>
      <c r="F594" s="2" t="s">
        <v>15</v>
      </c>
      <c r="G594" s="2" t="s">
        <v>902</v>
      </c>
      <c r="H594" s="2" t="s">
        <v>166</v>
      </c>
      <c r="I594" s="2" t="str">
        <f>IFERROR(__xludf.DUMMYFUNCTION("GOOGLETRANSLATE(C594,""fr"",""en"")"),"I find that these good value for money. I am satisfied with what is proposed this meets my expectations. Quick and efficient quote clearly clear.")</f>
        <v>I find that these good value for money. I am satisfied with what is proposed this meets my expectations. Quick and efficient quote clearly clear.</v>
      </c>
    </row>
    <row r="595" ht="15.75" customHeight="1">
      <c r="A595" s="2">
        <v>2.0</v>
      </c>
      <c r="B595" s="2" t="s">
        <v>1753</v>
      </c>
      <c r="C595" s="2" t="s">
        <v>1754</v>
      </c>
      <c r="D595" s="2" t="s">
        <v>53</v>
      </c>
      <c r="E595" s="2" t="s">
        <v>14</v>
      </c>
      <c r="F595" s="2" t="s">
        <v>15</v>
      </c>
      <c r="G595" s="2" t="s">
        <v>1755</v>
      </c>
      <c r="H595" s="2" t="s">
        <v>1083</v>
      </c>
      <c r="I595" s="2" t="str">
        <f>IFERROR(__xludf.DUMMYFUNCTION("GOOGLETRANSLATE(C595,""fr"",""en"")"),"After having received a quote in good and due form for a Jaguar Su E Pace I am in agency to sign the contract.
And there amazement! Refusal of the agency to ensure (company) because the price of the vehicle is too high !! However, this price was known as"&amp;" a quote request! Why make the customer lose so much time. The contract would have been accepted if I confided to them insurance of 2 SCIs. And there amazement (NR2 !!) not possible because the buildings are in flood zone as almost all of the city (Avigno"&amp;"n). We think we dream. So it was a lure.
This insurer can still do a lot of puyb, but we no longer believe it.")</f>
        <v>After having received a quote in good and due form for a Jaguar Su E Pace I am in agency to sign the contract.
And there amazement! Refusal of the agency to ensure (company) because the price of the vehicle is too high !! However, this price was known as a quote request! Why make the customer lose so much time. The contract would have been accepted if I confided to them insurance of 2 SCIs. And there amazement (NR2 !!) not possible because the buildings are in flood zone as almost all of the city (Avignon). We think we dream. So it was a lure.
This insurer can still do a lot of puyb, but we no longer believe it.</v>
      </c>
    </row>
    <row r="596" ht="15.75" customHeight="1">
      <c r="A596" s="2">
        <v>1.0</v>
      </c>
      <c r="B596" s="2" t="s">
        <v>1756</v>
      </c>
      <c r="C596" s="2" t="s">
        <v>1757</v>
      </c>
      <c r="D596" s="2" t="s">
        <v>143</v>
      </c>
      <c r="E596" s="2" t="s">
        <v>109</v>
      </c>
      <c r="F596" s="2" t="s">
        <v>15</v>
      </c>
      <c r="G596" s="2" t="s">
        <v>335</v>
      </c>
      <c r="H596" s="2" t="s">
        <v>122</v>
      </c>
      <c r="I596" s="2" t="str">
        <f>IFERROR(__xludf.DUMMYFUNCTION("GOOGLETRANSLATE(C596,""fr"",""en"")"),"They deserve 0 stars!
No responsiveness to the level of management.
Lack of organization, structure and clear attributions of responsibilities.
Lack of competence/professionalism and lack of sense of responsibility.
Either they do not answer where the"&amp;"y ask for other elements each time.
A real ordeal for months/years to liquidate a contract.
To abstain absolutely!")</f>
        <v>They deserve 0 stars!
No responsiveness to the level of management.
Lack of organization, structure and clear attributions of responsibilities.
Lack of competence/professionalism and lack of sense of responsibility.
Either they do not answer where they ask for other elements each time.
A real ordeal for months/years to liquidate a contract.
To abstain absolutely!</v>
      </c>
    </row>
    <row r="597" ht="15.75" customHeight="1">
      <c r="A597" s="2">
        <v>2.0</v>
      </c>
      <c r="B597" s="2" t="s">
        <v>1758</v>
      </c>
      <c r="C597" s="2" t="s">
        <v>1759</v>
      </c>
      <c r="D597" s="2" t="s">
        <v>103</v>
      </c>
      <c r="E597" s="2" t="s">
        <v>14</v>
      </c>
      <c r="F597" s="2" t="s">
        <v>15</v>
      </c>
      <c r="G597" s="2" t="s">
        <v>1760</v>
      </c>
      <c r="H597" s="2" t="s">
        <v>547</v>
      </c>
      <c r="I597" s="2" t="str">
        <f>IFERROR(__xludf.DUMMYFUNCTION("GOOGLETRANSLATE(C597,""fr"",""en"")"),"The prices are no longer aligned with market practices, the price is constantly increasing without proof, I will change")</f>
        <v>The prices are no longer aligned with market practices, the price is constantly increasing without proof, I will change</v>
      </c>
    </row>
    <row r="598" ht="15.75" customHeight="1">
      <c r="A598" s="2">
        <v>1.0</v>
      </c>
      <c r="B598" s="2" t="s">
        <v>1761</v>
      </c>
      <c r="C598" s="2" t="s">
        <v>1762</v>
      </c>
      <c r="D598" s="2" t="s">
        <v>410</v>
      </c>
      <c r="E598" s="2" t="s">
        <v>14</v>
      </c>
      <c r="F598" s="2" t="s">
        <v>15</v>
      </c>
      <c r="G598" s="2" t="s">
        <v>1763</v>
      </c>
      <c r="H598" s="2" t="s">
        <v>252</v>
      </c>
      <c r="I598" s="2" t="str">
        <f>IFERROR(__xludf.DUMMYFUNCTION("GOOGLETRANSLATE(C598,""fr"",""en"")"),"I strongly advise against this company if you have automotive bodily injury. I had a road accident in December 2017, given the Matmut doctor in December 2018. Result no report and he declares that the damage suffered from the rabbit is not in correlation "&amp;"with the accident that I suffered. A van struck me violently from the back, my car was scrapped and these headaches are not at the origin of the accident. Especially remember to find better insurance because body damage C ' is important. Today we are 8 8 "&amp;"2019, almost two years later and I still do not have the report of their doctor. It's really shameful.")</f>
        <v>I strongly advise against this company if you have automotive bodily injury. I had a road accident in December 2017, given the Matmut doctor in December 2018. Result no report and he declares that the damage suffered from the rabbit is not in correlation with the accident that I suffered. A van struck me violently from the back, my car was scrapped and these headaches are not at the origin of the accident. Especially remember to find better insurance because body damage C ' is important. Today we are 8 8 2019, almost two years later and I still do not have the report of their doctor. It's really shameful.</v>
      </c>
    </row>
    <row r="599" ht="15.75" customHeight="1">
      <c r="A599" s="2">
        <v>4.0</v>
      </c>
      <c r="B599" s="2" t="s">
        <v>1764</v>
      </c>
      <c r="C599" s="2" t="s">
        <v>1765</v>
      </c>
      <c r="D599" s="2" t="s">
        <v>37</v>
      </c>
      <c r="E599" s="2" t="s">
        <v>38</v>
      </c>
      <c r="F599" s="2" t="s">
        <v>15</v>
      </c>
      <c r="G599" s="2" t="s">
        <v>140</v>
      </c>
      <c r="H599" s="2" t="s">
        <v>140</v>
      </c>
      <c r="I599" s="2" t="str">
        <f>IFERROR(__xludf.DUMMYFUNCTION("GOOGLETRANSLATE(C599,""fr"",""en"")"),"I am satisfied, no complaints so far concerning the prices, the speed of execution of administrative formalities, I have been at AMV for several years and currently do not intend to change.")</f>
        <v>I am satisfied, no complaints so far concerning the prices, the speed of execution of administrative formalities, I have been at AMV for several years and currently do not intend to change.</v>
      </c>
    </row>
    <row r="600" ht="15.75" customHeight="1">
      <c r="A600" s="2">
        <v>1.0</v>
      </c>
      <c r="B600" s="2" t="s">
        <v>1766</v>
      </c>
      <c r="C600" s="2" t="s">
        <v>1767</v>
      </c>
      <c r="D600" s="2" t="s">
        <v>103</v>
      </c>
      <c r="E600" s="2" t="s">
        <v>14</v>
      </c>
      <c r="F600" s="2" t="s">
        <v>15</v>
      </c>
      <c r="G600" s="2" t="s">
        <v>1565</v>
      </c>
      <c r="H600" s="2" t="s">
        <v>185</v>
      </c>
      <c r="I600" s="2" t="str">
        <f>IFERROR(__xludf.DUMMYFUNCTION("GOOGLETRANSLATE(C600,""fr"",""en"")"),"The Macif does not take care of its customers !!!! My parents have been at home for over 40 years and left! No gifts despite loyalty. My parents were burst of the tires of 2 cars and had to pay the franchise twice. To obtain an information statement, to b"&amp;"e able to change your insurance because you can no longer, we put sticks in the wheels! You call the assistance service we tell you that it cannot be sent by email, you go to the agency we tell you the opposite !!!! In addition, for a refund on 350 euros "&amp;"of glasses we reimburse you 60 euros! To top it all, ask you for a refund on an account but we make you the transfer on another and after you tell you that it is too late! Inadmissible !!")</f>
        <v>The Macif does not take care of its customers !!!! My parents have been at home for over 40 years and left! No gifts despite loyalty. My parents were burst of the tires of 2 cars and had to pay the franchise twice. To obtain an information statement, to be able to change your insurance because you can no longer, we put sticks in the wheels! You call the assistance service we tell you that it cannot be sent by email, you go to the agency we tell you the opposite !!!! In addition, for a refund on 350 euros of glasses we reimburse you 60 euros! To top it all, ask you for a refund on an account but we make you the transfer on another and after you tell you that it is too late! Inadmissible !!</v>
      </c>
    </row>
    <row r="601" ht="15.75" customHeight="1">
      <c r="A601" s="2">
        <v>5.0</v>
      </c>
      <c r="B601" s="2" t="s">
        <v>1768</v>
      </c>
      <c r="C601" s="2" t="s">
        <v>1769</v>
      </c>
      <c r="D601" s="2" t="s">
        <v>152</v>
      </c>
      <c r="E601" s="2" t="s">
        <v>109</v>
      </c>
      <c r="F601" s="2" t="s">
        <v>15</v>
      </c>
      <c r="G601" s="2" t="s">
        <v>944</v>
      </c>
      <c r="H601" s="2" t="s">
        <v>515</v>
      </c>
      <c r="I601" s="2" t="str">
        <f>IFERROR(__xludf.DUMMYFUNCTION("GOOGLETRANSLATE(C601,""fr"",""en"")"),"Telephone conversation with a very kind and attentive correspondent. Problem solved quickly (connection to the site) and very professionally")</f>
        <v>Telephone conversation with a very kind and attentive correspondent. Problem solved quickly (connection to the site) and very professionally</v>
      </c>
    </row>
    <row r="602" ht="15.75" customHeight="1">
      <c r="A602" s="2">
        <v>1.0</v>
      </c>
      <c r="B602" s="2" t="s">
        <v>1770</v>
      </c>
      <c r="C602" s="2" t="s">
        <v>1771</v>
      </c>
      <c r="D602" s="2" t="s">
        <v>410</v>
      </c>
      <c r="E602" s="2" t="s">
        <v>104</v>
      </c>
      <c r="F602" s="2" t="s">
        <v>15</v>
      </c>
      <c r="G602" s="2" t="s">
        <v>1772</v>
      </c>
      <c r="H602" s="2" t="s">
        <v>185</v>
      </c>
      <c r="I602" s="2" t="str">
        <f>IFERROR(__xludf.DUMMYFUNCTION("GOOGLETRANSLATE(C602,""fr"",""en"")"),"Fraction burglary
Not reimbursed for months
The problem is no dialogue
No one is responsible for the file
They require supporting documents other than invoices
Taxation opinion and salary slip!
A real survey when it is necessary to compensate
And t"&amp;"hen complete silence!
What else to do to have the compensation registered on the contract?")</f>
        <v>Fraction burglary
Not reimbursed for months
The problem is no dialogue
No one is responsible for the file
They require supporting documents other than invoices
Taxation opinion and salary slip!
A real survey when it is necessary to compensate
And then complete silence!
What else to do to have the compensation registered on the contract?</v>
      </c>
    </row>
    <row r="603" ht="15.75" customHeight="1">
      <c r="A603" s="2">
        <v>2.0</v>
      </c>
      <c r="B603" s="2" t="s">
        <v>1773</v>
      </c>
      <c r="C603" s="2" t="s">
        <v>1774</v>
      </c>
      <c r="D603" s="2" t="s">
        <v>26</v>
      </c>
      <c r="E603" s="2" t="s">
        <v>14</v>
      </c>
      <c r="F603" s="2" t="s">
        <v>15</v>
      </c>
      <c r="G603" s="2" t="s">
        <v>1018</v>
      </c>
      <c r="H603" s="2" t="s">
        <v>74</v>
      </c>
      <c r="I603" s="2" t="str">
        <f>IFERROR(__xludf.DUMMYFUNCTION("GOOGLETRANSLATE(C603,""fr"",""en"")"),"There should not be an increase in auto insurance in 2021, on the phone is told that in my region they have more accidents? , people rolled less during the pandemic, it does not seem justified to me, so I will see if I find a more attractive price,")</f>
        <v>There should not be an increase in auto insurance in 2021, on the phone is told that in my region they have more accidents? , people rolled less during the pandemic, it does not seem justified to me, so I will see if I find a more attractive price,</v>
      </c>
    </row>
    <row r="604" ht="15.75" customHeight="1">
      <c r="A604" s="2">
        <v>5.0</v>
      </c>
      <c r="B604" s="2" t="s">
        <v>1775</v>
      </c>
      <c r="C604" s="2" t="s">
        <v>1776</v>
      </c>
      <c r="D604" s="2" t="s">
        <v>57</v>
      </c>
      <c r="E604" s="2" t="s">
        <v>14</v>
      </c>
      <c r="F604" s="2" t="s">
        <v>15</v>
      </c>
      <c r="G604" s="2" t="s">
        <v>953</v>
      </c>
      <c r="H604" s="2" t="s">
        <v>122</v>
      </c>
      <c r="I604" s="2" t="str">
        <f>IFERROR(__xludf.DUMMYFUNCTION("GOOGLETRANSLATE(C604,""fr"",""en"")"),"Perfect at the top !!! Too happy ! The advisers are super nice! Accommodating! Everything is very simple! Without headache and cheap in addition !! Especially if you are a young driver it is not expensive!")</f>
        <v>Perfect at the top !!! Too happy ! The advisers are super nice! Accommodating! Everything is very simple! Without headache and cheap in addition !! Especially if you are a young driver it is not expensive!</v>
      </c>
    </row>
    <row r="605" ht="15.75" customHeight="1">
      <c r="A605" s="2">
        <v>5.0</v>
      </c>
      <c r="B605" s="2" t="s">
        <v>1777</v>
      </c>
      <c r="C605" s="2" t="s">
        <v>1778</v>
      </c>
      <c r="D605" s="2" t="s">
        <v>57</v>
      </c>
      <c r="E605" s="2" t="s">
        <v>14</v>
      </c>
      <c r="F605" s="2" t="s">
        <v>15</v>
      </c>
      <c r="G605" s="2" t="s">
        <v>1779</v>
      </c>
      <c r="H605" s="2" t="s">
        <v>515</v>
      </c>
      <c r="I605" s="2" t="str">
        <f>IFERROR(__xludf.DUMMYFUNCTION("GOOGLETRANSLATE(C605,""fr"",""en"")"),"Very good telephone assistance.
I am satisfied with my subscription to an asurance contract with the Olivier Insurance.
I recommend.
Thank you")</f>
        <v>Very good telephone assistance.
I am satisfied with my subscription to an asurance contract with the Olivier Insurance.
I recommend.
Thank you</v>
      </c>
    </row>
    <row r="606" ht="15.75" customHeight="1">
      <c r="A606" s="2">
        <v>4.0</v>
      </c>
      <c r="B606" s="2" t="s">
        <v>1780</v>
      </c>
      <c r="C606" s="2" t="s">
        <v>1781</v>
      </c>
      <c r="D606" s="2" t="s">
        <v>57</v>
      </c>
      <c r="E606" s="2" t="s">
        <v>14</v>
      </c>
      <c r="F606" s="2" t="s">
        <v>15</v>
      </c>
      <c r="G606" s="2" t="s">
        <v>1056</v>
      </c>
      <c r="H606" s="2" t="s">
        <v>122</v>
      </c>
      <c r="I606" s="2" t="str">
        <f>IFERROR(__xludf.DUMMYFUNCTION("GOOGLETRANSLATE(C606,""fr"",""en"")"),"I am satisfied, price level suits me, easy to use customer area, for contacts I had no problems to know if all is well, that's")</f>
        <v>I am satisfied, price level suits me, easy to use customer area, for contacts I had no problems to know if all is well, that's</v>
      </c>
    </row>
    <row r="607" ht="15.75" customHeight="1">
      <c r="A607" s="2">
        <v>5.0</v>
      </c>
      <c r="B607" s="2" t="s">
        <v>1782</v>
      </c>
      <c r="C607" s="2" t="s">
        <v>1783</v>
      </c>
      <c r="D607" s="2" t="s">
        <v>26</v>
      </c>
      <c r="E607" s="2" t="s">
        <v>14</v>
      </c>
      <c r="F607" s="2" t="s">
        <v>15</v>
      </c>
      <c r="G607" s="2" t="s">
        <v>118</v>
      </c>
      <c r="H607" s="2" t="s">
        <v>81</v>
      </c>
      <c r="I607" s="2" t="str">
        <f>IFERROR(__xludf.DUMMYFUNCTION("GOOGLETRANSLATE(C607,""fr"",""en"")"),"I am satisfied
The price is correct
The advisers are pleasant and professional
I pay cheaper than I have my old insurance in addition they have an application")</f>
        <v>I am satisfied
The price is correct
The advisers are pleasant and professional
I pay cheaper than I have my old insurance in addition they have an application</v>
      </c>
    </row>
    <row r="608" ht="15.75" customHeight="1">
      <c r="A608" s="2">
        <v>5.0</v>
      </c>
      <c r="B608" s="2" t="s">
        <v>1784</v>
      </c>
      <c r="C608" s="2" t="s">
        <v>1785</v>
      </c>
      <c r="D608" s="2" t="s">
        <v>57</v>
      </c>
      <c r="E608" s="2" t="s">
        <v>14</v>
      </c>
      <c r="F608" s="2" t="s">
        <v>15</v>
      </c>
      <c r="G608" s="2" t="s">
        <v>792</v>
      </c>
      <c r="H608" s="2" t="s">
        <v>90</v>
      </c>
      <c r="I608" s="2" t="str">
        <f>IFERROR(__xludf.DUMMYFUNCTION("GOOGLETRANSLATE(C608,""fr"",""en"")"),"Alright. Good explanation, value for money top !! and good understanding.
I think I come back to you for another insurance see several.")</f>
        <v>Alright. Good explanation, value for money top !! and good understanding.
I think I come back to you for another insurance see several.</v>
      </c>
    </row>
    <row r="609" ht="15.75" customHeight="1">
      <c r="A609" s="2">
        <v>4.0</v>
      </c>
      <c r="B609" s="2" t="s">
        <v>1786</v>
      </c>
      <c r="C609" s="2" t="s">
        <v>1787</v>
      </c>
      <c r="D609" s="2" t="s">
        <v>26</v>
      </c>
      <c r="E609" s="2" t="s">
        <v>14</v>
      </c>
      <c r="F609" s="2" t="s">
        <v>15</v>
      </c>
      <c r="G609" s="2" t="s">
        <v>805</v>
      </c>
      <c r="H609" s="2" t="s">
        <v>81</v>
      </c>
      <c r="I609" s="2" t="str">
        <f>IFERROR(__xludf.DUMMYFUNCTION("GOOGLETRANSLATE(C609,""fr"",""en"")"),"I am very satisfied with the services and the price compared to the current insurance which was relatively expensive. I will see later if I will provide other vehicles at Direct Insurance.")</f>
        <v>I am very satisfied with the services and the price compared to the current insurance which was relatively expensive. I will see later if I will provide other vehicles at Direct Insurance.</v>
      </c>
    </row>
    <row r="610" ht="15.75" customHeight="1">
      <c r="A610" s="2">
        <v>5.0</v>
      </c>
      <c r="B610" s="2" t="s">
        <v>1788</v>
      </c>
      <c r="C610" s="2" t="s">
        <v>1789</v>
      </c>
      <c r="D610" s="2" t="s">
        <v>37</v>
      </c>
      <c r="E610" s="2" t="s">
        <v>38</v>
      </c>
      <c r="F610" s="2" t="s">
        <v>15</v>
      </c>
      <c r="G610" s="2" t="s">
        <v>279</v>
      </c>
      <c r="H610" s="2" t="s">
        <v>122</v>
      </c>
      <c r="I610" s="2" t="str">
        <f>IFERROR(__xludf.DUMMYFUNCTION("GOOGLETRANSLATE(C610,""fr"",""en"")"),"Telephone central: There will always be someone to answer you who is more competent, and audible.
Claim declaration: always fast and available (2 accidents).
Website: Clear, functional updated very often.
General price: attractive.
Assistance "&amp;"0 kilometer: used 3 times always satisfied and really inexpensive for the tranquility and the usefulness that it brings.
In 13 years of insurance at AMV I have never had a bad surprise I highly recommend this insurance to any biker.
There is no poin"&amp;"t in opening, you have to go on time. V")</f>
        <v>Telephone central: There will always be someone to answer you who is more competent, and audible.
Claim declaration: always fast and available (2 accidents).
Website: Clear, functional updated very often.
General price: attractive.
Assistance 0 kilometer: used 3 times always satisfied and really inexpensive for the tranquility and the usefulness that it brings.
In 13 years of insurance at AMV I have never had a bad surprise I highly recommend this insurance to any biker.
There is no point in opening, you have to go on time. V</v>
      </c>
    </row>
    <row r="611" ht="15.75" customHeight="1">
      <c r="A611" s="2">
        <v>1.0</v>
      </c>
      <c r="B611" s="2" t="s">
        <v>1790</v>
      </c>
      <c r="C611" s="2" t="s">
        <v>1791</v>
      </c>
      <c r="D611" s="2" t="s">
        <v>42</v>
      </c>
      <c r="E611" s="2" t="s">
        <v>104</v>
      </c>
      <c r="F611" s="2" t="s">
        <v>15</v>
      </c>
      <c r="G611" s="2" t="s">
        <v>438</v>
      </c>
      <c r="H611" s="2" t="s">
        <v>81</v>
      </c>
      <c r="I611" s="2" t="str">
        <f>IFERROR(__xludf.DUMMYFUNCTION("GOOGLETRANSLATE(C611,""fr"",""en"")"),"My mother had a water damage due to leaks around the buildings of the buildings, 3 damaged rooms at the ceilings and walls. A company has made repairs on the roof and since then despite the recommended letters and contact with the headquarters in Paris an"&amp;"d the Lassault agency in Toulon. The price more than € 30 per month so as not to be taken care of in the event of damage !!!!")</f>
        <v>My mother had a water damage due to leaks around the buildings of the buildings, 3 damaged rooms at the ceilings and walls. A company has made repairs on the roof and since then despite the recommended letters and contact with the headquarters in Paris and the Lassault agency in Toulon. The price more than € 30 per month so as not to be taken care of in the event of damage !!!!</v>
      </c>
    </row>
    <row r="612" ht="15.75" customHeight="1">
      <c r="A612" s="2">
        <v>1.0</v>
      </c>
      <c r="B612" s="2" t="s">
        <v>1792</v>
      </c>
      <c r="C612" s="2" t="s">
        <v>1793</v>
      </c>
      <c r="D612" s="2" t="s">
        <v>20</v>
      </c>
      <c r="E612" s="2" t="s">
        <v>21</v>
      </c>
      <c r="F612" s="2" t="s">
        <v>15</v>
      </c>
      <c r="G612" s="2" t="s">
        <v>1598</v>
      </c>
      <c r="H612" s="2" t="s">
        <v>194</v>
      </c>
      <c r="I612" s="2" t="str">
        <f>IFERROR(__xludf.DUMMYFUNCTION("GOOGLETRANSLATE(C612,""fr"",""en"")"),"Benefiting from a mutual healthy by my employer, I would have liked that it would not choose the mutual from Mercer who seems to be completely forgotten what a customer is. Dental fees of October 2018 have still not been reimbursed. The worst Mutual of Fr"&amp;"ance.")</f>
        <v>Benefiting from a mutual healthy by my employer, I would have liked that it would not choose the mutual from Mercer who seems to be completely forgotten what a customer is. Dental fees of October 2018 have still not been reimbursed. The worst Mutual of France.</v>
      </c>
    </row>
    <row r="613" ht="15.75" customHeight="1">
      <c r="A613" s="2">
        <v>5.0</v>
      </c>
      <c r="B613" s="2" t="s">
        <v>1794</v>
      </c>
      <c r="C613" s="2" t="s">
        <v>1795</v>
      </c>
      <c r="D613" s="2" t="s">
        <v>57</v>
      </c>
      <c r="E613" s="2" t="s">
        <v>14</v>
      </c>
      <c r="F613" s="2" t="s">
        <v>15</v>
      </c>
      <c r="G613" s="2" t="s">
        <v>747</v>
      </c>
      <c r="H613" s="2" t="s">
        <v>90</v>
      </c>
      <c r="I613" s="2" t="str">
        <f>IFERROR(__xludf.DUMMYFUNCTION("GOOGLETRANSLATE(C613,""fr"",""en"")"),"I am very satisfied with the customer service, fast, nice and helpful, I am satisfied with the prices although it could always be more affordable, delighted to be part of this insurance that I will recommend")</f>
        <v>I am very satisfied with the customer service, fast, nice and helpful, I am satisfied with the prices although it could always be more affordable, delighted to be part of this insurance that I will recommend</v>
      </c>
    </row>
    <row r="614" ht="15.75" customHeight="1">
      <c r="A614" s="2">
        <v>5.0</v>
      </c>
      <c r="B614" s="2" t="s">
        <v>1796</v>
      </c>
      <c r="C614" s="2" t="s">
        <v>1797</v>
      </c>
      <c r="D614" s="2" t="s">
        <v>26</v>
      </c>
      <c r="E614" s="2" t="s">
        <v>14</v>
      </c>
      <c r="F614" s="2" t="s">
        <v>15</v>
      </c>
      <c r="G614" s="2" t="s">
        <v>1798</v>
      </c>
      <c r="H614" s="2" t="s">
        <v>81</v>
      </c>
      <c r="I614" s="2" t="str">
        <f>IFERROR(__xludf.DUMMYFUNCTION("GOOGLETRANSLATE(C614,""fr"",""en"")"),"Fast and effective. Very attractive price. Payment was made quickly. I was able to make sure at 11:30 p.m. for the same day. I recommend this insurance.")</f>
        <v>Fast and effective. Very attractive price. Payment was made quickly. I was able to make sure at 11:30 p.m. for the same day. I recommend this insurance.</v>
      </c>
    </row>
    <row r="615" ht="15.75" customHeight="1">
      <c r="A615" s="2">
        <v>2.0</v>
      </c>
      <c r="B615" s="2" t="s">
        <v>1799</v>
      </c>
      <c r="C615" s="2" t="s">
        <v>1800</v>
      </c>
      <c r="D615" s="2" t="s">
        <v>181</v>
      </c>
      <c r="E615" s="2" t="s">
        <v>21</v>
      </c>
      <c r="F615" s="2" t="s">
        <v>15</v>
      </c>
      <c r="G615" s="2" t="s">
        <v>1801</v>
      </c>
      <c r="H615" s="2" t="s">
        <v>442</v>
      </c>
      <c r="I615" s="2" t="str">
        <f>IFERROR(__xludf.DUMMYFUNCTION("GOOGLETRANSLATE(C615,""fr"",""en"")"),"Refusal to terminate contract, on the grounds that not sent to RAR, at the time of the Internet, a curious method and, obliged to renew contract against my will. I take note of it for 2020")</f>
        <v>Refusal to terminate contract, on the grounds that not sent to RAR, at the time of the Internet, a curious method and, obliged to renew contract against my will. I take note of it for 2020</v>
      </c>
    </row>
    <row r="616" ht="15.75" customHeight="1">
      <c r="A616" s="2">
        <v>3.0</v>
      </c>
      <c r="B616" s="2" t="s">
        <v>1802</v>
      </c>
      <c r="C616" s="2" t="s">
        <v>1803</v>
      </c>
      <c r="D616" s="2" t="s">
        <v>26</v>
      </c>
      <c r="E616" s="2" t="s">
        <v>14</v>
      </c>
      <c r="F616" s="2" t="s">
        <v>15</v>
      </c>
      <c r="G616" s="2" t="s">
        <v>1368</v>
      </c>
      <c r="H616" s="2" t="s">
        <v>166</v>
      </c>
      <c r="I616" s="2" t="str">
        <f>IFERROR(__xludf.DUMMYFUNCTION("GOOGLETRANSLATE(C616,""fr"",""en"")"),"Simple and quick quote, vehicle references found easily. Good correct franchise warranty, extensions offered very useful now to see if it is good insurance in the event of a claim")</f>
        <v>Simple and quick quote, vehicle references found easily. Good correct franchise warranty, extensions offered very useful now to see if it is good insurance in the event of a claim</v>
      </c>
    </row>
    <row r="617" ht="15.75" customHeight="1">
      <c r="A617" s="2">
        <v>2.0</v>
      </c>
      <c r="B617" s="2" t="s">
        <v>1804</v>
      </c>
      <c r="C617" s="2" t="s">
        <v>1805</v>
      </c>
      <c r="D617" s="2" t="s">
        <v>53</v>
      </c>
      <c r="E617" s="2" t="s">
        <v>14</v>
      </c>
      <c r="F617" s="2" t="s">
        <v>15</v>
      </c>
      <c r="G617" s="2" t="s">
        <v>1806</v>
      </c>
      <c r="H617" s="2" t="s">
        <v>347</v>
      </c>
      <c r="I617" s="2" t="str">
        <f>IFERROR(__xludf.DUMMYFUNCTION("GOOGLETRANSLATE(C617,""fr"",""en"")"),"Client for about 10 years, being terminated for ice breaking, I am very disappointed with this insurer who does not take into account my liabilities without any responsible accident")</f>
        <v>Client for about 10 years, being terminated for ice breaking, I am very disappointed with this insurer who does not take into account my liabilities without any responsible accident</v>
      </c>
    </row>
    <row r="618" ht="15.75" customHeight="1">
      <c r="A618" s="2">
        <v>1.0</v>
      </c>
      <c r="B618" s="2" t="s">
        <v>1807</v>
      </c>
      <c r="C618" s="2" t="s">
        <v>1808</v>
      </c>
      <c r="D618" s="2" t="s">
        <v>181</v>
      </c>
      <c r="E618" s="2" t="s">
        <v>21</v>
      </c>
      <c r="F618" s="2" t="s">
        <v>15</v>
      </c>
      <c r="G618" s="2" t="s">
        <v>756</v>
      </c>
      <c r="H618" s="2" t="s">
        <v>81</v>
      </c>
      <c r="I618" s="2" t="str">
        <f>IFERROR(__xludf.DUMMYFUNCTION("GOOGLETRANSLATE(C618,""fr"",""en"")"),"I subscribed to complementary health in the name of my daughter in January 2021 when she was unemployed. She found a job on February 1, 2021 and had to contribute to her employer's compulsory mutual insurance company and sent a letter accompanied by the c"&amp;"ertificate on March 5, 2021. April maintains that he had not received this letter. The samples continued on my bank account, I contacted April who just confirmed that there is no trace of my calls ... I asked my bank to stop paying. To date April claims m"&amp;"e € 90, contributions due (May and June 2021 ...) and recovery costs. Recovery and bailiff company. I just called to find a possible mediation, it is useless. Lavable treatment of the member, I strongly advise against this mutual. To join everything is si"&amp;"mple and pleasant but at the slightest concern or disagreement this is no longer the case anymore. I send this day dental care sheets at the end of May 2021, to follow")</f>
        <v>I subscribed to complementary health in the name of my daughter in January 2021 when she was unemployed. She found a job on February 1, 2021 and had to contribute to her employer's compulsory mutual insurance company and sent a letter accompanied by the certificate on March 5, 2021. April maintains that he had not received this letter. The samples continued on my bank account, I contacted April who just confirmed that there is no trace of my calls ... I asked my bank to stop paying. To date April claims me € 90, contributions due (May and June 2021 ...) and recovery costs. Recovery and bailiff company. I just called to find a possible mediation, it is useless. Lavable treatment of the member, I strongly advise against this mutual. To join everything is simple and pleasant but at the slightest concern or disagreement this is no longer the case anymore. I send this day dental care sheets at the end of May 2021, to follow</v>
      </c>
    </row>
    <row r="619" ht="15.75" customHeight="1">
      <c r="A619" s="2">
        <v>1.0</v>
      </c>
      <c r="B619" s="2" t="s">
        <v>1809</v>
      </c>
      <c r="C619" s="2" t="s">
        <v>1810</v>
      </c>
      <c r="D619" s="2" t="s">
        <v>57</v>
      </c>
      <c r="E619" s="2" t="s">
        <v>14</v>
      </c>
      <c r="F619" s="2" t="s">
        <v>15</v>
      </c>
      <c r="G619" s="2" t="s">
        <v>90</v>
      </c>
      <c r="H619" s="2" t="s">
        <v>90</v>
      </c>
      <c r="I619" s="2" t="str">
        <f>IFERROR(__xludf.DUMMYFUNCTION("GOOGLETRANSLATE(C619,""fr"",""en"")"),"My contract was terminated because a document did not suit you without being warned despite the multiple connections to my personal space. Result I had to take out a new contract which cost me an exorbitant increase because my vehicle was no longer provid"&amp;"ed for 2 days .... I was not even informed of this document problem that I could have resolved if you had borrowed the need to contact me")</f>
        <v>My contract was terminated because a document did not suit you without being warned despite the multiple connections to my personal space. Result I had to take out a new contract which cost me an exorbitant increase because my vehicle was no longer provided for 2 days .... I was not even informed of this document problem that I could have resolved if you had borrowed the need to contact me</v>
      </c>
    </row>
    <row r="620" ht="15.75" customHeight="1">
      <c r="A620" s="2">
        <v>1.0</v>
      </c>
      <c r="B620" s="2" t="s">
        <v>1811</v>
      </c>
      <c r="C620" s="2" t="s">
        <v>1812</v>
      </c>
      <c r="D620" s="2" t="s">
        <v>1119</v>
      </c>
      <c r="E620" s="2" t="s">
        <v>109</v>
      </c>
      <c r="F620" s="2" t="s">
        <v>15</v>
      </c>
      <c r="G620" s="2" t="s">
        <v>1813</v>
      </c>
      <c r="H620" s="2" t="s">
        <v>390</v>
      </c>
      <c r="I620" s="2" t="str">
        <f>IFERROR(__xludf.DUMMYFUNCTION("GOOGLETRANSLATE(C620,""fr"",""en"")"),"assurance to flee 10 years with them because of civid 19 they want to give anything I am craftsman I had an unpleasant salesperson who asks me to silence a certain arrogant and contemptuous person towards customers shame at them")</f>
        <v>assurance to flee 10 years with them because of civid 19 they want to give anything I am craftsman I had an unpleasant salesperson who asks me to silence a certain arrogant and contemptuous person towards customers shame at them</v>
      </c>
    </row>
    <row r="621" ht="15.75" customHeight="1">
      <c r="A621" s="2">
        <v>2.0</v>
      </c>
      <c r="B621" s="2" t="s">
        <v>1814</v>
      </c>
      <c r="C621" s="2" t="s">
        <v>1815</v>
      </c>
      <c r="D621" s="2" t="s">
        <v>26</v>
      </c>
      <c r="E621" s="2" t="s">
        <v>14</v>
      </c>
      <c r="F621" s="2" t="s">
        <v>15</v>
      </c>
      <c r="G621" s="2" t="s">
        <v>881</v>
      </c>
      <c r="H621" s="2" t="s">
        <v>361</v>
      </c>
      <c r="I621" s="2" t="str">
        <f>IFERROR(__xludf.DUMMYFUNCTION("GOOGLETRANSLATE(C621,""fr"",""en"")"),"Do not go there. Even if it is a little cheaper than other insurance. In the event of a problem, customer service is incompetent. It has been more than 2 months since I await a refund, I have already had more than 10 different interlocutors and the proble"&amp;"m is still not resolved. To flee absolutely.")</f>
        <v>Do not go there. Even if it is a little cheaper than other insurance. In the event of a problem, customer service is incompetent. It has been more than 2 months since I await a refund, I have already had more than 10 different interlocutors and the problem is still not resolved. To flee absolutely.</v>
      </c>
    </row>
    <row r="622" ht="15.75" customHeight="1">
      <c r="A622" s="2">
        <v>4.0</v>
      </c>
      <c r="B622" s="2" t="s">
        <v>1816</v>
      </c>
      <c r="C622" s="2" t="s">
        <v>1817</v>
      </c>
      <c r="D622" s="2" t="s">
        <v>57</v>
      </c>
      <c r="E622" s="2" t="s">
        <v>14</v>
      </c>
      <c r="F622" s="2" t="s">
        <v>15</v>
      </c>
      <c r="G622" s="2" t="s">
        <v>1393</v>
      </c>
      <c r="H622" s="2" t="s">
        <v>122</v>
      </c>
      <c r="I622" s="2" t="str">
        <f>IFERROR(__xludf.DUMMYFUNCTION("GOOGLETRANSLATE(C622,""fr"",""en"")"),"Having toured several insurance, the olive assurance is the cheapest on the market for a young driver! Fully satisfied, I recommend!")</f>
        <v>Having toured several insurance, the olive assurance is the cheapest on the market for a young driver! Fully satisfied, I recommend!</v>
      </c>
    </row>
    <row r="623" ht="15.75" customHeight="1">
      <c r="A623" s="2">
        <v>1.0</v>
      </c>
      <c r="B623" s="2" t="s">
        <v>1818</v>
      </c>
      <c r="C623" s="2" t="s">
        <v>1819</v>
      </c>
      <c r="D623" s="2" t="s">
        <v>26</v>
      </c>
      <c r="E623" s="2" t="s">
        <v>14</v>
      </c>
      <c r="F623" s="2" t="s">
        <v>15</v>
      </c>
      <c r="G623" s="2" t="s">
        <v>1820</v>
      </c>
      <c r="H623" s="2" t="s">
        <v>136</v>
      </c>
      <c r="I623" s="2" t="str">
        <f>IFERROR(__xludf.DUMMYFUNCTION("GOOGLETRANSLATE(C623,""fr"",""en"")"),"Landy advertising to flee
Advertising 50 % Bonus for life (even in case liability) -Problème terminated with the 3rd claims and you find yourself with 22 % of bonus (seek the error) scandalous to flee (after 46 years of license without sinister and 50 % "&amp;"bonus ))")</f>
        <v>Landy advertising to flee
Advertising 50 % Bonus for life (even in case liability) -Problème terminated with the 3rd claims and you find yourself with 22 % of bonus (seek the error) scandalous to flee (after 46 years of license without sinister and 50 % bonus ))</v>
      </c>
    </row>
    <row r="624" ht="15.75" customHeight="1">
      <c r="A624" s="2">
        <v>1.0</v>
      </c>
      <c r="B624" s="2" t="s">
        <v>1821</v>
      </c>
      <c r="C624" s="2" t="s">
        <v>1822</v>
      </c>
      <c r="D624" s="2" t="s">
        <v>250</v>
      </c>
      <c r="E624" s="2" t="s">
        <v>21</v>
      </c>
      <c r="F624" s="2" t="s">
        <v>15</v>
      </c>
      <c r="G624" s="2" t="s">
        <v>1823</v>
      </c>
      <c r="H624" s="2" t="s">
        <v>50</v>
      </c>
      <c r="I624" s="2" t="str">
        <f>IFERROR(__xludf.DUMMYFUNCTION("GOOGLETRANSLATE(C624,""fr"",""en"")"),"Mandatory mutual, alas, via my employer!
They have struck up one of my sons' without any preliminary mail ...
Registered mail, email, unanswered ...
Impossible to have them on the phone ... We hang up on your nose!
Their agencies in town close one aft"&amp;"er the other so no proximity!
To flee !!!!!")</f>
        <v>Mandatory mutual, alas, via my employer!
They have struck up one of my sons' without any preliminary mail ...
Registered mail, email, unanswered ...
Impossible to have them on the phone ... We hang up on your nose!
Their agencies in town close one after the other so no proximity!
To flee !!!!!</v>
      </c>
    </row>
    <row r="625" ht="15.75" customHeight="1">
      <c r="A625" s="2">
        <v>5.0</v>
      </c>
      <c r="B625" s="2" t="s">
        <v>1824</v>
      </c>
      <c r="C625" s="2" t="s">
        <v>1825</v>
      </c>
      <c r="D625" s="2" t="s">
        <v>26</v>
      </c>
      <c r="E625" s="2" t="s">
        <v>14</v>
      </c>
      <c r="F625" s="2" t="s">
        <v>15</v>
      </c>
      <c r="G625" s="2" t="s">
        <v>1826</v>
      </c>
      <c r="H625" s="2" t="s">
        <v>34</v>
      </c>
      <c r="I625" s="2" t="str">
        <f>IFERROR(__xludf.DUMMYFUNCTION("GOOGLETRANSLATE(C625,""fr"",""en"")"),"I am delighted with your services and I have nothing to complain about
I would recommend your site
I am very satisfied with my contract near your services, the attractive prices")</f>
        <v>I am delighted with your services and I have nothing to complain about
I would recommend your site
I am very satisfied with my contract near your services, the attractive prices</v>
      </c>
    </row>
    <row r="626" ht="15.75" customHeight="1">
      <c r="A626" s="2">
        <v>1.0</v>
      </c>
      <c r="B626" s="2" t="s">
        <v>1827</v>
      </c>
      <c r="C626" s="2" t="s">
        <v>1828</v>
      </c>
      <c r="D626" s="2" t="s">
        <v>13</v>
      </c>
      <c r="E626" s="2" t="s">
        <v>14</v>
      </c>
      <c r="F626" s="2" t="s">
        <v>15</v>
      </c>
      <c r="G626" s="2" t="s">
        <v>1829</v>
      </c>
      <c r="H626" s="2" t="s">
        <v>361</v>
      </c>
      <c r="I626" s="2" t="str">
        <f>IFERROR(__xludf.DUMMYFUNCTION("GOOGLETRANSLATE(C626,""fr"",""en"")"),"I do not advise Pacifica, when you want to change your insurance after 1 year, it takes you a big amount without warning you and forcing to fight to recalculate with them. It is shameful !")</f>
        <v>I do not advise Pacifica, when you want to change your insurance after 1 year, it takes you a big amount without warning you and forcing to fight to recalculate with them. It is shameful !</v>
      </c>
    </row>
    <row r="627" ht="15.75" customHeight="1">
      <c r="A627" s="2">
        <v>4.0</v>
      </c>
      <c r="B627" s="2" t="s">
        <v>1830</v>
      </c>
      <c r="C627" s="2" t="s">
        <v>1831</v>
      </c>
      <c r="D627" s="2" t="s">
        <v>57</v>
      </c>
      <c r="E627" s="2" t="s">
        <v>14</v>
      </c>
      <c r="F627" s="2" t="s">
        <v>15</v>
      </c>
      <c r="G627" s="2" t="s">
        <v>1832</v>
      </c>
      <c r="H627" s="2" t="s">
        <v>74</v>
      </c>
      <c r="I627" s="2" t="str">
        <f>IFERROR(__xludf.DUMMYFUNCTION("GOOGLETRANSLATE(C627,""fr"",""en"")"),"Fast, cheaper than the competitor
Online service is very easy for handling
I am waiting to see later in order to be able to go to your home from other insurance")</f>
        <v>Fast, cheaper than the competitor
Online service is very easy for handling
I am waiting to see later in order to be able to go to your home from other insurance</v>
      </c>
    </row>
    <row r="628" ht="15.75" customHeight="1">
      <c r="A628" s="2">
        <v>5.0</v>
      </c>
      <c r="B628" s="2" t="s">
        <v>1833</v>
      </c>
      <c r="C628" s="2" t="s">
        <v>1834</v>
      </c>
      <c r="D628" s="2" t="s">
        <v>26</v>
      </c>
      <c r="E628" s="2" t="s">
        <v>14</v>
      </c>
      <c r="F628" s="2" t="s">
        <v>15</v>
      </c>
      <c r="G628" s="2" t="s">
        <v>1565</v>
      </c>
      <c r="H628" s="2" t="s">
        <v>185</v>
      </c>
      <c r="I628" s="2" t="str">
        <f>IFERROR(__xludf.DUMMYFUNCTION("GOOGLETRANSLATE(C628,""fr"",""en"")"),"Satisfied with the call, the information communicated, the speed and ease of setting up the contract. Lovable and pleasant, patient advisor.")</f>
        <v>Satisfied with the call, the information communicated, the speed and ease of setting up the contract. Lovable and pleasant, patient advisor.</v>
      </c>
    </row>
    <row r="629" ht="15.75" customHeight="1">
      <c r="A629" s="2">
        <v>1.0</v>
      </c>
      <c r="B629" s="2" t="s">
        <v>1835</v>
      </c>
      <c r="C629" s="2" t="s">
        <v>1836</v>
      </c>
      <c r="D629" s="2" t="s">
        <v>188</v>
      </c>
      <c r="E629" s="2" t="s">
        <v>104</v>
      </c>
      <c r="F629" s="2" t="s">
        <v>15</v>
      </c>
      <c r="G629" s="2" t="s">
        <v>1837</v>
      </c>
      <c r="H629" s="2" t="s">
        <v>126</v>
      </c>
      <c r="I629" s="2" t="str">
        <f>IFERROR(__xludf.DUMMYFUNCTION("GOOGLETRANSLATE(C629,""fr"",""en"")"),"Strongly encouraged by the expert of my insurance, in December 2017, to sign a memorandum of understanding with the company responsible for damage, at home, summer 2016. Since the company does not respond to emails, recommended AR, The secretary telephone"&amp;". Having requested the expert, she contacted me, after 3 reminders: advising me to see with legal assistance. It's scandalous, she is responsible for having led me to accept this protocol. My insurer and his expert are there to support me, outside I am si"&amp;"mply dropped.
How to get help.
Another situation where this insurance was lamentable:
Arbaroles in August, window holder and shutter replaced in March. No responsiveness, assured delivered to itself.")</f>
        <v>Strongly encouraged by the expert of my insurance, in December 2017, to sign a memorandum of understanding with the company responsible for damage, at home, summer 2016. Since the company does not respond to emails, recommended AR, The secretary telephone. Having requested the expert, she contacted me, after 3 reminders: advising me to see with legal assistance. It's scandalous, she is responsible for having led me to accept this protocol. My insurer and his expert are there to support me, outside I am simply dropped.
How to get help.
Another situation where this insurance was lamentable:
Arbaroles in August, window holder and shutter replaced in March. No responsiveness, assured delivered to itself.</v>
      </c>
    </row>
    <row r="630" ht="15.75" customHeight="1">
      <c r="A630" s="2">
        <v>1.0</v>
      </c>
      <c r="B630" s="2" t="s">
        <v>1838</v>
      </c>
      <c r="C630" s="2" t="s">
        <v>1839</v>
      </c>
      <c r="D630" s="2" t="s">
        <v>26</v>
      </c>
      <c r="E630" s="2" t="s">
        <v>14</v>
      </c>
      <c r="F630" s="2" t="s">
        <v>15</v>
      </c>
      <c r="G630" s="2" t="s">
        <v>153</v>
      </c>
      <c r="H630" s="2" t="s">
        <v>34</v>
      </c>
      <c r="I630" s="2" t="str">
        <f>IFERROR(__xludf.DUMMYFUNCTION("GOOGLETRANSLATE(C630,""fr"",""en"")"),"I pay insurance all risk to ultimately pay a more expensive deductible than the price of repairs itself. Ex: 288 euros ""minimum"" to replace a broken window while it costs only 100 euros at a mechanic.")</f>
        <v>I pay insurance all risk to ultimately pay a more expensive deductible than the price of repairs itself. Ex: 288 euros "minimum" to replace a broken window while it costs only 100 euros at a mechanic.</v>
      </c>
    </row>
    <row r="631" ht="15.75" customHeight="1">
      <c r="A631" s="2">
        <v>3.0</v>
      </c>
      <c r="B631" s="2" t="s">
        <v>1840</v>
      </c>
      <c r="C631" s="2" t="s">
        <v>1841</v>
      </c>
      <c r="D631" s="2" t="s">
        <v>152</v>
      </c>
      <c r="E631" s="2" t="s">
        <v>21</v>
      </c>
      <c r="F631" s="2" t="s">
        <v>15</v>
      </c>
      <c r="G631" s="2" t="s">
        <v>1842</v>
      </c>
      <c r="H631" s="2" t="s">
        <v>208</v>
      </c>
      <c r="I631" s="2" t="str">
        <f>IFERROR(__xludf.DUMMYFUNCTION("GOOGLETRANSLATE(C631,""fr"",""en"")"),"I have just subscribed to the MGP health mutual insurance company since the beginning of 2021, I do not have much perspective but I am already happy with their availability in the face of a problem that we can encounter. To see in time.")</f>
        <v>I have just subscribed to the MGP health mutual insurance company since the beginning of 2021, I do not have much perspective but I am already happy with their availability in the face of a problem that we can encounter. To see in time.</v>
      </c>
    </row>
    <row r="632" ht="15.75" customHeight="1">
      <c r="A632" s="2">
        <v>3.0</v>
      </c>
      <c r="B632" s="2" t="s">
        <v>1843</v>
      </c>
      <c r="C632" s="2" t="s">
        <v>1844</v>
      </c>
      <c r="D632" s="2" t="s">
        <v>192</v>
      </c>
      <c r="E632" s="2" t="s">
        <v>21</v>
      </c>
      <c r="F632" s="2" t="s">
        <v>15</v>
      </c>
      <c r="G632" s="2" t="s">
        <v>1386</v>
      </c>
      <c r="H632" s="2" t="s">
        <v>63</v>
      </c>
      <c r="I632" s="2" t="str">
        <f>IFERROR(__xludf.DUMMYFUNCTION("GOOGLETRANSLATE(C632,""fr"",""en"")"),"I am frightened to read the various comments concerning the mgen !!!!!. . In terms of information, I have always had a person ready to answer or relate to a colleague. Waiting time on the phone very brief ...... Refund of ultra fast care for me. Neverthel"&amp;"ess, for my husband who is affiliated, it is longer because the file transits first in the offices of Social Security ... !!!!!!
Nevertheless, big negative ......... the prices !!!! I believe they are much too high !!!!!!!!!
And the practical competit"&amp;"ion of very attractive offers ......
Therefore I do not think of staying at the MGEN. Too bad after 50 years of contributions .........
")</f>
        <v>I am frightened to read the various comments concerning the mgen !!!!!. . In terms of information, I have always had a person ready to answer or relate to a colleague. Waiting time on the phone very brief ...... Refund of ultra fast care for me. Nevertheless, for my husband who is affiliated, it is longer because the file transits first in the offices of Social Security ... !!!!!!
Nevertheless, big negative ......... the prices !!!! I believe they are much too high !!!!!!!!!
And the practical competition of very attractive offers ......
Therefore I do not think of staying at the MGEN. Too bad after 50 years of contributions .........
</v>
      </c>
    </row>
    <row r="633" ht="15.75" customHeight="1">
      <c r="A633" s="2">
        <v>2.0</v>
      </c>
      <c r="B633" s="2" t="s">
        <v>1845</v>
      </c>
      <c r="C633" s="2" t="s">
        <v>1846</v>
      </c>
      <c r="D633" s="2" t="s">
        <v>262</v>
      </c>
      <c r="E633" s="2" t="s">
        <v>14</v>
      </c>
      <c r="F633" s="2" t="s">
        <v>15</v>
      </c>
      <c r="G633" s="2" t="s">
        <v>1847</v>
      </c>
      <c r="H633" s="2" t="s">
        <v>149</v>
      </c>
      <c r="I633" s="2" t="str">
        <f>IFERROR(__xludf.DUMMYFUNCTION("GOOGLETRANSLATE(C633,""fr"",""en"")"),"Nullissime! A lack of mind -blowing professionalism! It feels like Pole Emploi, nobody knows what he is talking about on the phone, a blow the file is complete a blow it is missing a piece. Personal space on the Internet completely obsolete, links do not "&amp;"work! You call for information for 20 minutes of waiting then it hangs up because no advice available! And the bouquet? I was added a pack at 50 euros that I had not asked for !! And icing on the cake: formal notice and termination if I did not pay! Excep"&amp;"t that I had not asked for anything and in addition I did not receive letters because the address was poorly informed about my file, yes they had only mentioned the name of the city on my address, neither rue, nor number, Good luck sir the postman! No, th"&amp;"is insurance is a huge farce, made by amateurs who take your money and run off with it. Do not make the same mistake that we go anywhere but not here.")</f>
        <v>Nullissime! A lack of mind -blowing professionalism! It feels like Pole Emploi, nobody knows what he is talking about on the phone, a blow the file is complete a blow it is missing a piece. Personal space on the Internet completely obsolete, links do not work! You call for information for 20 minutes of waiting then it hangs up because no advice available! And the bouquet? I was added a pack at 50 euros that I had not asked for !! And icing on the cake: formal notice and termination if I did not pay! Except that I had not asked for anything and in addition I did not receive letters because the address was poorly informed about my file, yes they had only mentioned the name of the city on my address, neither rue, nor number, Good luck sir the postman! No, this insurance is a huge farce, made by amateurs who take your money and run off with it. Do not make the same mistake that we go anywhere but not here.</v>
      </c>
    </row>
    <row r="634" ht="15.75" customHeight="1">
      <c r="A634" s="2">
        <v>2.0</v>
      </c>
      <c r="B634" s="2" t="s">
        <v>1848</v>
      </c>
      <c r="C634" s="2" t="s">
        <v>1849</v>
      </c>
      <c r="D634" s="2" t="s">
        <v>1850</v>
      </c>
      <c r="E634" s="2" t="s">
        <v>32</v>
      </c>
      <c r="F634" s="2" t="s">
        <v>15</v>
      </c>
      <c r="G634" s="2" t="s">
        <v>1851</v>
      </c>
      <c r="H634" s="2" t="s">
        <v>201</v>
      </c>
      <c r="I634" s="2" t="str">
        <f>IFERROR(__xludf.DUMMYFUNCTION("GOOGLETRANSLATE(C634,""fr"",""en"")"),"Very bad insurance which during a claim leads a retarder fight to pay as late as possible or if possible not pay.
My wife died on April 30 from loments cancer. Since that date, this insurance has been asking me again proof after each new sending of the p"&amp;"revious requested.
Now on the pretext that my wife smoked, a ""medical certificate of periods of smoking consumption"" asked me. A request sufficiently vague for new details to be required. If this insurer no longer wishes to ensure the smokers that he c"&amp;"learly says in his advertisement which would make him lose a large part of his customers. In no case during the subscription this precision was not mentioned by the insurer.")</f>
        <v>Very bad insurance which during a claim leads a retarder fight to pay as late as possible or if possible not pay.
My wife died on April 30 from loments cancer. Since that date, this insurance has been asking me again proof after each new sending of the previous requested.
Now on the pretext that my wife smoked, a "medical certificate of periods of smoking consumption" asked me. A request sufficiently vague for new details to be required. If this insurer no longer wishes to ensure the smokers that he clearly says in his advertisement which would make him lose a large part of his customers. In no case during the subscription this precision was not mentioned by the insurer.</v>
      </c>
    </row>
    <row r="635" ht="15.75" customHeight="1">
      <c r="A635" s="2">
        <v>1.0</v>
      </c>
      <c r="B635" s="2" t="s">
        <v>1852</v>
      </c>
      <c r="C635" s="2" t="s">
        <v>1853</v>
      </c>
      <c r="D635" s="2" t="s">
        <v>291</v>
      </c>
      <c r="E635" s="2" t="s">
        <v>21</v>
      </c>
      <c r="F635" s="2" t="s">
        <v>15</v>
      </c>
      <c r="G635" s="2" t="s">
        <v>1854</v>
      </c>
      <c r="H635" s="2" t="s">
        <v>980</v>
      </c>
      <c r="I635" s="2" t="str">
        <f>IFERROR(__xludf.DUMMYFUNCTION("GOOGLETRANSLATE(C635,""fr"",""en"")"),"I have no contract. They put more than 3 months to deign to register me despite 3 complete files per registered mail and to date I have been taken from astounding amounts without my knowing anything")</f>
        <v>I have no contract. They put more than 3 months to deign to register me despite 3 complete files per registered mail and to date I have been taken from astounding amounts without my knowing anything</v>
      </c>
    </row>
    <row r="636" ht="15.75" customHeight="1">
      <c r="A636" s="2">
        <v>5.0</v>
      </c>
      <c r="B636" s="2" t="s">
        <v>1855</v>
      </c>
      <c r="C636" s="2" t="s">
        <v>1856</v>
      </c>
      <c r="D636" s="2" t="s">
        <v>57</v>
      </c>
      <c r="E636" s="2" t="s">
        <v>14</v>
      </c>
      <c r="F636" s="2" t="s">
        <v>15</v>
      </c>
      <c r="G636" s="2" t="s">
        <v>1100</v>
      </c>
      <c r="H636" s="2" t="s">
        <v>74</v>
      </c>
      <c r="I636" s="2" t="str">
        <f>IFERROR(__xludf.DUMMYFUNCTION("GOOGLETRANSLATE(C636,""fr"",""en"")"),"Very cool excellent staff service
Thank you the Olivier Assurance
Price suits me very well
I am happy to be among your insured
Thank you the Olivier Assurance")</f>
        <v>Very cool excellent staff service
Thank you the Olivier Assurance
Price suits me very well
I am happy to be among your insured
Thank you the Olivier Assurance</v>
      </c>
    </row>
    <row r="637" ht="15.75" customHeight="1">
      <c r="A637" s="2">
        <v>5.0</v>
      </c>
      <c r="B637" s="2" t="s">
        <v>1857</v>
      </c>
      <c r="C637" s="2" t="s">
        <v>1858</v>
      </c>
      <c r="D637" s="2" t="s">
        <v>57</v>
      </c>
      <c r="E637" s="2" t="s">
        <v>14</v>
      </c>
      <c r="F637" s="2" t="s">
        <v>15</v>
      </c>
      <c r="G637" s="2" t="s">
        <v>1050</v>
      </c>
      <c r="H637" s="2" t="s">
        <v>185</v>
      </c>
      <c r="I637" s="2" t="str">
        <f>IFERROR(__xludf.DUMMYFUNCTION("GOOGLETRANSLATE(C637,""fr"",""en"")"),"I am very satisfied with the information given by my interlocutor which was clear and precise in his explanations, the contact was very fast.")</f>
        <v>I am very satisfied with the information given by my interlocutor which was clear and precise in his explanations, the contact was very fast.</v>
      </c>
    </row>
    <row r="638" ht="15.75" customHeight="1">
      <c r="A638" s="2">
        <v>1.0</v>
      </c>
      <c r="B638" s="2" t="s">
        <v>1859</v>
      </c>
      <c r="C638" s="2" t="s">
        <v>1860</v>
      </c>
      <c r="D638" s="2" t="s">
        <v>188</v>
      </c>
      <c r="E638" s="2" t="s">
        <v>104</v>
      </c>
      <c r="F638" s="2" t="s">
        <v>15</v>
      </c>
      <c r="G638" s="2" t="s">
        <v>1861</v>
      </c>
      <c r="H638" s="2" t="s">
        <v>157</v>
      </c>
      <c r="I638" s="2" t="str">
        <f>IFERROR(__xludf.DUMMYFUNCTION("GOOGLETRANSLATE(C638,""fr"",""en"")"),"Unreachable claims service (schedules from 2 p.m. to 5 p.m.) !!!!, days and days of telephone answers to be contacted, on the pretext that GMF deals with other natural disasters, but leaves customers disaster in disaster ...! !!")</f>
        <v>Unreachable claims service (schedules from 2 p.m. to 5 p.m.) !!!!, days and days of telephone answers to be contacted, on the pretext that GMF deals with other natural disasters, but leaves customers disaster in disaster ...! !!</v>
      </c>
    </row>
    <row r="639" ht="15.75" customHeight="1">
      <c r="A639" s="2">
        <v>1.0</v>
      </c>
      <c r="B639" s="2" t="s">
        <v>1862</v>
      </c>
      <c r="C639" s="2" t="s">
        <v>1863</v>
      </c>
      <c r="D639" s="2" t="s">
        <v>57</v>
      </c>
      <c r="E639" s="2" t="s">
        <v>14</v>
      </c>
      <c r="F639" s="2" t="s">
        <v>15</v>
      </c>
      <c r="G639" s="2" t="s">
        <v>1864</v>
      </c>
      <c r="H639" s="2" t="s">
        <v>17</v>
      </c>
      <c r="I639" s="2" t="str">
        <f>IFERROR(__xludf.DUMMYFUNCTION("GOOGLETRANSLATE(C639,""fr"",""en"")"),"Very unhappy because my car was accepted at my request in January 2017 (and paid) for start -up 23.02.2017, no problem I had the papers and on 15.03.2017 I know by email that my contract is canceled because My car has too much risk of flight ??? It was al"&amp;"ready the same car in January !!! I also ensured my second car ... if I had known.
Be really careful, because I notice that there is a pack of incompetent ... but very kind on the phone ... really not serious.")</f>
        <v>Very unhappy because my car was accepted at my request in January 2017 (and paid) for start -up 23.02.2017, no problem I had the papers and on 15.03.2017 I know by email that my contract is canceled because My car has too much risk of flight ??? It was already the same car in January !!! I also ensured my second car ... if I had known.
Be really careful, because I notice that there is a pack of incompetent ... but very kind on the phone ... really not serious.</v>
      </c>
    </row>
    <row r="640" ht="15.75" customHeight="1">
      <c r="A640" s="2">
        <v>5.0</v>
      </c>
      <c r="B640" s="2" t="s">
        <v>1865</v>
      </c>
      <c r="C640" s="2" t="s">
        <v>1866</v>
      </c>
      <c r="D640" s="2" t="s">
        <v>57</v>
      </c>
      <c r="E640" s="2" t="s">
        <v>14</v>
      </c>
      <c r="F640" s="2" t="s">
        <v>15</v>
      </c>
      <c r="G640" s="2" t="s">
        <v>1867</v>
      </c>
      <c r="H640" s="2" t="s">
        <v>593</v>
      </c>
      <c r="I640" s="2" t="str">
        <f>IFERROR(__xludf.DUMMYFUNCTION("GOOGLETRANSLATE(C640,""fr"",""en"")"),"Good recommended, super responsive gold of a disaster or even just to ask questions, after very competitive price level, near the vehicle, approved garage, then your advisor accompanies you all about your current file with dispute with A third party and t"&amp;"akes your news a few weeks after the end of your dispute and asks you if the garage or the bodybuilder who we proposed you agreed to you")</f>
        <v>Good recommended, super responsive gold of a disaster or even just to ask questions, after very competitive price level, near the vehicle, approved garage, then your advisor accompanies you all about your current file with dispute with A third party and takes your news a few weeks after the end of your dispute and asks you if the garage or the bodybuilder who we proposed you agreed to you</v>
      </c>
    </row>
    <row r="641" ht="15.75" customHeight="1">
      <c r="A641" s="2">
        <v>2.0</v>
      </c>
      <c r="B641" s="2" t="s">
        <v>1868</v>
      </c>
      <c r="C641" s="2" t="s">
        <v>1869</v>
      </c>
      <c r="D641" s="2" t="s">
        <v>550</v>
      </c>
      <c r="E641" s="2" t="s">
        <v>104</v>
      </c>
      <c r="F641" s="2" t="s">
        <v>15</v>
      </c>
      <c r="G641" s="2" t="s">
        <v>1870</v>
      </c>
      <c r="H641" s="2" t="s">
        <v>86</v>
      </c>
      <c r="I641" s="2" t="str">
        <f>IFERROR(__xludf.DUMMYFUNCTION("GOOGLETRANSLATE(C641,""fr"",""en"")"),"If you don't need anything to do anything in Groupama. For the rest, you are answered no at the start. Succession of errors, oversights, loss of documents, bad faith .... anonymous responses.")</f>
        <v>If you don't need anything to do anything in Groupama. For the rest, you are answered no at the start. Succession of errors, oversights, loss of documents, bad faith .... anonymous responses.</v>
      </c>
    </row>
    <row r="642" ht="15.75" customHeight="1">
      <c r="A642" s="2">
        <v>1.0</v>
      </c>
      <c r="B642" s="2" t="s">
        <v>1871</v>
      </c>
      <c r="C642" s="2" t="s">
        <v>1872</v>
      </c>
      <c r="D642" s="2" t="s">
        <v>26</v>
      </c>
      <c r="E642" s="2" t="s">
        <v>14</v>
      </c>
      <c r="F642" s="2" t="s">
        <v>15</v>
      </c>
      <c r="G642" s="2" t="s">
        <v>1873</v>
      </c>
      <c r="H642" s="2" t="s">
        <v>691</v>
      </c>
      <c r="I642" s="2" t="str">
        <f>IFERROR(__xludf.DUMMYFUNCTION("GOOGLETRANSLATE(C642,""fr"",""en"")"),"Only the first year. Shame.")</f>
        <v>Only the first year. Shame.</v>
      </c>
    </row>
    <row r="643" ht="15.75" customHeight="1">
      <c r="A643" s="2">
        <v>5.0</v>
      </c>
      <c r="B643" s="2" t="s">
        <v>1874</v>
      </c>
      <c r="C643" s="2" t="s">
        <v>1875</v>
      </c>
      <c r="D643" s="2" t="s">
        <v>57</v>
      </c>
      <c r="E643" s="2" t="s">
        <v>14</v>
      </c>
      <c r="F643" s="2" t="s">
        <v>15</v>
      </c>
      <c r="G643" s="2" t="s">
        <v>1876</v>
      </c>
      <c r="H643" s="2" t="s">
        <v>90</v>
      </c>
      <c r="I643" s="2" t="str">
        <f>IFERROR(__xludf.DUMMYFUNCTION("GOOGLETRANSLATE(C643,""fr"",""en"")"),"Very satisfied welcome telephone and very pleasant reception attentive to the various requests good advice for all requests.
s of cars or housing KE recommended.")</f>
        <v>Very satisfied welcome telephone and very pleasant reception attentive to the various requests good advice for all requests.
s of cars or housing KE recommended.</v>
      </c>
    </row>
    <row r="644" ht="15.75" customHeight="1">
      <c r="A644" s="2">
        <v>5.0</v>
      </c>
      <c r="B644" s="2" t="s">
        <v>1877</v>
      </c>
      <c r="C644" s="2" t="s">
        <v>1878</v>
      </c>
      <c r="D644" s="2" t="s">
        <v>57</v>
      </c>
      <c r="E644" s="2" t="s">
        <v>14</v>
      </c>
      <c r="F644" s="2" t="s">
        <v>15</v>
      </c>
      <c r="G644" s="2" t="s">
        <v>770</v>
      </c>
      <c r="H644" s="2" t="s">
        <v>74</v>
      </c>
      <c r="I644" s="2" t="str">
        <f>IFERROR(__xludf.DUMMYFUNCTION("GOOGLETRANSLATE(C644,""fr"",""en"")"),"Interesting rates and which give access to quality customer service. I have always had contact with kind and attentive advisers.")</f>
        <v>Interesting rates and which give access to quality customer service. I have always had contact with kind and attentive advisers.</v>
      </c>
    </row>
    <row r="645" ht="15.75" customHeight="1">
      <c r="A645" s="2">
        <v>4.0</v>
      </c>
      <c r="B645" s="2" t="s">
        <v>1879</v>
      </c>
      <c r="C645" s="2" t="s">
        <v>1880</v>
      </c>
      <c r="D645" s="2" t="s">
        <v>69</v>
      </c>
      <c r="E645" s="2" t="s">
        <v>21</v>
      </c>
      <c r="F645" s="2" t="s">
        <v>15</v>
      </c>
      <c r="G645" s="2" t="s">
        <v>1881</v>
      </c>
      <c r="H645" s="2" t="s">
        <v>566</v>
      </c>
      <c r="I645" s="2" t="str">
        <f>IFERROR(__xludf.DUMMYFUNCTION("GOOGLETRANSLATE(C645,""fr"",""en"")"),"New customer at Santiane, the initial guarantees offered were not sufficient at my level. Santiane increased the level without difficulty. Competent person on the phone")</f>
        <v>New customer at Santiane, the initial guarantees offered were not sufficient at my level. Santiane increased the level without difficulty. Competent person on the phone</v>
      </c>
    </row>
    <row r="646" ht="15.75" customHeight="1">
      <c r="A646" s="2">
        <v>4.0</v>
      </c>
      <c r="B646" s="2" t="s">
        <v>1882</v>
      </c>
      <c r="C646" s="2" t="s">
        <v>1883</v>
      </c>
      <c r="D646" s="2" t="s">
        <v>57</v>
      </c>
      <c r="E646" s="2" t="s">
        <v>14</v>
      </c>
      <c r="F646" s="2" t="s">
        <v>15</v>
      </c>
      <c r="G646" s="2" t="s">
        <v>1884</v>
      </c>
      <c r="H646" s="2" t="s">
        <v>252</v>
      </c>
      <c r="I646" s="2" t="str">
        <f>IFERROR(__xludf.DUMMYFUNCTION("GOOGLETRANSLATE(C646,""fr"",""en"")"),"Very happy with my new car insurance at the Olivier.")</f>
        <v>Very happy with my new car insurance at the Olivier.</v>
      </c>
    </row>
    <row r="647" ht="15.75" customHeight="1">
      <c r="A647" s="2">
        <v>1.0</v>
      </c>
      <c r="B647" s="2" t="s">
        <v>1885</v>
      </c>
      <c r="C647" s="2" t="s">
        <v>1886</v>
      </c>
      <c r="D647" s="2" t="s">
        <v>26</v>
      </c>
      <c r="E647" s="2" t="s">
        <v>14</v>
      </c>
      <c r="F647" s="2" t="s">
        <v>15</v>
      </c>
      <c r="G647" s="2" t="s">
        <v>1887</v>
      </c>
      <c r="H647" s="2" t="s">
        <v>74</v>
      </c>
      <c r="I647" s="2" t="str">
        <f>IFERROR(__xludf.DUMMYFUNCTION("GOOGLETRANSLATE(C647,""fr"",""en"")"),"Cheap but Zero Service, impossible to speak to a human, nothing is guaranteed, you break down, the only thing they know how to say it is ""Demerate you"". Impossible to change car, in short to flee. BLA bla....")</f>
        <v>Cheap but Zero Service, impossible to speak to a human, nothing is guaranteed, you break down, the only thing they know how to say it is "Demerate you". Impossible to change car, in short to flee. BLA bla....</v>
      </c>
    </row>
    <row r="648" ht="15.75" customHeight="1">
      <c r="A648" s="2">
        <v>2.0</v>
      </c>
      <c r="B648" s="2" t="s">
        <v>1888</v>
      </c>
      <c r="C648" s="2" t="s">
        <v>1889</v>
      </c>
      <c r="D648" s="2" t="s">
        <v>48</v>
      </c>
      <c r="E648" s="2" t="s">
        <v>21</v>
      </c>
      <c r="F648" s="2" t="s">
        <v>15</v>
      </c>
      <c r="G648" s="2" t="s">
        <v>1890</v>
      </c>
      <c r="H648" s="2" t="s">
        <v>390</v>
      </c>
      <c r="I648" s="2" t="str">
        <f>IFERROR(__xludf.DUMMYFUNCTION("GOOGLETRANSLATE(C648,""fr"",""en"")")," I've been leaving the hospital for 3 months and waiting for a refund of 800th !! No calls of calls! File liars transmitted to my lawyer! I won't let go of anything they don't care")</f>
        <v> I've been leaving the hospital for 3 months and waiting for a refund of 800th !! No calls of calls! File liars transmitted to my lawyer! I won't let go of anything they don't care</v>
      </c>
    </row>
    <row r="649" ht="15.75" customHeight="1">
      <c r="A649" s="2">
        <v>2.0</v>
      </c>
      <c r="B649" s="2" t="s">
        <v>1891</v>
      </c>
      <c r="C649" s="2" t="s">
        <v>1892</v>
      </c>
      <c r="D649" s="2" t="s">
        <v>537</v>
      </c>
      <c r="E649" s="2" t="s">
        <v>104</v>
      </c>
      <c r="F649" s="2" t="s">
        <v>15</v>
      </c>
      <c r="G649" s="2" t="s">
        <v>1893</v>
      </c>
      <c r="H649" s="2" t="s">
        <v>145</v>
      </c>
      <c r="I649" s="2" t="str">
        <f>IFERROR(__xludf.DUMMYFUNCTION("GOOGLETRANSLATE(C649,""fr"",""en"")"),"I find it unacceptable that I have been put a deductible of 145 euros in a disaster that I have just declared. , since my front door was closed in double turn; I was absolutely inability to open, being victims of significant rotary dizziness and taking na"&amp;"usea. Even if this franchise is contractual, in this case, I consider that there is matter to challenge it and to ask that it is not applied! It is not by acting in this way that you will build your customers")</f>
        <v>I find it unacceptable that I have been put a deductible of 145 euros in a disaster that I have just declared. , since my front door was closed in double turn; I was absolutely inability to open, being victims of significant rotary dizziness and taking nausea. Even if this franchise is contractual, in this case, I consider that there is matter to challenge it and to ask that it is not applied! It is not by acting in this way that you will build your customers</v>
      </c>
    </row>
    <row r="650" ht="15.75" customHeight="1">
      <c r="A650" s="2">
        <v>3.0</v>
      </c>
      <c r="B650" s="2" t="s">
        <v>1894</v>
      </c>
      <c r="C650" s="2" t="s">
        <v>1895</v>
      </c>
      <c r="D650" s="2" t="s">
        <v>26</v>
      </c>
      <c r="E650" s="2" t="s">
        <v>14</v>
      </c>
      <c r="F650" s="2" t="s">
        <v>15</v>
      </c>
      <c r="G650" s="2" t="s">
        <v>1544</v>
      </c>
      <c r="H650" s="2" t="s">
        <v>28</v>
      </c>
      <c r="I650" s="2" t="str">
        <f>IFERROR(__xludf.DUMMYFUNCTION("GOOGLETRANSLATE(C650,""fr"",""en"")"),"I am new to Direct Insurance
I will see the service of this insurance afterwards!
For prices it is the competition open ... and the customer can play this favor with year a good thing for the person.")</f>
        <v>I am new to Direct Insurance
I will see the service of this insurance afterwards!
For prices it is the competition open ... and the customer can play this favor with year a good thing for the person.</v>
      </c>
    </row>
    <row r="651" ht="15.75" customHeight="1">
      <c r="A651" s="2">
        <v>1.0</v>
      </c>
      <c r="B651" s="2" t="s">
        <v>1896</v>
      </c>
      <c r="C651" s="2" t="s">
        <v>1897</v>
      </c>
      <c r="D651" s="2" t="s">
        <v>69</v>
      </c>
      <c r="E651" s="2" t="s">
        <v>21</v>
      </c>
      <c r="F651" s="2" t="s">
        <v>15</v>
      </c>
      <c r="G651" s="2" t="s">
        <v>1898</v>
      </c>
      <c r="H651" s="2" t="s">
        <v>361</v>
      </c>
      <c r="I651" s="2" t="str">
        <f>IFERROR(__xludf.DUMMYFUNCTION("GOOGLETRANSLATE(C651,""fr"",""en"")"),"Asked for a quote for which they asked me for my bank details. I have never accepted their quote, but despite this, to my surprise, I still received a contract notice and a Malakoff Médéric mutual card. This is called forced sale and I intend to file a co"&amp;"mplaint if they take me anything.")</f>
        <v>Asked for a quote for which they asked me for my bank details. I have never accepted their quote, but despite this, to my surprise, I still received a contract notice and a Malakoff Médéric mutual card. This is called forced sale and I intend to file a complaint if they take me anything.</v>
      </c>
    </row>
    <row r="652" ht="15.75" customHeight="1">
      <c r="A652" s="2">
        <v>5.0</v>
      </c>
      <c r="B652" s="2" t="s">
        <v>1899</v>
      </c>
      <c r="C652" s="2" t="s">
        <v>1900</v>
      </c>
      <c r="D652" s="2" t="s">
        <v>31</v>
      </c>
      <c r="E652" s="2" t="s">
        <v>32</v>
      </c>
      <c r="F652" s="2" t="s">
        <v>15</v>
      </c>
      <c r="G652" s="2" t="s">
        <v>1876</v>
      </c>
      <c r="H652" s="2" t="s">
        <v>90</v>
      </c>
      <c r="I652" s="2" t="str">
        <f>IFERROR(__xludf.DUMMYFUNCTION("GOOGLETRANSLATE(C652,""fr"",""en"")"),"attractive price, good support by advisers, simple interface to use
After seeing in use if one day we need our loan insurance")</f>
        <v>attractive price, good support by advisers, simple interface to use
After seeing in use if one day we need our loan insurance</v>
      </c>
    </row>
    <row r="653" ht="15.75" customHeight="1">
      <c r="A653" s="2">
        <v>2.0</v>
      </c>
      <c r="B653" s="2" t="s">
        <v>1901</v>
      </c>
      <c r="C653" s="2" t="s">
        <v>1902</v>
      </c>
      <c r="D653" s="2" t="s">
        <v>26</v>
      </c>
      <c r="E653" s="2" t="s">
        <v>14</v>
      </c>
      <c r="F653" s="2" t="s">
        <v>15</v>
      </c>
      <c r="G653" s="2" t="s">
        <v>1903</v>
      </c>
      <c r="H653" s="2" t="s">
        <v>201</v>
      </c>
      <c r="I653" s="2" t="str">
        <f>IFERROR(__xludf.DUMMYFUNCTION("GOOGLETRANSLATE(C653,""fr"",""en"")"),"I advise you to flee this insurance. Being more with my wife is having had a cancellation of driving permits therefore more possible to be assured at direct insurance therefore termination on the other hand Madame who lives more at all at the same address"&amp;" as me is having no insurance or road problem we solve her His insurance contract for no valid reason being given that we live more than 60km from one is the other so having the possibility of being the sole driver on his car without secondary driver.")</f>
        <v>I advise you to flee this insurance. Being more with my wife is having had a cancellation of driving permits therefore more possible to be assured at direct insurance therefore termination on the other hand Madame who lives more at all at the same address as me is having no insurance or road problem we solve her His insurance contract for no valid reason being given that we live more than 60km from one is the other so having the possibility of being the sole driver on his car without secondary driver.</v>
      </c>
    </row>
    <row r="654" ht="15.75" customHeight="1">
      <c r="A654" s="2">
        <v>5.0</v>
      </c>
      <c r="B654" s="2" t="s">
        <v>1904</v>
      </c>
      <c r="C654" s="2" t="s">
        <v>1905</v>
      </c>
      <c r="D654" s="2" t="s">
        <v>57</v>
      </c>
      <c r="E654" s="2" t="s">
        <v>14</v>
      </c>
      <c r="F654" s="2" t="s">
        <v>15</v>
      </c>
      <c r="G654" s="2" t="s">
        <v>295</v>
      </c>
      <c r="H654" s="2" t="s">
        <v>28</v>
      </c>
      <c r="I654" s="2" t="str">
        <f>IFERROR(__xludf.DUMMYFUNCTION("GOOGLETRANSLATE(C654,""fr"",""en"")"),"Very well, the prices are excellent the advisor has informed my questions very well. I did not find better quality insurance, services and content of the insurance contract")</f>
        <v>Very well, the prices are excellent the advisor has informed my questions very well. I did not find better quality insurance, services and content of the insurance contract</v>
      </c>
    </row>
    <row r="655" ht="15.75" customHeight="1">
      <c r="A655" s="2">
        <v>3.0</v>
      </c>
      <c r="B655" s="2" t="s">
        <v>1906</v>
      </c>
      <c r="C655" s="2" t="s">
        <v>1907</v>
      </c>
      <c r="D655" s="2" t="s">
        <v>315</v>
      </c>
      <c r="E655" s="2" t="s">
        <v>14</v>
      </c>
      <c r="F655" s="2" t="s">
        <v>15</v>
      </c>
      <c r="G655" s="2" t="s">
        <v>1908</v>
      </c>
      <c r="H655" s="2" t="s">
        <v>379</v>
      </c>
      <c r="I655" s="2" t="str">
        <f>IFERROR(__xludf.DUMMYFUNCTION("GOOGLETRANSLATE(C655,""fr"",""en"")"),"They are looking for the little beast to invalidate the contract!
They consider that selling a car and buying another, as insurance interruption in the past two years.
At 4 days old I almost ended up without insurance.
To avoid.")</f>
        <v>They are looking for the little beast to invalidate the contract!
They consider that selling a car and buying another, as insurance interruption in the past two years.
At 4 days old I almost ended up without insurance.
To avoid.</v>
      </c>
    </row>
    <row r="656" ht="15.75" customHeight="1">
      <c r="A656" s="2">
        <v>1.0</v>
      </c>
      <c r="B656" s="2" t="s">
        <v>1909</v>
      </c>
      <c r="C656" s="2" t="s">
        <v>1910</v>
      </c>
      <c r="D656" s="2" t="s">
        <v>1911</v>
      </c>
      <c r="E656" s="2" t="s">
        <v>38</v>
      </c>
      <c r="F656" s="2" t="s">
        <v>15</v>
      </c>
      <c r="G656" s="2" t="s">
        <v>1912</v>
      </c>
      <c r="H656" s="2" t="s">
        <v>106</v>
      </c>
      <c r="I656" s="2" t="str">
        <f>IFERROR(__xludf.DUMMYFUNCTION("GOOGLETRANSLATE(C656,""fr"",""en"")"),"More than 6 months that I sold my scooter and I am still waiting for them that they reimburse me the monthly payments that they have taken too much I called them no answer following this they sent me an email me saying that I had to send them the act of s"&amp;"ale as well as the green coupon of insurance, something I did and since no news on their part, radio silence, the worst in this story Deduces more than 100 € for file fees because I sold my vehicle before a full year of insurance with them, a shame I inte"&amp;"nd to make this story and my opinion known as well as my experience with this insurance
Me who wanted to insure my car at home .... arg")</f>
        <v>More than 6 months that I sold my scooter and I am still waiting for them that they reimburse me the monthly payments that they have taken too much I called them no answer following this they sent me an email me saying that I had to send them the act of sale as well as the green coupon of insurance, something I did and since no news on their part, radio silence, the worst in this story Deduces more than 100 € for file fees because I sold my vehicle before a full year of insurance with them, a shame I intend to make this story and my opinion known as well as my experience with this insurance
Me who wanted to insure my car at home .... arg</v>
      </c>
    </row>
    <row r="657" ht="15.75" customHeight="1">
      <c r="A657" s="2">
        <v>1.0</v>
      </c>
      <c r="B657" s="2" t="s">
        <v>1913</v>
      </c>
      <c r="C657" s="2" t="s">
        <v>1914</v>
      </c>
      <c r="D657" s="2" t="s">
        <v>103</v>
      </c>
      <c r="E657" s="2" t="s">
        <v>14</v>
      </c>
      <c r="F657" s="2" t="s">
        <v>15</v>
      </c>
      <c r="G657" s="2" t="s">
        <v>1668</v>
      </c>
      <c r="H657" s="2" t="s">
        <v>201</v>
      </c>
      <c r="I657" s="2" t="str">
        <f>IFERROR(__xludf.DUMMYFUNCTION("GOOGLETRANSLATE(C657,""fr"",""en"")"),"Assurance suis does not give any gifts to the right drivers. The Macif invests 30 million euros per year in a carbon sailboat but nothing for its insured.")</f>
        <v>Assurance suis does not give any gifts to the right drivers. The Macif invests 30 million euros per year in a carbon sailboat but nothing for its insured.</v>
      </c>
    </row>
    <row r="658" ht="15.75" customHeight="1">
      <c r="A658" s="2">
        <v>2.0</v>
      </c>
      <c r="B658" s="2" t="s">
        <v>1915</v>
      </c>
      <c r="C658" s="2" t="s">
        <v>1916</v>
      </c>
      <c r="D658" s="2" t="s">
        <v>53</v>
      </c>
      <c r="E658" s="2" t="s">
        <v>104</v>
      </c>
      <c r="F658" s="2" t="s">
        <v>15</v>
      </c>
      <c r="G658" s="2" t="s">
        <v>1917</v>
      </c>
      <c r="H658" s="2" t="s">
        <v>566</v>
      </c>
      <c r="I658" s="2" t="str">
        <f>IFERROR(__xludf.DUMMYFUNCTION("GOOGLETRANSLATE(C658,""fr"",""en"")"),"Maaf put me outside! I have been insured since 1999. But one day they kindly called me to warn that with my three water damage I would cost them too much. I specify that the damage was not caused by me but I was the victim. So we were going to terminate m"&amp;"y contract. And they did it. The phone call was confidential me said. So that I can seek new insurance before receiving the writing. Too nice haha.
After I subscribed to Egan. Who subsequently forgot to warn me that they were going to terminate all their"&amp;" contract subscribed online. But this will be the subject of another post. Insurers despair me. And these two I really decide them and passionately.")</f>
        <v>Maaf put me outside! I have been insured since 1999. But one day they kindly called me to warn that with my three water damage I would cost them too much. I specify that the damage was not caused by me but I was the victim. So we were going to terminate my contract. And they did it. The phone call was confidential me said. So that I can seek new insurance before receiving the writing. Too nice haha.
After I subscribed to Egan. Who subsequently forgot to warn me that they were going to terminate all their contract subscribed online. But this will be the subject of another post. Insurers despair me. And these two I really decide them and passionately.</v>
      </c>
    </row>
    <row r="659" ht="15.75" customHeight="1">
      <c r="A659" s="2">
        <v>5.0</v>
      </c>
      <c r="B659" s="2" t="s">
        <v>1918</v>
      </c>
      <c r="C659" s="2" t="s">
        <v>1919</v>
      </c>
      <c r="D659" s="2" t="s">
        <v>57</v>
      </c>
      <c r="E659" s="2" t="s">
        <v>14</v>
      </c>
      <c r="F659" s="2" t="s">
        <v>15</v>
      </c>
      <c r="G659" s="2" t="s">
        <v>1454</v>
      </c>
      <c r="H659" s="2" t="s">
        <v>34</v>
      </c>
      <c r="I659" s="2" t="str">
        <f>IFERROR(__xludf.DUMMYFUNCTION("GOOGLETRANSLATE(C659,""fr"",""en"")"),"Practical, simple and efficient service. Adaptation to the site is clear, and very intuitive.
Pending documents for upcoming printing.
Regards Mr Fermond Aurelien")</f>
        <v>Practical, simple and efficient service. Adaptation to the site is clear, and very intuitive.
Pending documents for upcoming printing.
Regards Mr Fermond Aurelien</v>
      </c>
    </row>
    <row r="660" ht="15.75" customHeight="1">
      <c r="A660" s="2">
        <v>5.0</v>
      </c>
      <c r="B660" s="2" t="s">
        <v>1920</v>
      </c>
      <c r="C660" s="2" t="s">
        <v>1921</v>
      </c>
      <c r="D660" s="2" t="s">
        <v>37</v>
      </c>
      <c r="E660" s="2" t="s">
        <v>38</v>
      </c>
      <c r="F660" s="2" t="s">
        <v>15</v>
      </c>
      <c r="G660" s="2" t="s">
        <v>1922</v>
      </c>
      <c r="H660" s="2" t="s">
        <v>54</v>
      </c>
      <c r="I660" s="2" t="str">
        <f>IFERROR(__xludf.DUMMYFUNCTION("GOOGLETRANSLATE(C660,""fr"",""en"")"),"We think more often of criticizing when things are not going to express your satisfaction when everything is fine. As far as I'm concerned, and after more than 10 years at AMV 2 wheels, I am more than satisfied. I have always felt supported in every way i"&amp;"n the event of a dispute and even when I could be wrong, they have always remained patient, understandable, reachable and completely professional. It becomes rare today unfortunately so it seems important to me to emphasize this.")</f>
        <v>We think more often of criticizing when things are not going to express your satisfaction when everything is fine. As far as I'm concerned, and after more than 10 years at AMV 2 wheels, I am more than satisfied. I have always felt supported in every way in the event of a dispute and even when I could be wrong, they have always remained patient, understandable, reachable and completely professional. It becomes rare today unfortunately so it seems important to me to emphasize this.</v>
      </c>
    </row>
    <row r="661" ht="15.75" customHeight="1">
      <c r="A661" s="2">
        <v>4.0</v>
      </c>
      <c r="B661" s="2" t="s">
        <v>1923</v>
      </c>
      <c r="C661" s="2" t="s">
        <v>1924</v>
      </c>
      <c r="D661" s="2" t="s">
        <v>57</v>
      </c>
      <c r="E661" s="2" t="s">
        <v>14</v>
      </c>
      <c r="F661" s="2" t="s">
        <v>15</v>
      </c>
      <c r="G661" s="2" t="s">
        <v>1925</v>
      </c>
      <c r="H661" s="2" t="s">
        <v>94</v>
      </c>
      <c r="I661" s="2" t="str">
        <f>IFERROR(__xludf.DUMMYFUNCTION("GOOGLETRANSLATE(C661,""fr"",""en"")"),"Best price for my case with the possibility of adjusting options and franchises!")</f>
        <v>Best price for my case with the possibility of adjusting options and franchises!</v>
      </c>
    </row>
    <row r="662" ht="15.75" customHeight="1">
      <c r="A662" s="2">
        <v>5.0</v>
      </c>
      <c r="B662" s="2" t="s">
        <v>1926</v>
      </c>
      <c r="C662" s="2" t="s">
        <v>1927</v>
      </c>
      <c r="D662" s="2" t="s">
        <v>31</v>
      </c>
      <c r="E662" s="2" t="s">
        <v>32</v>
      </c>
      <c r="F662" s="2" t="s">
        <v>15</v>
      </c>
      <c r="G662" s="2" t="s">
        <v>1928</v>
      </c>
      <c r="H662" s="2" t="s">
        <v>185</v>
      </c>
      <c r="I662" s="2" t="str">
        <f>IFERROR(__xludf.DUMMYFUNCTION("GOOGLETRANSLATE(C662,""fr"",""en"")"),"Very satisfied with the advice, the support in the procedures, sympathy and listening to advisers ... Availability and responsiveness also at the meeting. Loan insurance in the cheapest on the market. To recommend !")</f>
        <v>Very satisfied with the advice, the support in the procedures, sympathy and listening to advisers ... Availability and responsiveness also at the meeting. Loan insurance in the cheapest on the market. To recommend !</v>
      </c>
    </row>
    <row r="663" ht="15.75" customHeight="1">
      <c r="A663" s="2">
        <v>1.0</v>
      </c>
      <c r="B663" s="2" t="s">
        <v>1929</v>
      </c>
      <c r="C663" s="2" t="s">
        <v>1930</v>
      </c>
      <c r="D663" s="2" t="s">
        <v>1911</v>
      </c>
      <c r="E663" s="2" t="s">
        <v>38</v>
      </c>
      <c r="F663" s="2" t="s">
        <v>15</v>
      </c>
      <c r="G663" s="2" t="s">
        <v>1931</v>
      </c>
      <c r="H663" s="2" t="s">
        <v>54</v>
      </c>
      <c r="I663" s="2" t="str">
        <f>IFERROR(__xludf.DUMMYFUNCTION("GOOGLETRANSLATE(C663,""fr"",""en"")"),"Very unpleasant on the phone, lack of professionalism, and in addition they collect any check falls under their hands, a check addressed by mistake and yet to the order of another company, is collected, the only solution is a Complaint for check flights a"&amp;"nd soon a complaint in court to reimburse at the end.
 ")</f>
        <v>Very unpleasant on the phone, lack of professionalism, and in addition they collect any check falls under their hands, a check addressed by mistake and yet to the order of another company, is collected, the only solution is a Complaint for check flights and soon a complaint in court to reimburse at the end.
 </v>
      </c>
    </row>
    <row r="664" ht="15.75" customHeight="1">
      <c r="A664" s="2">
        <v>1.0</v>
      </c>
      <c r="B664" s="2" t="s">
        <v>1932</v>
      </c>
      <c r="C664" s="2" t="s">
        <v>1933</v>
      </c>
      <c r="D664" s="2" t="s">
        <v>192</v>
      </c>
      <c r="E664" s="2" t="s">
        <v>21</v>
      </c>
      <c r="F664" s="2" t="s">
        <v>15</v>
      </c>
      <c r="G664" s="2" t="s">
        <v>1934</v>
      </c>
      <c r="H664" s="2" t="s">
        <v>547</v>
      </c>
      <c r="I664" s="2" t="str">
        <f>IFERROR(__xludf.DUMMYFUNCTION("GOOGLETRANSLATE(C664,""fr"",""en"")"),"I am with this mutual because imposed by my employer! I am disabled in a wheelchair. FINA 2016, in front of my growing handicap I had to learn about motorized armchairs. So I had several quotes that I sent to MGEN. It was done in October 2016! In November"&amp;" I received a letter indicating me the reimbursements of the MGEN and my remaining dependent. So I made my choice and I was able to order the adequate chair with my handicap and my finances! I took possession of this chair in April 2017 and since ..... it"&amp;"'s a hassle! The social security part has been reimbursed but with regard to mutual part it is always to date pending (we are on January 16, 2018). In August 2017, 4 months after purchase and many reminders, a person tells me that I have to fill out a fil"&amp;"e for expensive care! I ask for explanations and the answer is that a armchair is too expensive and so it is necessary to go through this expensive care committee. I fill out the file, provided different documents and I am waiting for ....... I wait .... "&amp;"In December, I meet a advisor at my workplace which promises me a quick response !! A week, two, three and nothing !! ?? I send emails, no answer! Since the Christmas holidays are there I am waiting for! And, on January 11, 2018, the same advisor asked me"&amp;" for new documents, gives me new explanations !!!!! ???? I am annoying myself (I have been patient since April 2017, you will agree!). I re re ... Request explanations on the why of these new documents and the advisor answers me ""it's the law!"" I then a"&amp;"sk what law, according to which code and that I am sent to my text! Change of tactics from the advisor: ""Uh it is not a law but an internal circular!"" I also ask for a copy of the text! Answer: ""Uh actually c! 'Is an oral request for my superiors"" !!!"&amp;"!! We don't care about me! I'm sick of it! I'm out, I think about it every day! As if being disabled was not already complicated enough! I would have done so on this chair !! I plan to go further so in my efforts ... do not take MGEN that if you need noth"&amp;"ing !!")</f>
        <v>I am with this mutual because imposed by my employer! I am disabled in a wheelchair. FINA 2016, in front of my growing handicap I had to learn about motorized armchairs. So I had several quotes that I sent to MGEN. It was done in October 2016! In November I received a letter indicating me the reimbursements of the MGEN and my remaining dependent. So I made my choice and I was able to order the adequate chair with my handicap and my finances! I took possession of this chair in April 2017 and since ..... it's a hassle! The social security part has been reimbursed but with regard to mutual part it is always to date pending (we are on January 16, 2018). In August 2017, 4 months after purchase and many reminders, a person tells me that I have to fill out a file for expensive care! I ask for explanations and the answer is that a armchair is too expensive and so it is necessary to go through this expensive care committee. I fill out the file, provided different documents and I am waiting for ....... I wait .... In December, I meet a advisor at my workplace which promises me a quick response !! A week, two, three and nothing !! ?? I send emails, no answer! Since the Christmas holidays are there I am waiting for! And, on January 11, 2018, the same advisor asked me for new documents, gives me new explanations !!!!! ???? I am annoying myself (I have been patient since April 2017, you will agree!). I re re ... Request explanations on the why of these new documents and the advisor answers me "it's the law!" I then ask what law, according to which code and that I am sent to my text! Change of tactics from the advisor: "Uh it is not a law but an internal circular!" I also ask for a copy of the text! Answer: "Uh actually c! 'Is an oral request for my superiors" !!!!! We don't care about me! I'm sick of it! I'm out, I think about it every day! As if being disabled was not already complicated enough! I would have done so on this chair !! I plan to go further so in my efforts ... do not take MGEN that if you need nothing !!</v>
      </c>
    </row>
    <row r="665" ht="15.75" customHeight="1">
      <c r="A665" s="2">
        <v>5.0</v>
      </c>
      <c r="B665" s="2" t="s">
        <v>1935</v>
      </c>
      <c r="C665" s="2" t="s">
        <v>1936</v>
      </c>
      <c r="D665" s="2" t="s">
        <v>305</v>
      </c>
      <c r="E665" s="2" t="s">
        <v>38</v>
      </c>
      <c r="F665" s="2" t="s">
        <v>15</v>
      </c>
      <c r="G665" s="2" t="s">
        <v>1937</v>
      </c>
      <c r="H665" s="2" t="s">
        <v>122</v>
      </c>
      <c r="I665" s="2" t="str">
        <f>IFERROR(__xludf.DUMMYFUNCTION("GOOGLETRANSLATE(C665,""fr"",""en"")"),"I am satisfied with the price and quality of service. The prices are very correctly and inexpensive. I will recommend my loved one to subscribe to you")</f>
        <v>I am satisfied with the price and quality of service. The prices are very correctly and inexpensive. I will recommend my loved one to subscribe to you</v>
      </c>
    </row>
    <row r="666" ht="15.75" customHeight="1">
      <c r="A666" s="2">
        <v>2.0</v>
      </c>
      <c r="B666" s="2" t="s">
        <v>1938</v>
      </c>
      <c r="C666" s="2" t="s">
        <v>1939</v>
      </c>
      <c r="D666" s="2" t="s">
        <v>13</v>
      </c>
      <c r="E666" s="2" t="s">
        <v>14</v>
      </c>
      <c r="F666" s="2" t="s">
        <v>15</v>
      </c>
      <c r="G666" s="2" t="s">
        <v>1940</v>
      </c>
      <c r="H666" s="2" t="s">
        <v>214</v>
      </c>
      <c r="I666" s="2" t="str">
        <f>IFERROR(__xludf.DUMMYFUNCTION("GOOGLETRANSLATE(C666,""fr"",""en"")"),"I left 4 months abroad and my deadline having gone from 3 months, I found myself without insurance, because Pacifica did not want to reassure me !!!!!!!!!!!!
So much so that my car is currently without insurance !!!!!!!!!!!!! While I was at Pacifica for "&amp;"over 10 years.
When I come back to France (stuck abroad by the COVID), I have the choice between driving without being insured or being provided by a new company at a high price.")</f>
        <v>I left 4 months abroad and my deadline having gone from 3 months, I found myself without insurance, because Pacifica did not want to reassure me !!!!!!!!!!!!
So much so that my car is currently without insurance !!!!!!!!!!!!! While I was at Pacifica for over 10 years.
When I come back to France (stuck abroad by the COVID), I have the choice between driving without being insured or being provided by a new company at a high price.</v>
      </c>
    </row>
    <row r="667" ht="15.75" customHeight="1">
      <c r="A667" s="2">
        <v>1.0</v>
      </c>
      <c r="B667" s="2" t="s">
        <v>1941</v>
      </c>
      <c r="C667" s="2" t="s">
        <v>1942</v>
      </c>
      <c r="D667" s="2" t="s">
        <v>84</v>
      </c>
      <c r="E667" s="2" t="s">
        <v>14</v>
      </c>
      <c r="F667" s="2" t="s">
        <v>15</v>
      </c>
      <c r="G667" s="2" t="s">
        <v>1156</v>
      </c>
      <c r="H667" s="2" t="s">
        <v>34</v>
      </c>
      <c r="I667" s="2" t="str">
        <f>IFERROR(__xludf.DUMMYFUNCTION("GOOGLETRANSLATE(C667,""fr"",""en"")"),"Disappointed after a domestic accident.
The two managers did not do their job, the expert granted 1 month of human aid and when I request compensation 0
So I make quotes elsewhere")</f>
        <v>Disappointed after a domestic accident.
The two managers did not do their job, the expert granted 1 month of human aid and when I request compensation 0
So I make quotes elsewhere</v>
      </c>
    </row>
    <row r="668" ht="15.75" customHeight="1">
      <c r="A668" s="2">
        <v>1.0</v>
      </c>
      <c r="B668" s="2" t="s">
        <v>1943</v>
      </c>
      <c r="C668" s="2" t="s">
        <v>1944</v>
      </c>
      <c r="D668" s="2" t="s">
        <v>103</v>
      </c>
      <c r="E668" s="2" t="s">
        <v>104</v>
      </c>
      <c r="F668" s="2" t="s">
        <v>15</v>
      </c>
      <c r="G668" s="2" t="s">
        <v>986</v>
      </c>
      <c r="H668" s="2" t="s">
        <v>208</v>
      </c>
      <c r="I668" s="2" t="str">
        <f>IFERROR(__xludf.DUMMYFUNCTION("GOOGLETRANSLATE(C668,""fr"",""en"")"),"Very bad over time! As long as you give them money every month and you have no problem, it's okay.
With them for over 18 years, I have paid and paid all these years. It is that I have had some problems with my accommodation (simple, small and ridiculous "&amp;"water damage) lately (2 or 3 over the last 5 years) and here they are sending me a registered letter telling me that I I made the assurance too much play and therefore they resile my contract! Thank you to the state for allowing these companies to make pe"&amp;"ople laugh this way.")</f>
        <v>Very bad over time! As long as you give them money every month and you have no problem, it's okay.
With them for over 18 years, I have paid and paid all these years. It is that I have had some problems with my accommodation (simple, small and ridiculous water damage) lately (2 or 3 over the last 5 years) and here they are sending me a registered letter telling me that I I made the assurance too much play and therefore they resile my contract! Thank you to the state for allowing these companies to make people laugh this way.</v>
      </c>
    </row>
    <row r="669" ht="15.75" customHeight="1">
      <c r="A669" s="2">
        <v>2.0</v>
      </c>
      <c r="B669" s="2" t="s">
        <v>1945</v>
      </c>
      <c r="C669" s="2" t="s">
        <v>1946</v>
      </c>
      <c r="D669" s="2" t="s">
        <v>57</v>
      </c>
      <c r="E669" s="2" t="s">
        <v>14</v>
      </c>
      <c r="F669" s="2" t="s">
        <v>15</v>
      </c>
      <c r="G669" s="2" t="s">
        <v>515</v>
      </c>
      <c r="H669" s="2" t="s">
        <v>185</v>
      </c>
      <c r="I669" s="2" t="str">
        <f>IFERROR(__xludf.DUMMYFUNCTION("GOOGLETRANSLATE(C669,""fr"",""en"")"),"Bad experience following a ""computer bug"" of my file, in the obligation to redo a new contract 6 months after the subscription (more invoicing of the file fees) when I called it to declare a claim. Suddenly immediate increase in my subscription.
I spen"&amp;"t 2 x two hours being put on hold then transferred between services to arrive there ..")</f>
        <v>Bad experience following a "computer bug" of my file, in the obligation to redo a new contract 6 months after the subscription (more invoicing of the file fees) when I called it to declare a claim. Suddenly immediate increase in my subscription.
I spent 2 x two hours being put on hold then transferred between services to arrive there ..</v>
      </c>
    </row>
    <row r="670" ht="15.75" customHeight="1">
      <c r="A670" s="2">
        <v>4.0</v>
      </c>
      <c r="B670" s="2" t="s">
        <v>1947</v>
      </c>
      <c r="C670" s="2" t="s">
        <v>1948</v>
      </c>
      <c r="D670" s="2" t="s">
        <v>26</v>
      </c>
      <c r="E670" s="2" t="s">
        <v>14</v>
      </c>
      <c r="F670" s="2" t="s">
        <v>15</v>
      </c>
      <c r="G670" s="2" t="s">
        <v>438</v>
      </c>
      <c r="H670" s="2" t="s">
        <v>81</v>
      </c>
      <c r="I670" s="2" t="str">
        <f>IFERROR(__xludf.DUMMYFUNCTION("GOOGLETRANSLATE(C670,""fr"",""en"")"),"The prices are correct there are a lot of choice concerning the different insurances
The site is very easy to use, no need to search, I recommend
")</f>
        <v>The prices are correct there are a lot of choice concerning the different insurances
The site is very easy to use, no need to search, I recommend
</v>
      </c>
    </row>
    <row r="671" ht="15.75" customHeight="1">
      <c r="A671" s="2">
        <v>2.0</v>
      </c>
      <c r="B671" s="2" t="s">
        <v>1949</v>
      </c>
      <c r="C671" s="2" t="s">
        <v>1950</v>
      </c>
      <c r="D671" s="2" t="s">
        <v>53</v>
      </c>
      <c r="E671" s="2" t="s">
        <v>104</v>
      </c>
      <c r="F671" s="2" t="s">
        <v>15</v>
      </c>
      <c r="G671" s="2" t="s">
        <v>1951</v>
      </c>
      <c r="H671" s="2" t="s">
        <v>28</v>
      </c>
      <c r="I671" s="2" t="str">
        <f>IFERROR(__xludf.DUMMYFUNCTION("GOOGLETRANSLATE(C671,""fr"",""en"")"),"SSUTURE AUTO AND HABITATION For 30 years, including 17 years at Maaf, never an accident neither a disaster nor in a car or in housing. My two children also insured in self -loss. About 200 to 2500 € of annual premiums depending on vehicles.
Following the"&amp;" purchase of an old house at the end of 2019, I underwent two damage to the waters, one of which required the passage of an expert. Total cost supported by the MAAF, € 2800 for repair (not a third of what I really paid).
Result: The director of the MAAF "&amp;"leaves me a message in July, on my laptop messaging, to tell me that I am terminated because too much disaster !!!!
Incredible and absolutely unacceptable when in the bottom and especially in form! I wrote to the termination service which, three weeks la"&amp;"ter has not still contacted me.
Arriving at their fifties, having always been a good payer and without problems, at the first need the Maaf is disengaging! Police advertising, the maaf will never be more than I prefer! I seized the mediator.
Date of e"&amp;"xperience: July 12, 2021")</f>
        <v>SSUTURE AUTO AND HABITATION For 30 years, including 17 years at Maaf, never an accident neither a disaster nor in a car or in housing. My two children also insured in self -loss. About 200 to 2500 € of annual premiums depending on vehicles.
Following the purchase of an old house at the end of 2019, I underwent two damage to the waters, one of which required the passage of an expert. Total cost supported by the MAAF, € 2800 for repair (not a third of what I really paid).
Result: The director of the MAAF leaves me a message in July, on my laptop messaging, to tell me that I am terminated because too much disaster !!!!
Incredible and absolutely unacceptable when in the bottom and especially in form! I wrote to the termination service which, three weeks later has not still contacted me.
Arriving at their fifties, having always been a good payer and without problems, at the first need the Maaf is disengaging! Police advertising, the maaf will never be more than I prefer! I seized the mediator.
Date of experience: July 12, 2021</v>
      </c>
    </row>
    <row r="672" ht="15.75" customHeight="1">
      <c r="A672" s="2">
        <v>1.0</v>
      </c>
      <c r="B672" s="2" t="s">
        <v>1952</v>
      </c>
      <c r="C672" s="2" t="s">
        <v>1953</v>
      </c>
      <c r="D672" s="2" t="s">
        <v>571</v>
      </c>
      <c r="E672" s="2" t="s">
        <v>21</v>
      </c>
      <c r="F672" s="2" t="s">
        <v>15</v>
      </c>
      <c r="G672" s="2" t="s">
        <v>1954</v>
      </c>
      <c r="H672" s="2" t="s">
        <v>980</v>
      </c>
      <c r="I672" s="2" t="str">
        <f>IFERROR(__xludf.DUMMYFUNCTION("GOOGLETRANSLATE(C672,""fr"",""en"")"),"Detour the laws in force on the termination increases these rates by + by 15%. Follow collective contracts by making an nonexistent association without status to divert the shameful chatel law because immomposibility of terminating and the justice tolere "&amp;"this !!!!")</f>
        <v>Detour the laws in force on the termination increases these rates by + by 15%. Follow collective contracts by making an nonexistent association without status to divert the shameful chatel law because immomposibility of terminating and the justice tolere this !!!!</v>
      </c>
    </row>
    <row r="673" ht="15.75" customHeight="1">
      <c r="A673" s="2">
        <v>4.0</v>
      </c>
      <c r="B673" s="2" t="s">
        <v>1955</v>
      </c>
      <c r="C673" s="2" t="s">
        <v>1956</v>
      </c>
      <c r="D673" s="2" t="s">
        <v>305</v>
      </c>
      <c r="E673" s="2" t="s">
        <v>38</v>
      </c>
      <c r="F673" s="2" t="s">
        <v>15</v>
      </c>
      <c r="G673" s="2" t="s">
        <v>1430</v>
      </c>
      <c r="H673" s="2" t="s">
        <v>74</v>
      </c>
      <c r="I673" s="2" t="str">
        <f>IFERROR(__xludf.DUMMYFUNCTION("GOOGLETRANSLATE(C673,""fr"",""en"")"),"Simple practice and good price. Everything you expect from online insurance. Several people are recommended for me and for the moment the first impressions are good")</f>
        <v>Simple practice and good price. Everything you expect from online insurance. Several people are recommended for me and for the moment the first impressions are good</v>
      </c>
    </row>
    <row r="674" ht="15.75" customHeight="1">
      <c r="A674" s="2">
        <v>1.0</v>
      </c>
      <c r="B674" s="2" t="s">
        <v>1957</v>
      </c>
      <c r="C674" s="2" t="s">
        <v>1958</v>
      </c>
      <c r="D674" s="2" t="s">
        <v>103</v>
      </c>
      <c r="E674" s="2" t="s">
        <v>38</v>
      </c>
      <c r="F674" s="2" t="s">
        <v>15</v>
      </c>
      <c r="G674" s="2" t="s">
        <v>1671</v>
      </c>
      <c r="H674" s="2" t="s">
        <v>390</v>
      </c>
      <c r="I674" s="2" t="str">
        <f>IFERROR(__xludf.DUMMYFUNCTION("GOOGLETRANSLATE(C674,""fr"",""en"")"),"The Macif refuses a commercial gesture due to confinement.
I encourage all the insured Macif to think about the renewal of the contract, which is the only possibility of showing its dissatisfaction, a large number of insurer make a gesture")</f>
        <v>The Macif refuses a commercial gesture due to confinement.
I encourage all the insured Macif to think about the renewal of the contract, which is the only possibility of showing its dissatisfaction, a large number of insurer make a gesture</v>
      </c>
    </row>
    <row r="675" ht="15.75" customHeight="1">
      <c r="A675" s="2">
        <v>4.0</v>
      </c>
      <c r="B675" s="2" t="s">
        <v>1959</v>
      </c>
      <c r="C675" s="2" t="s">
        <v>1960</v>
      </c>
      <c r="D675" s="2" t="s">
        <v>57</v>
      </c>
      <c r="E675" s="2" t="s">
        <v>14</v>
      </c>
      <c r="F675" s="2" t="s">
        <v>15</v>
      </c>
      <c r="G675" s="2" t="s">
        <v>475</v>
      </c>
      <c r="H675" s="2" t="s">
        <v>81</v>
      </c>
      <c r="I675" s="2" t="str">
        <f>IFERROR(__xludf.DUMMYFUNCTION("GOOGLETRANSLATE(C675,""fr"",""en"")"),"A very attractive price especially for young permits! Thank you to the gentleman for informing me about all my questions. Staff available to our needs")</f>
        <v>A very attractive price especially for young permits! Thank you to the gentleman for informing me about all my questions. Staff available to our needs</v>
      </c>
    </row>
    <row r="676" ht="15.75" customHeight="1">
      <c r="A676" s="2">
        <v>2.0</v>
      </c>
      <c r="B676" s="2" t="s">
        <v>1961</v>
      </c>
      <c r="C676" s="2" t="s">
        <v>1962</v>
      </c>
      <c r="D676" s="2" t="s">
        <v>315</v>
      </c>
      <c r="E676" s="2" t="s">
        <v>14</v>
      </c>
      <c r="F676" s="2" t="s">
        <v>15</v>
      </c>
      <c r="G676" s="2" t="s">
        <v>1963</v>
      </c>
      <c r="H676" s="2" t="s">
        <v>185</v>
      </c>
      <c r="I676" s="2" t="str">
        <f>IFERROR(__xludf.DUMMYFUNCTION("GOOGLETRANSLATE(C676,""fr"",""en"")"),"Eurofil makes promotions to attract new customers but do not lower long -term customer contributions I experienced they answer me that these are not the same contracts so we have close to false advertising")</f>
        <v>Eurofil makes promotions to attract new customers but do not lower long -term customer contributions I experienced they answer me that these are not the same contracts so we have close to false advertising</v>
      </c>
    </row>
    <row r="677" ht="15.75" customHeight="1">
      <c r="A677" s="2">
        <v>3.0</v>
      </c>
      <c r="B677" s="2" t="s">
        <v>1964</v>
      </c>
      <c r="C677" s="2" t="s">
        <v>1965</v>
      </c>
      <c r="D677" s="2" t="s">
        <v>57</v>
      </c>
      <c r="E677" s="2" t="s">
        <v>14</v>
      </c>
      <c r="F677" s="2" t="s">
        <v>15</v>
      </c>
      <c r="G677" s="2" t="s">
        <v>1966</v>
      </c>
      <c r="H677" s="2" t="s">
        <v>63</v>
      </c>
      <c r="I677" s="2" t="str">
        <f>IFERROR(__xludf.DUMMYFUNCTION("GOOGLETRANSLATE(C677,""fr"",""en"")"),"Increase in my bonus by 21% when I did not have an accident and my bonus improved by 5% this year.
After requesting explanations, I am told that the prices are free and that the cost of repairs increased last year, that there are many accidents in my reg"&amp;"ion (ah ??? would the confinement have Generated more accidents despite the sharp drop in traffic?), Many malicious acts, etc, etc ... They really take their customers for naive.
For information, most insurers have not increased their prices this year.
"&amp;"After complaint, they granted me .... a discount. On this condition, I therefore renewed my contract.
It is therefore recommended to check the amount of its premium every year and make a complaint if necessary.
Another opacity: the bonus/penalty rate is"&amp;" not apparent in the personal space. Maybe to dissuade from having quotes elsewhere?
")</f>
        <v>Increase in my bonus by 21% when I did not have an accident and my bonus improved by 5% this year.
After requesting explanations, I am told that the prices are free and that the cost of repairs increased last year, that there are many accidents in my region (ah ??? would the confinement have Generated more accidents despite the sharp drop in traffic?), Many malicious acts, etc, etc ... They really take their customers for naive.
For information, most insurers have not increased their prices this year.
After complaint, they granted me .... a discount. On this condition, I therefore renewed my contract.
It is therefore recommended to check the amount of its premium every year and make a complaint if necessary.
Another opacity: the bonus/penalty rate is not apparent in the personal space. Maybe to dissuade from having quotes elsewhere?
</v>
      </c>
    </row>
    <row r="678" ht="15.75" customHeight="1">
      <c r="A678" s="2">
        <v>4.0</v>
      </c>
      <c r="B678" s="2" t="s">
        <v>1967</v>
      </c>
      <c r="C678" s="2" t="s">
        <v>1968</v>
      </c>
      <c r="D678" s="2" t="s">
        <v>57</v>
      </c>
      <c r="E678" s="2" t="s">
        <v>14</v>
      </c>
      <c r="F678" s="2" t="s">
        <v>15</v>
      </c>
      <c r="G678" s="2" t="s">
        <v>169</v>
      </c>
      <c r="H678" s="2" t="s">
        <v>122</v>
      </c>
      <c r="I678" s="2" t="str">
        <f>IFERROR(__xludf.DUMMYFUNCTION("GOOGLETRANSLATE(C678,""fr"",""en"")"),"For the moment very satisfied with the price and advise very pleasant! To be continued in time to find out if everyone is going well :)
Thank you the olive tree for your help")</f>
        <v>For the moment very satisfied with the price and advise very pleasant! To be continued in time to find out if everyone is going well :)
Thank you the olive tree for your help</v>
      </c>
    </row>
    <row r="679" ht="15.75" customHeight="1">
      <c r="A679" s="2">
        <v>2.0</v>
      </c>
      <c r="B679" s="2" t="s">
        <v>1969</v>
      </c>
      <c r="C679" s="2" t="s">
        <v>1970</v>
      </c>
      <c r="D679" s="2" t="s">
        <v>26</v>
      </c>
      <c r="E679" s="2" t="s">
        <v>14</v>
      </c>
      <c r="F679" s="2" t="s">
        <v>15</v>
      </c>
      <c r="G679" s="2" t="s">
        <v>1971</v>
      </c>
      <c r="H679" s="2" t="s">
        <v>218</v>
      </c>
      <c r="I679" s="2" t="str">
        <f>IFERROR(__xludf.DUMMYFUNCTION("GOOGLETRANSLATE(C679,""fr"",""en"")"),"hello I just changed my insurance none for direct insurance whose prices have parrus acceptable .... I sign the quote, I am asked to settle, send me a valid attestation 1 month, an advisor contacts me and tells me that he was going to do the necessary nec"&amp;"essary from my current insurer for termination. Some days go by, and I receive an email of ""Direct Energie"" indicating that my file is not complete and that I have to 'To July 2018 to provide the missing parts, without this, I will not be covered ... My"&amp;" current insurer does not answer me it is Generali, how to recover my payment to ""Direct Energie"" ???
I was wrong, I settled too quickly! Warning!")</f>
        <v>hello I just changed my insurance none for direct insurance whose prices have parrus acceptable .... I sign the quote, I am asked to settle, send me a valid attestation 1 month, an advisor contacts me and tells me that he was going to do the necessary necessary from my current insurer for termination. Some days go by, and I receive an email of "Direct Energie" indicating that my file is not complete and that I have to 'To July 2018 to provide the missing parts, without this, I will not be covered ... My current insurer does not answer me it is Generali, how to recover my payment to "Direct Energie" ???
I was wrong, I settled too quickly! Warning!</v>
      </c>
    </row>
    <row r="680" ht="15.75" customHeight="1">
      <c r="A680" s="2">
        <v>4.0</v>
      </c>
      <c r="B680" s="2" t="s">
        <v>1972</v>
      </c>
      <c r="C680" s="2" t="s">
        <v>1973</v>
      </c>
      <c r="D680" s="2" t="s">
        <v>26</v>
      </c>
      <c r="E680" s="2" t="s">
        <v>14</v>
      </c>
      <c r="F680" s="2" t="s">
        <v>15</v>
      </c>
      <c r="G680" s="2" t="s">
        <v>475</v>
      </c>
      <c r="H680" s="2" t="s">
        <v>81</v>
      </c>
      <c r="I680" s="2" t="str">
        <f>IFERROR(__xludf.DUMMYFUNCTION("GOOGLETRANSLATE(C680,""fr"",""en"")"),"Simple and practical. Very restrictive opinion with 150 characters.
Not much else to add. Except to warn me immediately during a price change.")</f>
        <v>Simple and practical. Very restrictive opinion with 150 characters.
Not much else to add. Except to warn me immediately during a price change.</v>
      </c>
    </row>
    <row r="681" ht="15.75" customHeight="1">
      <c r="A681" s="2">
        <v>3.0</v>
      </c>
      <c r="B681" s="2" t="s">
        <v>1974</v>
      </c>
      <c r="C681" s="2" t="s">
        <v>1975</v>
      </c>
      <c r="D681" s="2" t="s">
        <v>57</v>
      </c>
      <c r="E681" s="2" t="s">
        <v>14</v>
      </c>
      <c r="F681" s="2" t="s">
        <v>15</v>
      </c>
      <c r="G681" s="2" t="s">
        <v>1324</v>
      </c>
      <c r="H681" s="2" t="s">
        <v>34</v>
      </c>
      <c r="I681" s="2" t="str">
        <f>IFERROR(__xludf.DUMMYFUNCTION("GOOGLETRANSLATE(C681,""fr"",""en"")"),"Several round trips to obtain the right documents with the name of my daughter, owner of the vehicle and main driver: My name on all documents.")</f>
        <v>Several round trips to obtain the right documents with the name of my daughter, owner of the vehicle and main driver: My name on all documents.</v>
      </c>
    </row>
    <row r="682" ht="15.75" customHeight="1">
      <c r="A682" s="2">
        <v>4.0</v>
      </c>
      <c r="B682" s="2" t="s">
        <v>1976</v>
      </c>
      <c r="C682" s="2" t="s">
        <v>1977</v>
      </c>
      <c r="D682" s="2" t="s">
        <v>305</v>
      </c>
      <c r="E682" s="2" t="s">
        <v>38</v>
      </c>
      <c r="F682" s="2" t="s">
        <v>15</v>
      </c>
      <c r="G682" s="2" t="s">
        <v>335</v>
      </c>
      <c r="H682" s="2" t="s">
        <v>122</v>
      </c>
      <c r="I682" s="2" t="str">
        <f>IFERROR(__xludf.DUMMYFUNCTION("GOOGLETRANSLATE(C682,""fr"",""en"")"),"I am satisfied with the service, simple and fast the correct its prices they suit me, I will recommend to my friends April insurance.
Thank you, cordially Mr Yahiaoui.")</f>
        <v>I am satisfied with the service, simple and fast the correct its prices they suit me, I will recommend to my friends April insurance.
Thank you, cordially Mr Yahiaoui.</v>
      </c>
    </row>
    <row r="683" ht="15.75" customHeight="1">
      <c r="A683" s="2">
        <v>4.0</v>
      </c>
      <c r="B683" s="2" t="s">
        <v>1978</v>
      </c>
      <c r="C683" s="2" t="s">
        <v>1979</v>
      </c>
      <c r="D683" s="2" t="s">
        <v>57</v>
      </c>
      <c r="E683" s="2" t="s">
        <v>14</v>
      </c>
      <c r="F683" s="2" t="s">
        <v>15</v>
      </c>
      <c r="G683" s="2" t="s">
        <v>1980</v>
      </c>
      <c r="H683" s="2" t="s">
        <v>140</v>
      </c>
      <c r="I683" s="2" t="str">
        <f>IFERROR(__xludf.DUMMYFUNCTION("GOOGLETRANSLATE(C683,""fr"",""en"")"),"I am very satisfied with your service, speed, clear and professional.
Please continue in this direction where the customer is important and at the center of your priorities.")</f>
        <v>I am very satisfied with your service, speed, clear and professional.
Please continue in this direction where the customer is important and at the center of your priorities.</v>
      </c>
    </row>
    <row r="684" ht="15.75" customHeight="1">
      <c r="A684" s="2">
        <v>3.0</v>
      </c>
      <c r="B684" s="2" t="s">
        <v>1981</v>
      </c>
      <c r="C684" s="2" t="s">
        <v>1982</v>
      </c>
      <c r="D684" s="2" t="s">
        <v>26</v>
      </c>
      <c r="E684" s="2" t="s">
        <v>14</v>
      </c>
      <c r="F684" s="2" t="s">
        <v>15</v>
      </c>
      <c r="G684" s="2" t="s">
        <v>1983</v>
      </c>
      <c r="H684" s="2" t="s">
        <v>74</v>
      </c>
      <c r="I684" s="2" t="str">
        <f>IFERROR(__xludf.DUMMYFUNCTION("GOOGLETRANSLATE(C684,""fr"",""en"")"),"The price remains expensive.
It would be interesting to offer such attractive rates as your competitors.
Although we are loyal and satisfied customers of certain conditions that you offer, we think that the price should drop a little.")</f>
        <v>The price remains expensive.
It would be interesting to offer such attractive rates as your competitors.
Although we are loyal and satisfied customers of certain conditions that you offer, we think that the price should drop a little.</v>
      </c>
    </row>
    <row r="685" ht="15.75" customHeight="1">
      <c r="A685" s="2">
        <v>4.0</v>
      </c>
      <c r="B685" s="2" t="s">
        <v>1984</v>
      </c>
      <c r="C685" s="2" t="s">
        <v>1985</v>
      </c>
      <c r="D685" s="2" t="s">
        <v>57</v>
      </c>
      <c r="E685" s="2" t="s">
        <v>14</v>
      </c>
      <c r="F685" s="2" t="s">
        <v>15</v>
      </c>
      <c r="G685" s="2" t="s">
        <v>778</v>
      </c>
      <c r="H685" s="2" t="s">
        <v>90</v>
      </c>
      <c r="I685" s="2" t="str">
        <f>IFERROR(__xludf.DUMMYFUNCTION("GOOGLETRANSLATE(C685,""fr"",""en"")"),"Your insurance service remains in correct prices, so speed levels for which you must be insured is rapid and efficient.")</f>
        <v>Your insurance service remains in correct prices, so speed levels for which you must be insured is rapid and efficient.</v>
      </c>
    </row>
    <row r="686" ht="15.75" customHeight="1">
      <c r="A686" s="2">
        <v>4.0</v>
      </c>
      <c r="B686" s="2" t="s">
        <v>1986</v>
      </c>
      <c r="C686" s="2" t="s">
        <v>1987</v>
      </c>
      <c r="D686" s="2" t="s">
        <v>26</v>
      </c>
      <c r="E686" s="2" t="s">
        <v>14</v>
      </c>
      <c r="F686" s="2" t="s">
        <v>15</v>
      </c>
      <c r="G686" s="2" t="s">
        <v>808</v>
      </c>
      <c r="H686" s="2" t="s">
        <v>34</v>
      </c>
      <c r="I686" s="2" t="str">
        <f>IFERROR(__xludf.DUMMYFUNCTION("GOOGLETRANSLATE(C686,""fr"",""en"")"),"Very patient and friendly salesperson. Prices suit me. I hope that the negative remarks on the comparative sites are not founded in the future. For the moment I am convinced of the process.")</f>
        <v>Very patient and friendly salesperson. Prices suit me. I hope that the negative remarks on the comparative sites are not founded in the future. For the moment I am convinced of the process.</v>
      </c>
    </row>
    <row r="687" ht="15.75" customHeight="1">
      <c r="A687" s="2">
        <v>2.0</v>
      </c>
      <c r="B687" s="2" t="s">
        <v>1988</v>
      </c>
      <c r="C687" s="2" t="s">
        <v>1989</v>
      </c>
      <c r="D687" s="2" t="s">
        <v>69</v>
      </c>
      <c r="E687" s="2" t="s">
        <v>21</v>
      </c>
      <c r="F687" s="2" t="s">
        <v>15</v>
      </c>
      <c r="G687" s="2" t="s">
        <v>629</v>
      </c>
      <c r="H687" s="2" t="s">
        <v>63</v>
      </c>
      <c r="I687" s="2" t="str">
        <f>IFERROR(__xludf.DUMMYFUNCTION("GOOGLETRANSLATE(C687,""fr"",""en"")"),"Santiane/Neoliane: To flee !!! Very gifted broker to canvass customers. On the other hand, telephone customer service, in the form of a platform, with operators who are never able to respond precisely to requests, but which always ensure that the problems"&amp;" will be dressed in the service concerned, and therefore settled - without ever being capable of capacity to give processing deadlines-. Far too long reimbursement times, processing delays -I have been waiting for a refund of glasses invoice for 1 month: "&amp;"my file is said to be complete, processed, but in progress ... so no validated payment. The Internet platform is not better. The requests made there by the customer are noted ""in progress"", never processed or at least within endless deadlines. And the e"&amp;"ntries of the type, contract, general and specific conditions, and reimbursement are almost non -existent. Personally, I am blocked with them for a year since impossible to terminate. But I would not fail to terminate my contract as soon as possible.")</f>
        <v>Santiane/Neoliane: To flee !!! Very gifted broker to canvass customers. On the other hand, telephone customer service, in the form of a platform, with operators who are never able to respond precisely to requests, but which always ensure that the problems will be dressed in the service concerned, and therefore settled - without ever being capable of capacity to give processing deadlines-. Far too long reimbursement times, processing delays -I have been waiting for a refund of glasses invoice for 1 month: my file is said to be complete, processed, but in progress ... so no validated payment. The Internet platform is not better. The requests made there by the customer are noted "in progress", never processed or at least within endless deadlines. And the entries of the type, contract, general and specific conditions, and reimbursement are almost non -existent. Personally, I am blocked with them for a year since impossible to terminate. But I would not fail to terminate my contract as soon as possible.</v>
      </c>
    </row>
    <row r="688" ht="15.75" customHeight="1">
      <c r="A688" s="2">
        <v>1.0</v>
      </c>
      <c r="B688" s="2" t="s">
        <v>1990</v>
      </c>
      <c r="C688" s="2" t="s">
        <v>1991</v>
      </c>
      <c r="D688" s="2" t="s">
        <v>164</v>
      </c>
      <c r="E688" s="2" t="s">
        <v>32</v>
      </c>
      <c r="F688" s="2" t="s">
        <v>15</v>
      </c>
      <c r="G688" s="2" t="s">
        <v>426</v>
      </c>
      <c r="H688" s="2" t="s">
        <v>28</v>
      </c>
      <c r="I688" s="2" t="str">
        <f>IFERROR(__xludf.DUMMYFUNCTION("GOOGLETRANSLATE(C688,""fr"",""en"")"),"Hello,
Thank you Cardif for accepting my care of my credit, for making me wait 5 months (during which I only had antipathic people on the phone and after sending I do not know how many documents ..)
I explain to them that I find it difficult to reac"&amp;"h both ends following my illness and that they must absolutely send me the transfers, because even the birthday and the Christmas of my son was avoided for lack of means (I would have been due in Make 3, in short).
I am told that you have to wait until"&amp;" it's like that and then that's it.
Insurance to avoid, today I still haven't had a transfer.")</f>
        <v>Hello,
Thank you Cardif for accepting my care of my credit, for making me wait 5 months (during which I only had antipathic people on the phone and after sending I do not know how many documents ..)
I explain to them that I find it difficult to reach both ends following my illness and that they must absolutely send me the transfers, because even the birthday and the Christmas of my son was avoided for lack of means (I would have been due in Make 3, in short).
I am told that you have to wait until it's like that and then that's it.
Insurance to avoid, today I still haven't had a transfer.</v>
      </c>
    </row>
    <row r="689" ht="15.75" customHeight="1">
      <c r="A689" s="2">
        <v>2.0</v>
      </c>
      <c r="B689" s="2" t="s">
        <v>1992</v>
      </c>
      <c r="C689" s="2" t="s">
        <v>1993</v>
      </c>
      <c r="D689" s="2" t="s">
        <v>84</v>
      </c>
      <c r="E689" s="2" t="s">
        <v>14</v>
      </c>
      <c r="F689" s="2" t="s">
        <v>15</v>
      </c>
      <c r="G689" s="2" t="s">
        <v>1994</v>
      </c>
      <c r="H689" s="2" t="s">
        <v>482</v>
      </c>
      <c r="I689" s="2" t="str">
        <f>IFERROR(__xludf.DUMMYFUNCTION("GOOGLETRANSLATE(C689,""fr"",""en"")"),"Hello,
So far I was a very satisfied client of the MAIF.
But currently this is no longer the case.
I have home insurance and I also ensured my vehicle to the essential third party.
I pass the details. My vehicle has encountered concerns in par"&amp;"ticular vandalism.
I am learning with amazement that this is not part of the guarantee when the advisor having received me praised the merits of this formula.
I am very angry and super reassembled because I find myself without a vehicle, my essentia"&amp;"l work tool as well as for my daily trips.
I was able to share my dissatisfaction at the headquarters even by phone.
I came across a rather very unpleasant lady, who clearly answered me '' that she had no other solutions to offer me ""currently and "&amp;"that I was free to leave at any time.
Very shame there is no human side and especially at the moment I find myself without vehicle delivered to myself being supposed to be covered.
Thank you the Maif.
For me, it's like I was not insured!
I gua"&amp;"rantee you that I would see elsewhere.
Very very disappointed I strongly advise you not to go to them.")</f>
        <v>Hello,
So far I was a very satisfied client of the MAIF.
But currently this is no longer the case.
I have home insurance and I also ensured my vehicle to the essential third party.
I pass the details. My vehicle has encountered concerns in particular vandalism.
I am learning with amazement that this is not part of the guarantee when the advisor having received me praised the merits of this formula.
I am very angry and super reassembled because I find myself without a vehicle, my essential work tool as well as for my daily trips.
I was able to share my dissatisfaction at the headquarters even by phone.
I came across a rather very unpleasant lady, who clearly answered me '' that she had no other solutions to offer me "currently and that I was free to leave at any time.
Very shame there is no human side and especially at the moment I find myself without vehicle delivered to myself being supposed to be covered.
Thank you the Maif.
For me, it's like I was not insured!
I guarantee you that I would see elsewhere.
Very very disappointed I strongly advise you not to go to them.</v>
      </c>
    </row>
    <row r="690" ht="15.75" customHeight="1">
      <c r="A690" s="2">
        <v>5.0</v>
      </c>
      <c r="B690" s="2" t="s">
        <v>1995</v>
      </c>
      <c r="C690" s="2" t="s">
        <v>1996</v>
      </c>
      <c r="D690" s="2" t="s">
        <v>188</v>
      </c>
      <c r="E690" s="2" t="s">
        <v>14</v>
      </c>
      <c r="F690" s="2" t="s">
        <v>15</v>
      </c>
      <c r="G690" s="2" t="s">
        <v>74</v>
      </c>
      <c r="H690" s="2" t="s">
        <v>74</v>
      </c>
      <c r="I690" s="2" t="str">
        <f>IFERROR(__xludf.DUMMYFUNCTION("GOOGLETRANSLATE(C690,""fr"",""en"")"),"The guarantees suit me. The advice is good. And very attractive rates. Only one concern. I had a loan request in March 2021 and I never had an answer.")</f>
        <v>The guarantees suit me. The advice is good. And very attractive rates. Only one concern. I had a loan request in March 2021 and I never had an answer.</v>
      </c>
    </row>
    <row r="691" ht="15.75" customHeight="1">
      <c r="A691" s="2">
        <v>1.0</v>
      </c>
      <c r="B691" s="2" t="s">
        <v>1997</v>
      </c>
      <c r="C691" s="2" t="s">
        <v>1998</v>
      </c>
      <c r="D691" s="2" t="s">
        <v>164</v>
      </c>
      <c r="E691" s="2" t="s">
        <v>32</v>
      </c>
      <c r="F691" s="2" t="s">
        <v>15</v>
      </c>
      <c r="G691" s="2" t="s">
        <v>1999</v>
      </c>
      <c r="H691" s="2" t="s">
        <v>818</v>
      </c>
      <c r="I691" s="2" t="str">
        <f>IFERROR(__xludf.DUMMYFUNCTION("GOOGLETRANSLATE(C691,""fr"",""en"")"),"Insurance to flee absolutely ... They refuse to compensate you for your damages. They only grant credit to medical experts that they have mandated to believe that other doctors and specialists have had their diplomas in a surprise pocket ...")</f>
        <v>Insurance to flee absolutely ... They refuse to compensate you for your damages. They only grant credit to medical experts that they have mandated to believe that other doctors and specialists have had their diplomas in a surprise pocket ...</v>
      </c>
    </row>
    <row r="692" ht="15.75" customHeight="1">
      <c r="A692" s="2">
        <v>2.0</v>
      </c>
      <c r="B692" s="2" t="s">
        <v>2000</v>
      </c>
      <c r="C692" s="2" t="s">
        <v>2001</v>
      </c>
      <c r="D692" s="2" t="s">
        <v>26</v>
      </c>
      <c r="E692" s="2" t="s">
        <v>14</v>
      </c>
      <c r="F692" s="2" t="s">
        <v>15</v>
      </c>
      <c r="G692" s="2" t="s">
        <v>1233</v>
      </c>
      <c r="H692" s="2" t="s">
        <v>34</v>
      </c>
      <c r="I692" s="2" t="str">
        <f>IFERROR(__xludf.DUMMYFUNCTION("GOOGLETRANSLATE(C692,""fr"",""en"")"),"Access to the rotten site because you must always reset the password to access it. And just 3 years of request to be monthly I find it not terrible.")</f>
        <v>Access to the rotten site because you must always reset the password to access it. And just 3 years of request to be monthly I find it not terrible.</v>
      </c>
    </row>
    <row r="693" ht="15.75" customHeight="1">
      <c r="A693" s="2">
        <v>3.0</v>
      </c>
      <c r="B693" s="2" t="s">
        <v>2002</v>
      </c>
      <c r="C693" s="2" t="s">
        <v>2003</v>
      </c>
      <c r="D693" s="2" t="s">
        <v>42</v>
      </c>
      <c r="E693" s="2" t="s">
        <v>14</v>
      </c>
      <c r="F693" s="2" t="s">
        <v>15</v>
      </c>
      <c r="G693" s="2" t="s">
        <v>841</v>
      </c>
      <c r="H693" s="2" t="s">
        <v>208</v>
      </c>
      <c r="I693" s="2" t="str">
        <f>IFERROR(__xludf.DUMMYFUNCTION("GOOGLETRANSLATE(C693,""fr"",""en"")"),"Nullissime no 24 -hour care 24. We are blocked over 15 days without solution. This day we are ""found"" a rental car: guess what: the rental agency has been closed for 6 months! The taxi puts us with cat and luggage the door is closed! Lack of obvious pro"&amp;"fessionalism. We are dropped in the rain while waiting for 2 p.m.!")</f>
        <v>Nullissime no 24 -hour care 24. We are blocked over 15 days without solution. This day we are "found" a rental car: guess what: the rental agency has been closed for 6 months! The taxi puts us with cat and luggage the door is closed! Lack of obvious professionalism. We are dropped in the rain while waiting for 2 p.m.!</v>
      </c>
    </row>
    <row r="694" ht="15.75" customHeight="1">
      <c r="A694" s="2">
        <v>3.0</v>
      </c>
      <c r="B694" s="2" t="s">
        <v>2004</v>
      </c>
      <c r="C694" s="2" t="s">
        <v>2005</v>
      </c>
      <c r="D694" s="2" t="s">
        <v>57</v>
      </c>
      <c r="E694" s="2" t="s">
        <v>14</v>
      </c>
      <c r="F694" s="2" t="s">
        <v>15</v>
      </c>
      <c r="G694" s="2" t="s">
        <v>23</v>
      </c>
      <c r="H694" s="2" t="s">
        <v>23</v>
      </c>
      <c r="I694" s="2" t="str">
        <f>IFERROR(__xludf.DUMMYFUNCTION("GOOGLETRANSLATE(C694,""fr"",""en"")"),"The Must in Auto Insurance Matter. The olive tree, which I only knew through the advertising on TV assured me immediately, advised me, unlike many other companies that were on the mouth.
However, I had had no responsible accident for years!
Hats off to "&amp;"the Olivier Assurances. Cheer !!")</f>
        <v>The Must in Auto Insurance Matter. The olive tree, which I only knew through the advertising on TV assured me immediately, advised me, unlike many other companies that were on the mouth.
However, I had had no responsible accident for years!
Hats off to the Olivier Assurances. Cheer !!</v>
      </c>
    </row>
    <row r="695" ht="15.75" customHeight="1">
      <c r="A695" s="2">
        <v>1.0</v>
      </c>
      <c r="B695" s="2" t="s">
        <v>2006</v>
      </c>
      <c r="C695" s="2" t="s">
        <v>2007</v>
      </c>
      <c r="D695" s="2" t="s">
        <v>250</v>
      </c>
      <c r="E695" s="2" t="s">
        <v>21</v>
      </c>
      <c r="F695" s="2" t="s">
        <v>15</v>
      </c>
      <c r="G695" s="2" t="s">
        <v>2008</v>
      </c>
      <c r="H695" s="2" t="s">
        <v>161</v>
      </c>
      <c r="I695" s="2" t="str">
        <f>IFERROR(__xludf.DUMMYFUNCTION("GOOGLETRANSLATE(C695,""fr"",""en"")"),"Bad reimbursement I always have remains to change without counting that it is only accepted in very few health services so we must move forward to flee month am obliged mutual of my work")</f>
        <v>Bad reimbursement I always have remains to change without counting that it is only accepted in very few health services so we must move forward to flee month am obliged mutual of my work</v>
      </c>
    </row>
    <row r="696" ht="15.75" customHeight="1">
      <c r="A696" s="2">
        <v>1.0</v>
      </c>
      <c r="B696" s="2" t="s">
        <v>2009</v>
      </c>
      <c r="C696" s="2" t="s">
        <v>2010</v>
      </c>
      <c r="D696" s="2" t="s">
        <v>57</v>
      </c>
      <c r="E696" s="2" t="s">
        <v>14</v>
      </c>
      <c r="F696" s="2" t="s">
        <v>15</v>
      </c>
      <c r="G696" s="2" t="s">
        <v>2011</v>
      </c>
      <c r="H696" s="2" t="s">
        <v>23</v>
      </c>
      <c r="I696" s="2" t="str">
        <f>IFERROR(__xludf.DUMMYFUNCTION("GOOGLETRANSLATE(C696,""fr"",""en"")"),"I have been insured with the Olivier Insurance since 10/10/2018
No claim, nothing in 2 years
I had an accident on June 8, without being wrong
We are on 09/28, this disaster is still not solved by the olive assurance
They all reject the fault: the oliv"&amp;"e assurance, the partner garage, the expertise firm with which they work
For 4 months I have been led by boat: don't worry, everything will be resolved this week, and still nothing
I have emails at their service in charge of claims no answer
Apart from"&amp;" being good to cash your payments, do not count on them to manage when you have a disaster
I strongly advise against this car insurance")</f>
        <v>I have been insured with the Olivier Insurance since 10/10/2018
No claim, nothing in 2 years
I had an accident on June 8, without being wrong
We are on 09/28, this disaster is still not solved by the olive assurance
They all reject the fault: the olive assurance, the partner garage, the expertise firm with which they work
For 4 months I have been led by boat: don't worry, everything will be resolved this week, and still nothing
I have emails at their service in charge of claims no answer
Apart from being good to cash your payments, do not count on them to manage when you have a disaster
I strongly advise against this car insurance</v>
      </c>
    </row>
    <row r="697" ht="15.75" customHeight="1">
      <c r="A697" s="2">
        <v>5.0</v>
      </c>
      <c r="B697" s="2" t="s">
        <v>2012</v>
      </c>
      <c r="C697" s="2" t="s">
        <v>2013</v>
      </c>
      <c r="D697" s="2" t="s">
        <v>57</v>
      </c>
      <c r="E697" s="2" t="s">
        <v>14</v>
      </c>
      <c r="F697" s="2" t="s">
        <v>15</v>
      </c>
      <c r="G697" s="2" t="s">
        <v>2014</v>
      </c>
      <c r="H697" s="2" t="s">
        <v>140</v>
      </c>
      <c r="I697" s="2" t="str">
        <f>IFERROR(__xludf.DUMMYFUNCTION("GOOGLETRANSLATE(C697,""fr"",""en"")"),"I received a very good telephone contact, advisor A was very welcoming and professional, very competitive prices, I recommend for young drivers.")</f>
        <v>I received a very good telephone contact, advisor A was very welcoming and professional, very competitive prices, I recommend for young drivers.</v>
      </c>
    </row>
    <row r="698" ht="15.75" customHeight="1">
      <c r="A698" s="2">
        <v>2.0</v>
      </c>
      <c r="B698" s="2" t="s">
        <v>2015</v>
      </c>
      <c r="C698" s="2" t="s">
        <v>2016</v>
      </c>
      <c r="D698" s="2" t="s">
        <v>84</v>
      </c>
      <c r="E698" s="2" t="s">
        <v>104</v>
      </c>
      <c r="F698" s="2" t="s">
        <v>15</v>
      </c>
      <c r="G698" s="2" t="s">
        <v>2017</v>
      </c>
      <c r="H698" s="2" t="s">
        <v>115</v>
      </c>
      <c r="I698" s="2" t="str">
        <f>IFERROR(__xludf.DUMMYFUNCTION("GOOGLETRANSLATE(C698,""fr"",""en"")"),"Reactivity and coverage zero during proven claims. Member since 1972!")</f>
        <v>Reactivity and coverage zero during proven claims. Member since 1972!</v>
      </c>
    </row>
    <row r="699" ht="15.75" customHeight="1">
      <c r="A699" s="2">
        <v>1.0</v>
      </c>
      <c r="B699" s="2" t="s">
        <v>2018</v>
      </c>
      <c r="C699" s="2" t="s">
        <v>2019</v>
      </c>
      <c r="D699" s="2" t="s">
        <v>103</v>
      </c>
      <c r="E699" s="2" t="s">
        <v>14</v>
      </c>
      <c r="F699" s="2" t="s">
        <v>15</v>
      </c>
      <c r="G699" s="2" t="s">
        <v>2020</v>
      </c>
      <c r="H699" s="2" t="s">
        <v>218</v>
      </c>
      <c r="I699" s="2" t="str">
        <f>IFERROR(__xludf.DUMMYFUNCTION("GOOGLETRANSLATE(C699,""fr"",""en"")"),"hello I would be interested because I had a sinister of my quad a vandalism I had the rise of the expert to how much that his summer figure and I am assured all risk and I have not been compensated by the insurance dan 5 days will do 3 me that I am waitin"&amp;"g for your answer")</f>
        <v>hello I would be interested because I had a sinister of my quad a vandalism I had the rise of the expert to how much that his summer figure and I am assured all risk and I have not been compensated by the insurance dan 5 days will do 3 me that I am waiting for your answer</v>
      </c>
    </row>
    <row r="700" ht="15.75" customHeight="1">
      <c r="A700" s="2">
        <v>5.0</v>
      </c>
      <c r="B700" s="2" t="s">
        <v>2021</v>
      </c>
      <c r="C700" s="2" t="s">
        <v>2022</v>
      </c>
      <c r="D700" s="2" t="s">
        <v>37</v>
      </c>
      <c r="E700" s="2" t="s">
        <v>38</v>
      </c>
      <c r="F700" s="2" t="s">
        <v>15</v>
      </c>
      <c r="G700" s="2" t="s">
        <v>1251</v>
      </c>
      <c r="H700" s="2" t="s">
        <v>28</v>
      </c>
      <c r="I700" s="2" t="str">
        <f>IFERROR(__xludf.DUMMYFUNCTION("GOOGLETRANSLATE(C700,""fr"",""en"")"),"I am satisfied with the service which is simple and practical and fast. I am happy because barely my registration made I am already ensuring and all this from the house.")</f>
        <v>I am satisfied with the service which is simple and practical and fast. I am happy because barely my registration made I am already ensuring and all this from the house.</v>
      </c>
    </row>
    <row r="701" ht="15.75" customHeight="1">
      <c r="A701" s="2">
        <v>4.0</v>
      </c>
      <c r="B701" s="2" t="s">
        <v>2023</v>
      </c>
      <c r="C701" s="2" t="s">
        <v>2024</v>
      </c>
      <c r="D701" s="2" t="s">
        <v>57</v>
      </c>
      <c r="E701" s="2" t="s">
        <v>14</v>
      </c>
      <c r="F701" s="2" t="s">
        <v>15</v>
      </c>
      <c r="G701" s="2" t="s">
        <v>877</v>
      </c>
      <c r="H701" s="2" t="s">
        <v>81</v>
      </c>
      <c r="I701" s="2" t="str">
        <f>IFERROR(__xludf.DUMMYFUNCTION("GOOGLETRANSLATE(C701,""fr"",""en"")"),"I found the contract which offers guaranteed and correct telephone price and professional-
To see in the long term customer monitoring ----")</f>
        <v>I found the contract which offers guaranteed and correct telephone price and professional-
To see in the long term customer monitoring ----</v>
      </c>
    </row>
    <row r="702" ht="15.75" customHeight="1">
      <c r="A702" s="2">
        <v>2.0</v>
      </c>
      <c r="B702" s="2" t="s">
        <v>2025</v>
      </c>
      <c r="C702" s="2" t="s">
        <v>2026</v>
      </c>
      <c r="D702" s="2" t="s">
        <v>192</v>
      </c>
      <c r="E702" s="2" t="s">
        <v>21</v>
      </c>
      <c r="F702" s="2" t="s">
        <v>15</v>
      </c>
      <c r="G702" s="2" t="s">
        <v>2027</v>
      </c>
      <c r="H702" s="2" t="s">
        <v>228</v>
      </c>
      <c r="I702" s="2" t="str">
        <f>IFERROR(__xludf.DUMMYFUNCTION("GOOGLETRANSLATE(C702,""fr"",""en"")"),"Being a member since January 2016, I realize that this mutual is a disaster, they have still not declared themselves with Social Security, the advisers borders on the incorrection, the documents are constantly requested and lost. I have never seen that, i"&amp;"t is a total contempt for the customer, not to mention the zero level of reimbursements. Termination of the contract to this mutual insurance company must be not recommended.")</f>
        <v>Being a member since January 2016, I realize that this mutual is a disaster, they have still not declared themselves with Social Security, the advisers borders on the incorrection, the documents are constantly requested and lost. I have never seen that, it is a total contempt for the customer, not to mention the zero level of reimbursements. Termination of the contract to this mutual insurance company must be not recommended.</v>
      </c>
    </row>
    <row r="703" ht="15.75" customHeight="1">
      <c r="A703" s="2">
        <v>3.0</v>
      </c>
      <c r="B703" s="2" t="s">
        <v>2028</v>
      </c>
      <c r="C703" s="2" t="s">
        <v>2029</v>
      </c>
      <c r="D703" s="2" t="s">
        <v>262</v>
      </c>
      <c r="E703" s="2" t="s">
        <v>14</v>
      </c>
      <c r="F703" s="2" t="s">
        <v>15</v>
      </c>
      <c r="G703" s="2" t="s">
        <v>2030</v>
      </c>
      <c r="H703" s="2" t="s">
        <v>145</v>
      </c>
      <c r="I703" s="2" t="str">
        <f>IFERROR(__xludf.DUMMYFUNCTION("GOOGLETRANSLATE(C703,""fr"",""en"")"),"1. Chosen for the very low price of auto insurance (AXA-Web)
2. Feeling of not being supported in a non-responsible disaster at all (someone returned to my car properly parked).
3. I received an email telling me that he was taking care of this claim 100"&amp;"% and tells me the opposite then by phone when I ask for confirmation of the email ...
= very bad customer service of my experience (advisers nevertheless courteous on the phone).")</f>
        <v>1. Chosen for the very low price of auto insurance (AXA-Web)
2. Feeling of not being supported in a non-responsible disaster at all (someone returned to my car properly parked).
3. I received an email telling me that he was taking care of this claim 100% and tells me the opposite then by phone when I ask for confirmation of the email ...
= very bad customer service of my experience (advisers nevertheless courteous on the phone).</v>
      </c>
    </row>
    <row r="704" ht="15.75" customHeight="1">
      <c r="A704" s="2">
        <v>2.0</v>
      </c>
      <c r="B704" s="2" t="s">
        <v>2031</v>
      </c>
      <c r="C704" s="2" t="s">
        <v>2032</v>
      </c>
      <c r="D704" s="2" t="s">
        <v>26</v>
      </c>
      <c r="E704" s="2" t="s">
        <v>14</v>
      </c>
      <c r="F704" s="2" t="s">
        <v>15</v>
      </c>
      <c r="G704" s="2" t="s">
        <v>1454</v>
      </c>
      <c r="H704" s="2" t="s">
        <v>34</v>
      </c>
      <c r="I704" s="2" t="str">
        <f>IFERROR(__xludf.DUMMYFUNCTION("GOOGLETRANSLATE(C704,""fr"",""en"")"),"Prices are increasing too from one year to the next.
Change of imminent insurer.
Satisfaction to see in the event of a claim, but telephone calls suffer from too long, and it is the only communication channel. Worrying.")</f>
        <v>Prices are increasing too from one year to the next.
Change of imminent insurer.
Satisfaction to see in the event of a claim, but telephone calls suffer from too long, and it is the only communication channel. Worrying.</v>
      </c>
    </row>
    <row r="705" ht="15.75" customHeight="1">
      <c r="A705" s="2">
        <v>1.0</v>
      </c>
      <c r="B705" s="2" t="s">
        <v>2033</v>
      </c>
      <c r="C705" s="2" t="s">
        <v>2034</v>
      </c>
      <c r="D705" s="2" t="s">
        <v>410</v>
      </c>
      <c r="E705" s="2" t="s">
        <v>104</v>
      </c>
      <c r="F705" s="2" t="s">
        <v>15</v>
      </c>
      <c r="G705" s="2" t="s">
        <v>224</v>
      </c>
      <c r="H705" s="2" t="s">
        <v>81</v>
      </c>
      <c r="I705" s="2" t="str">
        <f>IFERROR(__xludf.DUMMYFUNCTION("GOOGLETRANSLATE(C705,""fr"",""en"")"),"To take the monthly payments no problem but then dummies !!!. Never of claims for more than 12 years water damage 6 weeks ago, no response from the expert, we are delivered to ourselves with a water leak with us which is getting damaged, the various servi"&amp;"ces are referred to the Ball for a repair quote, however very clear, it is an incredible chain of incompetence !! . We are very unhappy and recommend this insurer absolutely not!")</f>
        <v>To take the monthly payments no problem but then dummies !!!. Never of claims for more than 12 years water damage 6 weeks ago, no response from the expert, we are delivered to ourselves with a water leak with us which is getting damaged, the various services are referred to the Ball for a repair quote, however very clear, it is an incredible chain of incompetence !! . We are very unhappy and recommend this insurer absolutely not!</v>
      </c>
    </row>
    <row r="706" ht="15.75" customHeight="1">
      <c r="A706" s="2">
        <v>4.0</v>
      </c>
      <c r="B706" s="2" t="s">
        <v>2035</v>
      </c>
      <c r="C706" s="2" t="s">
        <v>2036</v>
      </c>
      <c r="D706" s="2" t="s">
        <v>57</v>
      </c>
      <c r="E706" s="2" t="s">
        <v>14</v>
      </c>
      <c r="F706" s="2" t="s">
        <v>15</v>
      </c>
      <c r="G706" s="2" t="s">
        <v>703</v>
      </c>
      <c r="H706" s="2" t="s">
        <v>81</v>
      </c>
      <c r="I706" s="2" t="str">
        <f>IFERROR(__xludf.DUMMYFUNCTION("GOOGLETRANSLATE(C706,""fr"",""en"")"),"I am satisfied with the service. Prices suit me, simple and practical. I save around forty euros compared to my previous insurance.")</f>
        <v>I am satisfied with the service. Prices suit me, simple and practical. I save around forty euros compared to my previous insurance.</v>
      </c>
    </row>
    <row r="707" ht="15.75" customHeight="1">
      <c r="A707" s="2">
        <v>2.0</v>
      </c>
      <c r="B707" s="2" t="s">
        <v>2037</v>
      </c>
      <c r="C707" s="2" t="s">
        <v>2038</v>
      </c>
      <c r="D707" s="2" t="s">
        <v>37</v>
      </c>
      <c r="E707" s="2" t="s">
        <v>38</v>
      </c>
      <c r="F707" s="2" t="s">
        <v>15</v>
      </c>
      <c r="G707" s="2" t="s">
        <v>2039</v>
      </c>
      <c r="H707" s="2" t="s">
        <v>713</v>
      </c>
      <c r="I707" s="2" t="str">
        <f>IFERROR(__xludf.DUMMYFUNCTION("GOOGLETRANSLATE(C707,""fr"",""en"")"),"Non-responsible disaster on June 8 No new compensation despite square and complete dossier and weekly telephone calls")</f>
        <v>Non-responsible disaster on June 8 No new compensation despite square and complete dossier and weekly telephone calls</v>
      </c>
    </row>
    <row r="708" ht="15.75" customHeight="1">
      <c r="A708" s="2">
        <v>4.0</v>
      </c>
      <c r="B708" s="2" t="s">
        <v>2040</v>
      </c>
      <c r="C708" s="2" t="s">
        <v>2041</v>
      </c>
      <c r="D708" s="2" t="s">
        <v>26</v>
      </c>
      <c r="E708" s="2" t="s">
        <v>14</v>
      </c>
      <c r="F708" s="2" t="s">
        <v>15</v>
      </c>
      <c r="G708" s="2" t="s">
        <v>2042</v>
      </c>
      <c r="H708" s="2" t="s">
        <v>74</v>
      </c>
      <c r="I708" s="2" t="str">
        <f>IFERROR(__xludf.DUMMYFUNCTION("GOOGLETRANSLATE(C708,""fr"",""en"")"),"Well even if I would prefer that you make the same rates for your customers instead of having to do new contracts each time because 20 euros more per month when you are already a customer is still a lot")</f>
        <v>Well even if I would prefer that you make the same rates for your customers instead of having to do new contracts each time because 20 euros more per month when you are already a customer is still a lot</v>
      </c>
    </row>
    <row r="709" ht="15.75" customHeight="1">
      <c r="A709" s="2">
        <v>1.0</v>
      </c>
      <c r="B709" s="2" t="s">
        <v>2043</v>
      </c>
      <c r="C709" s="2" t="s">
        <v>2044</v>
      </c>
      <c r="D709" s="2" t="s">
        <v>103</v>
      </c>
      <c r="E709" s="2" t="s">
        <v>14</v>
      </c>
      <c r="F709" s="2" t="s">
        <v>15</v>
      </c>
      <c r="G709" s="2" t="s">
        <v>74</v>
      </c>
      <c r="H709" s="2" t="s">
        <v>74</v>
      </c>
      <c r="I709" s="2" t="str">
        <f>IFERROR(__xludf.DUMMYFUNCTION("GOOGLETRANSLATE(C709,""fr"",""en"")"),"The worst Companies (Macif) of insurance that I knew shame .... Do not collect any problem, while they are the most important on the market, customer service and assistance service is really deplorable even when you Leave their company they take you out o"&amp;"f the items to pay all the rest of the year despite that it has been years that you are at home because they know that you are never going to come back you will find better elsewhere in sevices and prices. Absolutely avoid and unravel those around you (Ma"&amp;"cif)")</f>
        <v>The worst Companies (Macif) of insurance that I knew shame .... Do not collect any problem, while they are the most important on the market, customer service and assistance service is really deplorable even when you Leave their company they take you out of the items to pay all the rest of the year despite that it has been years that you are at home because they know that you are never going to come back you will find better elsewhere in sevices and prices. Absolutely avoid and unravel those around you (Macif)</v>
      </c>
    </row>
    <row r="710" ht="15.75" customHeight="1">
      <c r="A710" s="2">
        <v>5.0</v>
      </c>
      <c r="B710" s="2" t="s">
        <v>2045</v>
      </c>
      <c r="C710" s="2" t="s">
        <v>2046</v>
      </c>
      <c r="D710" s="2" t="s">
        <v>305</v>
      </c>
      <c r="E710" s="2" t="s">
        <v>38</v>
      </c>
      <c r="F710" s="2" t="s">
        <v>15</v>
      </c>
      <c r="G710" s="2" t="s">
        <v>1009</v>
      </c>
      <c r="H710" s="2" t="s">
        <v>90</v>
      </c>
      <c r="I710" s="2" t="str">
        <f>IFERROR(__xludf.DUMMYFUNCTION("GOOGLETRANSLATE(C710,""fr"",""en"")"),"The site is clear, the options offered are precise and open a wide choice according to our needs. The prices are very competitive.
Hoping that everything is going well for the future.")</f>
        <v>The site is clear, the options offered are precise and open a wide choice according to our needs. The prices are very competitive.
Hoping that everything is going well for the future.</v>
      </c>
    </row>
    <row r="711" ht="15.75" customHeight="1">
      <c r="A711" s="2">
        <v>4.0</v>
      </c>
      <c r="B711" s="2" t="s">
        <v>2047</v>
      </c>
      <c r="C711" s="2" t="s">
        <v>2048</v>
      </c>
      <c r="D711" s="2" t="s">
        <v>26</v>
      </c>
      <c r="E711" s="2" t="s">
        <v>14</v>
      </c>
      <c r="F711" s="2" t="s">
        <v>15</v>
      </c>
      <c r="G711" s="2" t="s">
        <v>1089</v>
      </c>
      <c r="H711" s="2" t="s">
        <v>90</v>
      </c>
      <c r="I711" s="2" t="str">
        <f>IFERROR(__xludf.DUMMYFUNCTION("GOOGLETRANSLATE(C711,""fr"",""en"")"),"Hello,
For the subscription of the contract I am satisfied with the service, having never had an important disaster I cannot judge the quality of your services
")</f>
        <v>Hello,
For the subscription of the contract I am satisfied with the service, having never had an important disaster I cannot judge the quality of your services
</v>
      </c>
    </row>
    <row r="712" ht="15.75" customHeight="1">
      <c r="A712" s="2">
        <v>5.0</v>
      </c>
      <c r="B712" s="2" t="s">
        <v>2049</v>
      </c>
      <c r="C712" s="2" t="s">
        <v>2050</v>
      </c>
      <c r="D712" s="2" t="s">
        <v>26</v>
      </c>
      <c r="E712" s="2" t="s">
        <v>14</v>
      </c>
      <c r="F712" s="2" t="s">
        <v>15</v>
      </c>
      <c r="G712" s="2" t="s">
        <v>2051</v>
      </c>
      <c r="H712" s="2" t="s">
        <v>81</v>
      </c>
      <c r="I712" s="2" t="str">
        <f>IFERROR(__xludf.DUMMYFUNCTION("GOOGLETRANSLATE(C712,""fr"",""en"")"),"Fast, efficient and at the right price. The subscription is done quickly with questions that can be improved for fluidity but overall it is very easy!")</f>
        <v>Fast, efficient and at the right price. The subscription is done quickly with questions that can be improved for fluidity but overall it is very easy!</v>
      </c>
    </row>
    <row r="713" ht="15.75" customHeight="1">
      <c r="A713" s="2">
        <v>2.0</v>
      </c>
      <c r="B713" s="2" t="s">
        <v>2052</v>
      </c>
      <c r="C713" s="2" t="s">
        <v>2053</v>
      </c>
      <c r="D713" s="2" t="s">
        <v>53</v>
      </c>
      <c r="E713" s="2" t="s">
        <v>14</v>
      </c>
      <c r="F713" s="2" t="s">
        <v>15</v>
      </c>
      <c r="G713" s="2" t="s">
        <v>2054</v>
      </c>
      <c r="H713" s="2" t="s">
        <v>442</v>
      </c>
      <c r="I713" s="2" t="str">
        <f>IFERROR(__xludf.DUMMYFUNCTION("GOOGLETRANSLATE(C713,""fr"",""en"")"),"Sinister on my car. Sunroof to change because a man was mounted on it")</f>
        <v>Sinister on my car. Sunroof to change because a man was mounted on it</v>
      </c>
    </row>
    <row r="714" ht="15.75" customHeight="1">
      <c r="A714" s="2">
        <v>4.0</v>
      </c>
      <c r="B714" s="2" t="s">
        <v>2055</v>
      </c>
      <c r="C714" s="2" t="s">
        <v>2056</v>
      </c>
      <c r="D714" s="2" t="s">
        <v>57</v>
      </c>
      <c r="E714" s="2" t="s">
        <v>14</v>
      </c>
      <c r="F714" s="2" t="s">
        <v>15</v>
      </c>
      <c r="G714" s="2" t="s">
        <v>485</v>
      </c>
      <c r="H714" s="2" t="s">
        <v>122</v>
      </c>
      <c r="I714" s="2" t="str">
        <f>IFERROR(__xludf.DUMMYFUNCTION("GOOGLETRANSLATE(C714,""fr"",""en"")"),"I am very satisfied with the customer service, my interlocutor at the time of the subscription of my contract was very clear, very educational and real sympathy.")</f>
        <v>I am very satisfied with the customer service, my interlocutor at the time of the subscription of my contract was very clear, very educational and real sympathy.</v>
      </c>
    </row>
    <row r="715" ht="15.75" customHeight="1">
      <c r="A715" s="2">
        <v>4.0</v>
      </c>
      <c r="B715" s="2" t="s">
        <v>2057</v>
      </c>
      <c r="C715" s="2" t="s">
        <v>2058</v>
      </c>
      <c r="D715" s="2" t="s">
        <v>57</v>
      </c>
      <c r="E715" s="2" t="s">
        <v>14</v>
      </c>
      <c r="F715" s="2" t="s">
        <v>15</v>
      </c>
      <c r="G715" s="2" t="s">
        <v>2059</v>
      </c>
      <c r="H715" s="2" t="s">
        <v>90</v>
      </c>
      <c r="I715" s="2" t="str">
        <f>IFERROR(__xludf.DUMMYFUNCTION("GOOGLETRANSLATE(C715,""fr"",""en"")"),"I am satisfied with the service
The speed of subscription
Affordable prices
Ease of registering for a car contract, even the prices feel affordable
Thank you .
")</f>
        <v>I am satisfied with the service
The speed of subscription
Affordable prices
Ease of registering for a car contract, even the prices feel affordable
Thank you .
</v>
      </c>
    </row>
    <row r="716" ht="15.75" customHeight="1">
      <c r="A716" s="2">
        <v>3.0</v>
      </c>
      <c r="B716" s="2" t="s">
        <v>2060</v>
      </c>
      <c r="C716" s="2" t="s">
        <v>2061</v>
      </c>
      <c r="D716" s="2" t="s">
        <v>57</v>
      </c>
      <c r="E716" s="2" t="s">
        <v>14</v>
      </c>
      <c r="F716" s="2" t="s">
        <v>15</v>
      </c>
      <c r="G716" s="2" t="s">
        <v>1983</v>
      </c>
      <c r="H716" s="2" t="s">
        <v>74</v>
      </c>
      <c r="I716" s="2" t="str">
        <f>IFERROR(__xludf.DUMMYFUNCTION("GOOGLETRANSLATE(C716,""fr"",""en"")"),"The date of the first levy is not clear, nor the amount taken from my account on July 21, 2021, I would like to have the details for this amount as well as the exact date of the 1st sample which should in October. I am waiting for a call that had been set"&amp;" yesterday, for another contract, a little disappointed for this lack of consideration.")</f>
        <v>The date of the first levy is not clear, nor the amount taken from my account on July 21, 2021, I would like to have the details for this amount as well as the exact date of the 1st sample which should in October. I am waiting for a call that had been set yesterday, for another contract, a little disappointed for this lack of consideration.</v>
      </c>
    </row>
    <row r="717" ht="15.75" customHeight="1">
      <c r="A717" s="2">
        <v>4.0</v>
      </c>
      <c r="B717" s="2" t="s">
        <v>2062</v>
      </c>
      <c r="C717" s="2" t="s">
        <v>2063</v>
      </c>
      <c r="D717" s="2" t="s">
        <v>298</v>
      </c>
      <c r="E717" s="2" t="s">
        <v>38</v>
      </c>
      <c r="F717" s="2" t="s">
        <v>15</v>
      </c>
      <c r="G717" s="2" t="s">
        <v>385</v>
      </c>
      <c r="H717" s="2" t="s">
        <v>185</v>
      </c>
      <c r="I717" s="2" t="str">
        <f>IFERROR(__xludf.DUMMYFUNCTION("GOOGLETRANSLATE(C717,""fr"",""en"")"),"Yes they are not always reachable quickly but my other insurers either ...
Yes the contributions have increased this year but if I do the average over several years it remains coherent. The price is always to be put in perspective with the guarantees.
W"&amp;"hat I remember is that when my 2 motorcycles and my scooter found themselves under two meters of water during the natural disasters of 03/10/2015 they came in my box in 5 days, and the compensation followed during the week.
I remember that when I go on t"&amp;"rack I am covered as if I were on the road. Just with the PJ I amounted € 8,000 in contributions.
I am no longer very young but I know that they give young people their chance while others send them to move.")</f>
        <v>Yes they are not always reachable quickly but my other insurers either ...
Yes the contributions have increased this year but if I do the average over several years it remains coherent. The price is always to be put in perspective with the guarantees.
What I remember is that when my 2 motorcycles and my scooter found themselves under two meters of water during the natural disasters of 03/10/2015 they came in my box in 5 days, and the compensation followed during the week.
I remember that when I go on track I am covered as if I were on the road. Just with the PJ I amounted € 8,000 in contributions.
I am no longer very young but I know that they give young people their chance while others send them to move.</v>
      </c>
    </row>
    <row r="718" ht="15.75" customHeight="1">
      <c r="A718" s="2">
        <v>4.0</v>
      </c>
      <c r="B718" s="2" t="s">
        <v>2064</v>
      </c>
      <c r="C718" s="2" t="s">
        <v>2065</v>
      </c>
      <c r="D718" s="2" t="s">
        <v>26</v>
      </c>
      <c r="E718" s="2" t="s">
        <v>14</v>
      </c>
      <c r="F718" s="2" t="s">
        <v>15</v>
      </c>
      <c r="G718" s="2" t="s">
        <v>953</v>
      </c>
      <c r="H718" s="2" t="s">
        <v>122</v>
      </c>
      <c r="I718" s="2" t="str">
        <f>IFERROR(__xludf.DUMMYFUNCTION("GOOGLETRANSLATE(C718,""fr"",""en"")"),"I am satisfied with the services offered, prices suit me. The telephone service is simple and efficient and quick. I recommend because several contracts in progress")</f>
        <v>I am satisfied with the services offered, prices suit me. The telephone service is simple and efficient and quick. I recommend because several contracts in progress</v>
      </c>
    </row>
    <row r="719" ht="15.75" customHeight="1">
      <c r="A719" s="2">
        <v>2.0</v>
      </c>
      <c r="B719" s="2" t="s">
        <v>2066</v>
      </c>
      <c r="C719" s="2" t="s">
        <v>2067</v>
      </c>
      <c r="D719" s="2" t="s">
        <v>26</v>
      </c>
      <c r="E719" s="2" t="s">
        <v>14</v>
      </c>
      <c r="F719" s="2" t="s">
        <v>15</v>
      </c>
      <c r="G719" s="2" t="s">
        <v>655</v>
      </c>
      <c r="H719" s="2" t="s">
        <v>185</v>
      </c>
      <c r="I719" s="2" t="str">
        <f>IFERROR(__xludf.DUMMYFUNCTION("GOOGLETRANSLATE(C719,""fr"",""en"")"),"I am not satisfied with the amounts tax and attacks which were hidden in the amount HT of the subscription for the first year and which is counted separately this year, increasing the total to pay more than substantial compared to inflation.")</f>
        <v>I am not satisfied with the amounts tax and attacks which were hidden in the amount HT of the subscription for the first year and which is counted separately this year, increasing the total to pay more than substantial compared to inflation.</v>
      </c>
    </row>
    <row r="720" ht="15.75" customHeight="1">
      <c r="A720" s="2">
        <v>5.0</v>
      </c>
      <c r="B720" s="2" t="s">
        <v>2068</v>
      </c>
      <c r="C720" s="2" t="s">
        <v>2069</v>
      </c>
      <c r="D720" s="2" t="s">
        <v>305</v>
      </c>
      <c r="E720" s="2" t="s">
        <v>38</v>
      </c>
      <c r="F720" s="2" t="s">
        <v>15</v>
      </c>
      <c r="G720" s="2" t="s">
        <v>1393</v>
      </c>
      <c r="H720" s="2" t="s">
        <v>122</v>
      </c>
      <c r="I720" s="2" t="str">
        <f>IFERROR(__xludf.DUMMYFUNCTION("GOOGLETRANSLATE(C720,""fr"",""en"")"),"Hello
Ideal insurance for young 40 -year permit Clear and conscript. I recommend it to everyone. Recommended insurance not a biker friends
")</f>
        <v>Hello
Ideal insurance for young 40 -year permit Clear and conscript. I recommend it to everyone. Recommended insurance not a biker friends
</v>
      </c>
    </row>
    <row r="721" ht="15.75" customHeight="1">
      <c r="A721" s="2">
        <v>4.0</v>
      </c>
      <c r="B721" s="2" t="s">
        <v>2070</v>
      </c>
      <c r="C721" s="2" t="s">
        <v>2071</v>
      </c>
      <c r="D721" s="2" t="s">
        <v>53</v>
      </c>
      <c r="E721" s="2" t="s">
        <v>14</v>
      </c>
      <c r="F721" s="2" t="s">
        <v>15</v>
      </c>
      <c r="G721" s="2" t="s">
        <v>2072</v>
      </c>
      <c r="H721" s="2" t="s">
        <v>980</v>
      </c>
      <c r="I721" s="2" t="str">
        <f>IFERROR(__xludf.DUMMYFUNCTION("GOOGLETRANSLATE(C721,""fr"",""en"")"),"Listening, good value for money. In the event of a problem, always available and conciliatory even in the event of a concern with the provider who intervenes in the home.")</f>
        <v>Listening, good value for money. In the event of a problem, always available and conciliatory even in the event of a concern with the provider who intervenes in the home.</v>
      </c>
    </row>
    <row r="722" ht="15.75" customHeight="1">
      <c r="A722" s="2">
        <v>5.0</v>
      </c>
      <c r="B722" s="2" t="s">
        <v>2073</v>
      </c>
      <c r="C722" s="2" t="s">
        <v>2074</v>
      </c>
      <c r="D722" s="2" t="s">
        <v>37</v>
      </c>
      <c r="E722" s="2" t="s">
        <v>38</v>
      </c>
      <c r="F722" s="2" t="s">
        <v>15</v>
      </c>
      <c r="G722" s="2" t="s">
        <v>2075</v>
      </c>
      <c r="H722" s="2" t="s">
        <v>208</v>
      </c>
      <c r="I722" s="2" t="str">
        <f>IFERROR(__xludf.DUMMYFUNCTION("GOOGLETRANSLATE(C722,""fr"",""en"")"),"Advisers always listening and very responsive, I cannot express myself in the event of a disaster, but I advised biker friends to go to AMV and even after claims they are very satisfied .....
Do not change anything you are at the top and especially stay "&amp;"at our listening.")</f>
        <v>Advisers always listening and very responsive, I cannot express myself in the event of a disaster, but I advised biker friends to go to AMV and even after claims they are very satisfied .....
Do not change anything you are at the top and especially stay at our listening.</v>
      </c>
    </row>
    <row r="723" ht="15.75" customHeight="1">
      <c r="A723" s="2">
        <v>1.0</v>
      </c>
      <c r="B723" s="2" t="s">
        <v>2076</v>
      </c>
      <c r="C723" s="2" t="s">
        <v>2077</v>
      </c>
      <c r="D723" s="2" t="s">
        <v>262</v>
      </c>
      <c r="E723" s="2" t="s">
        <v>104</v>
      </c>
      <c r="F723" s="2" t="s">
        <v>15</v>
      </c>
      <c r="G723" s="2" t="s">
        <v>593</v>
      </c>
      <c r="H723" s="2" t="s">
        <v>593</v>
      </c>
      <c r="I723" s="2" t="str">
        <f>IFERROR(__xludf.DUMMYFUNCTION("GOOGLETRANSLATE(C723,""fr"",""en"")"),"Sinister home following a storm on January 03, 2018 which completely destroyed our garage as well as everything that was there. 14 months after despite all our reminders, nothing moves and everyone returns the ball (Experts, AXA France, Axa Beauvais). Con"&amp;"sidering that the joke has lasted enough, appointment taken with a lawyer to bring the case to court ...")</f>
        <v>Sinister home following a storm on January 03, 2018 which completely destroyed our garage as well as everything that was there. 14 months after despite all our reminders, nothing moves and everyone returns the ball (Experts, AXA France, Axa Beauvais). Considering that the joke has lasted enough, appointment taken with a lawyer to bring the case to court ...</v>
      </c>
    </row>
    <row r="724" ht="15.75" customHeight="1">
      <c r="A724" s="2">
        <v>4.0</v>
      </c>
      <c r="B724" s="2" t="s">
        <v>2078</v>
      </c>
      <c r="C724" s="2" t="s">
        <v>2079</v>
      </c>
      <c r="D724" s="2" t="s">
        <v>26</v>
      </c>
      <c r="E724" s="2" t="s">
        <v>14</v>
      </c>
      <c r="F724" s="2" t="s">
        <v>15</v>
      </c>
      <c r="G724" s="2" t="s">
        <v>2080</v>
      </c>
      <c r="H724" s="2" t="s">
        <v>28</v>
      </c>
      <c r="I724" s="2" t="str">
        <f>IFERROR(__xludf.DUMMYFUNCTION("GOOGLETRANSLATE(C724,""fr"",""en"")"),"I am satisfied with direct insurance services. As well as attractive prices. I hope everything will go well and that you are listening to your customers")</f>
        <v>I am satisfied with direct insurance services. As well as attractive prices. I hope everything will go well and that you are listening to your customers</v>
      </c>
    </row>
    <row r="725" ht="15.75" customHeight="1">
      <c r="A725" s="2">
        <v>2.0</v>
      </c>
      <c r="B725" s="2" t="s">
        <v>2081</v>
      </c>
      <c r="C725" s="2" t="s">
        <v>2082</v>
      </c>
      <c r="D725" s="2" t="s">
        <v>57</v>
      </c>
      <c r="E725" s="2" t="s">
        <v>14</v>
      </c>
      <c r="F725" s="2" t="s">
        <v>15</v>
      </c>
      <c r="G725" s="2" t="s">
        <v>207</v>
      </c>
      <c r="H725" s="2" t="s">
        <v>208</v>
      </c>
      <c r="I725" s="2" t="str">
        <f>IFERROR(__xludf.DUMMYFUNCTION("GOOGLETRANSLATE(C725,""fr"",""en"")"),"To flee before having a disaster, when it happens it's already too late!
I had a disaster with a known unwelcome third party, the expert has passed and made his estimate (economically irreparable vehicle), with an estimate of the vehicle before derisory "&amp;"accident but which I ended up validating because I did not want to not incur additional fees to launch a counter expertise. The PV of the police established that he was at fault, the insurance sends me an email to inform me that they received the PV; Sinc"&amp;"e nothing.
I therefore contact insurance to request or is my refund; I had a first manager who tells me that they are waiting to know the name of the insurance of the third party (which is not guaranteed!), When I tell her that she puts me on hold until "&amp;"that Cup, I remind you in stride, I am told that I was going to be recalled at a specific time, so I wait without it being done.
The next day I recall, I am spent another manager to which I re -expose the whole situation, and there the same she puts me o"&amp;"n hold to consult my file in more detail and after 10 min of waiting it hangs up! I still recall in stride, there I am told if it is for the claim as, I say yes, and I am told that they will transfer my call to a manager, I ask to have the same who put on"&amp;" hold and with whom it cut it barely a minute and I am told that it is in communication, I ask to be recalled by the same manager since she had time to look at the details of My file and that I will not have yet to wait until we watch my file in detail so"&amp;" that it hangs up in the end, I always wait for this phone call ...
To flee before having a disaster, when it happens it's already too late!
I had a disaster with a known unwelcome third party, the expert has passed and made his estimate (economically"&amp;" irreparable vehicle), with an estimate of the vehicle before derisory accident but which I ended up validating because I did not want to not incur additional fees to launch a counter-expertise. The PV of the police established that he was at fault, the i"&amp;"nsurance sends me an email to inform me that they received the PV; Since nothing.
I therefore contact insurance to request or is my refund; I had a first manager who tells me that they are waiting to know the name of the insurance of the third party (whi"&amp;"ch is not insured! And it is specified in the PV), when I tell her she puts me Pending until it cuts, I remind you in stride, I am told that I was going to be recalled at a specific time, so I wait without it being done.
The next day I recall, I am spent"&amp;" another manager to which I re -expose the whole situation, and there the same she puts me on hold to consult my file in more detail and after 10 min of waiting it hangs up! I still recall in stride, there I am told if it is for the claim as, I say yes, a"&amp;"nd I am told that they will transfer my call to a manager, I ask to have the same who put on hold and with whom it cut it barely a minute and I am told that it is in communication, I ask to be recalled by the same manager since she had time to look at the"&amp;" details of My file and that I will not have yet to wait until we watch my file in detail so that it hangs up in the end, I always wait for this famous phone call ...
")</f>
        <v>To flee before having a disaster, when it happens it's already too late!
I had a disaster with a known unwelcome third party, the expert has passed and made his estimate (economically irreparable vehicle), with an estimate of the vehicle before derisory accident but which I ended up validating because I did not want to not incur additional fees to launch a counter expertise. The PV of the police established that he was at fault, the insurance sends me an email to inform me that they received the PV; Since nothing.
I therefore contact insurance to request or is my refund; I had a first manager who tells me that they are waiting to know the name of the insurance of the third party (which is not guaranteed!), When I tell her that she puts me on hold until that Cup, I remind you in stride, I am told that I was going to be recalled at a specific time, so I wait without it being done.
The next day I recall, I am spent another manager to which I re -expose the whole situation, and there the same she puts me on hold to consult my file in more detail and after 10 min of waiting it hangs up! I still recall in stride, there I am told if it is for the claim as, I say yes, and I am told that they will transfer my call to a manager, I ask to have the same who put on hold and with whom it cut it barely a minute and I am told that it is in communication, I ask to be recalled by the same manager since she had time to look at the details of My file and that I will not have yet to wait until we watch my file in detail so that it hangs up in the end, I always wait for this phone call ...
To flee before having a disaster, when it happens it's already too late!
I had a disaster with a known unwelcome third party, the expert has passed and made his estimate (economically irreparable vehicle), with an estimate of the vehicle before derisory accident but which I ended up validating because I did not want to not incur additional fees to launch a counter-expertise. The PV of the police established that he was at fault, the insurance sends me an email to inform me that they received the PV; Since nothing.
I therefore contact insurance to request or is my refund; I had a first manager who tells me that they are waiting to know the name of the insurance of the third party (which is not insured! And it is specified in the PV), when I tell her she puts me Pending until it cuts, I remind you in stride, I am told that I was going to be recalled at a specific time, so I wait without it being done.
The next day I recall, I am spent another manager to which I re -expose the whole situation, and there the same she puts me on hold to consult my file in more detail and after 10 min of waiting it hangs up! I still recall in stride, there I am told if it is for the claim as, I say yes, and I am told that they will transfer my call to a manager, I ask to have the same who put on hold and with whom it cut it barely a minute and I am told that it is in communication, I ask to be recalled by the same manager since she had time to look at the details of My file and that I will not have yet to wait until we watch my file in detail so that it hangs up in the end, I always wait for this famous phone call ...
</v>
      </c>
    </row>
    <row r="726" ht="15.75" customHeight="1">
      <c r="A726" s="2">
        <v>5.0</v>
      </c>
      <c r="B726" s="2" t="s">
        <v>2083</v>
      </c>
      <c r="C726" s="2" t="s">
        <v>2084</v>
      </c>
      <c r="D726" s="2" t="s">
        <v>305</v>
      </c>
      <c r="E726" s="2" t="s">
        <v>38</v>
      </c>
      <c r="F726" s="2" t="s">
        <v>15</v>
      </c>
      <c r="G726" s="2" t="s">
        <v>2085</v>
      </c>
      <c r="H726" s="2" t="s">
        <v>140</v>
      </c>
      <c r="I726" s="2" t="str">
        <f>IFERROR(__xludf.DUMMYFUNCTION("GOOGLETRANSLATE(C726,""fr"",""en"")"),"Excellent I was able to ensure my vehicle on weekends with the best possible rates it was very fast so I highly recommend April for the serious")</f>
        <v>Excellent I was able to ensure my vehicle on weekends with the best possible rates it was very fast so I highly recommend April for the serious</v>
      </c>
    </row>
    <row r="727" ht="15.75" customHeight="1">
      <c r="A727" s="2">
        <v>1.0</v>
      </c>
      <c r="B727" s="2" t="s">
        <v>2086</v>
      </c>
      <c r="C727" s="2" t="s">
        <v>2087</v>
      </c>
      <c r="D727" s="2" t="s">
        <v>13</v>
      </c>
      <c r="E727" s="2" t="s">
        <v>104</v>
      </c>
      <c r="F727" s="2" t="s">
        <v>15</v>
      </c>
      <c r="G727" s="2" t="s">
        <v>909</v>
      </c>
      <c r="H727" s="2" t="s">
        <v>185</v>
      </c>
      <c r="I727" s="2" t="str">
        <f>IFERROR(__xludf.DUMMYFUNCTION("GOOGLETRANSLATE(C727,""fr"",""en"")"),"If I had the possibility of putting any star I would have done, they deserve zero star. I am disgusted with this insurance, we pay overpriced insurance and when we need them there is no one left. Closing of a claim without the customer's agreement and req"&amp;"uest, no sense of file management and customers leave abandoned in their misery. Processed its customers as a liar and unfitable person with the entrepreneur working for his customers, that she quality of service. I terminate all my contracts because by i"&amp;"ncreasing prices, they do not know how to do much. Going your way from other insurance is much better. Goodbye and forever!")</f>
        <v>If I had the possibility of putting any star I would have done, they deserve zero star. I am disgusted with this insurance, we pay overpriced insurance and when we need them there is no one left. Closing of a claim without the customer's agreement and request, no sense of file management and customers leave abandoned in their misery. Processed its customers as a liar and unfitable person with the entrepreneur working for his customers, that she quality of service. I terminate all my contracts because by increasing prices, they do not know how to do much. Going your way from other insurance is much better. Goodbye and forever!</v>
      </c>
    </row>
    <row r="728" ht="15.75" customHeight="1">
      <c r="A728" s="2">
        <v>1.0</v>
      </c>
      <c r="B728" s="2" t="s">
        <v>2088</v>
      </c>
      <c r="C728" s="2" t="s">
        <v>2089</v>
      </c>
      <c r="D728" s="2" t="s">
        <v>164</v>
      </c>
      <c r="E728" s="2" t="s">
        <v>32</v>
      </c>
      <c r="F728" s="2" t="s">
        <v>15</v>
      </c>
      <c r="G728" s="2" t="s">
        <v>917</v>
      </c>
      <c r="H728" s="2" t="s">
        <v>17</v>
      </c>
      <c r="I728" s="2" t="str">
        <f>IFERROR(__xludf.DUMMYFUNCTION("GOOGLETRANSLATE(C728,""fr"",""en"")"),"HELP!!!!!!!!!!!!!!!!!!!!!")</f>
        <v>HELP!!!!!!!!!!!!!!!!!!!!!</v>
      </c>
    </row>
    <row r="729" ht="15.75" customHeight="1">
      <c r="A729" s="2">
        <v>3.0</v>
      </c>
      <c r="B729" s="2" t="s">
        <v>2090</v>
      </c>
      <c r="C729" s="2" t="s">
        <v>2091</v>
      </c>
      <c r="D729" s="2" t="s">
        <v>48</v>
      </c>
      <c r="E729" s="2" t="s">
        <v>21</v>
      </c>
      <c r="F729" s="2" t="s">
        <v>15</v>
      </c>
      <c r="G729" s="2" t="s">
        <v>2092</v>
      </c>
      <c r="H729" s="2" t="s">
        <v>926</v>
      </c>
      <c r="I729" s="2" t="str">
        <f>IFERROR(__xludf.DUMMYFUNCTION("GOOGLETRANSLATE(C729,""fr"",""en"")"),"Very attentive and kind khalid")</f>
        <v>Very attentive and kind khalid</v>
      </c>
    </row>
    <row r="730" ht="15.75" customHeight="1">
      <c r="A730" s="2">
        <v>1.0</v>
      </c>
      <c r="B730" s="2" t="s">
        <v>2093</v>
      </c>
      <c r="C730" s="2" t="s">
        <v>2094</v>
      </c>
      <c r="D730" s="2" t="s">
        <v>26</v>
      </c>
      <c r="E730" s="2" t="s">
        <v>14</v>
      </c>
      <c r="F730" s="2" t="s">
        <v>15</v>
      </c>
      <c r="G730" s="2" t="s">
        <v>378</v>
      </c>
      <c r="H730" s="2" t="s">
        <v>379</v>
      </c>
      <c r="I730" s="2" t="str">
        <f>IFERROR(__xludf.DUMMYFUNCTION("GOOGLETRANSLATE(C730,""fr"",""en"")"),"Following a break in ice, I have not had an answer for 7 weeks following my complaint. They had no return from their expert. Is this dolosive? (sinister 537618067). Anyway, the customer (and even more the old customer) does not listen to the insurer.")</f>
        <v>Following a break in ice, I have not had an answer for 7 weeks following my complaint. They had no return from their expert. Is this dolosive? (sinister 537618067). Anyway, the customer (and even more the old customer) does not listen to the insurer.</v>
      </c>
    </row>
    <row r="731" ht="15.75" customHeight="1">
      <c r="A731" s="2">
        <v>1.0</v>
      </c>
      <c r="B731" s="2" t="s">
        <v>2095</v>
      </c>
      <c r="C731" s="2" t="s">
        <v>2096</v>
      </c>
      <c r="D731" s="2" t="s">
        <v>26</v>
      </c>
      <c r="E731" s="2" t="s">
        <v>14</v>
      </c>
      <c r="F731" s="2" t="s">
        <v>15</v>
      </c>
      <c r="G731" s="2" t="s">
        <v>1324</v>
      </c>
      <c r="H731" s="2" t="s">
        <v>34</v>
      </c>
      <c r="I731" s="2" t="str">
        <f>IFERROR(__xludf.DUMMYFUNCTION("GOOGLETRANSLATE(C731,""fr"",""en"")"),"I am not satisfied because the amount I pay increases and my penalty safa three years that it is fixed despite I have never made a responsible accident for 4 years")</f>
        <v>I am not satisfied because the amount I pay increases and my penalty safa three years that it is fixed despite I have never made a responsible accident for 4 years</v>
      </c>
    </row>
    <row r="732" ht="15.75" customHeight="1">
      <c r="A732" s="2">
        <v>1.0</v>
      </c>
      <c r="B732" s="2" t="s">
        <v>2097</v>
      </c>
      <c r="C732" s="2" t="s">
        <v>2098</v>
      </c>
      <c r="D732" s="2" t="s">
        <v>53</v>
      </c>
      <c r="E732" s="2" t="s">
        <v>14</v>
      </c>
      <c r="F732" s="2" t="s">
        <v>15</v>
      </c>
      <c r="G732" s="2" t="s">
        <v>2099</v>
      </c>
      <c r="H732" s="2" t="s">
        <v>166</v>
      </c>
      <c r="I732" s="2" t="str">
        <f>IFERROR(__xludf.DUMMYFUNCTION("GOOGLETRANSLATE(C732,""fr"",""en"")"),"Price which seems interesting but a lot of exclusion under the general conditions. In the end low risk coverage.")</f>
        <v>Price which seems interesting but a lot of exclusion under the general conditions. In the end low risk coverage.</v>
      </c>
    </row>
    <row r="733" ht="15.75" customHeight="1">
      <c r="A733" s="2">
        <v>4.0</v>
      </c>
      <c r="B733" s="2" t="s">
        <v>2100</v>
      </c>
      <c r="C733" s="2" t="s">
        <v>2101</v>
      </c>
      <c r="D733" s="2" t="s">
        <v>57</v>
      </c>
      <c r="E733" s="2" t="s">
        <v>14</v>
      </c>
      <c r="F733" s="2" t="s">
        <v>15</v>
      </c>
      <c r="G733" s="2" t="s">
        <v>121</v>
      </c>
      <c r="H733" s="2" t="s">
        <v>122</v>
      </c>
      <c r="I733" s="2" t="str">
        <f>IFERROR(__xludf.DUMMYFUNCTION("GOOGLETRANSLATE(C733,""fr"",""en"")"),"I am satisfied with the ease of subscribing, we will see later
Just disappointed to lose more than 200th because I pay monthly and do not benefit from any welcome offer")</f>
        <v>I am satisfied with the ease of subscribing, we will see later
Just disappointed to lose more than 200th because I pay monthly and do not benefit from any welcome offer</v>
      </c>
    </row>
    <row r="734" ht="15.75" customHeight="1">
      <c r="A734" s="2">
        <v>4.0</v>
      </c>
      <c r="B734" s="2" t="s">
        <v>2102</v>
      </c>
      <c r="C734" s="2" t="s">
        <v>2103</v>
      </c>
      <c r="D734" s="2" t="s">
        <v>57</v>
      </c>
      <c r="E734" s="2" t="s">
        <v>14</v>
      </c>
      <c r="F734" s="2" t="s">
        <v>15</v>
      </c>
      <c r="G734" s="2" t="s">
        <v>2104</v>
      </c>
      <c r="H734" s="2" t="s">
        <v>34</v>
      </c>
      <c r="I734" s="2" t="str">
        <f>IFERROR(__xludf.DUMMYFUNCTION("GOOGLETRANSLATE(C734,""fr"",""en"")"),"Simple and effective, the subscription was made with a listening advisor. Hoping that the services are up to the commitments subscribed.")</f>
        <v>Simple and effective, the subscription was made with a listening advisor. Hoping that the services are up to the commitments subscribed.</v>
      </c>
    </row>
    <row r="735" ht="15.75" customHeight="1">
      <c r="A735" s="2">
        <v>4.0</v>
      </c>
      <c r="B735" s="2" t="s">
        <v>2105</v>
      </c>
      <c r="C735" s="2" t="s">
        <v>2106</v>
      </c>
      <c r="D735" s="2" t="s">
        <v>26</v>
      </c>
      <c r="E735" s="2" t="s">
        <v>14</v>
      </c>
      <c r="F735" s="2" t="s">
        <v>15</v>
      </c>
      <c r="G735" s="2" t="s">
        <v>805</v>
      </c>
      <c r="H735" s="2" t="s">
        <v>81</v>
      </c>
      <c r="I735" s="2" t="str">
        <f>IFERROR(__xludf.DUMMYFUNCTION("GOOGLETRANSLATE(C735,""fr"",""en"")"),"The website to be able to ensure its new vehicle is simple and easy.
It only took me twenty-seven minute and forty nine seconds to make the assurance of my new vehicle.")</f>
        <v>The website to be able to ensure its new vehicle is simple and easy.
It only took me twenty-seven minute and forty nine seconds to make the assurance of my new vehicle.</v>
      </c>
    </row>
    <row r="736" ht="15.75" customHeight="1">
      <c r="A736" s="2">
        <v>5.0</v>
      </c>
      <c r="B736" s="2" t="s">
        <v>2107</v>
      </c>
      <c r="C736" s="2" t="s">
        <v>2108</v>
      </c>
      <c r="D736" s="2" t="s">
        <v>57</v>
      </c>
      <c r="E736" s="2" t="s">
        <v>14</v>
      </c>
      <c r="F736" s="2" t="s">
        <v>15</v>
      </c>
      <c r="G736" s="2" t="s">
        <v>169</v>
      </c>
      <c r="H736" s="2" t="s">
        <v>122</v>
      </c>
      <c r="I736" s="2" t="str">
        <f>IFERROR(__xludf.DUMMYFUNCTION("GOOGLETRANSLATE(C736,""fr"",""en"")"),"The prices are perfect and the interlocutors perfect too. I hope everything will go well ! Since it is lacking in characters, I add this sentence.")</f>
        <v>The prices are perfect and the interlocutors perfect too. I hope everything will go well ! Since it is lacking in characters, I add this sentence.</v>
      </c>
    </row>
    <row r="737" ht="15.75" customHeight="1">
      <c r="A737" s="2">
        <v>5.0</v>
      </c>
      <c r="B737" s="2" t="s">
        <v>2109</v>
      </c>
      <c r="C737" s="2" t="s">
        <v>2110</v>
      </c>
      <c r="D737" s="2" t="s">
        <v>26</v>
      </c>
      <c r="E737" s="2" t="s">
        <v>14</v>
      </c>
      <c r="F737" s="2" t="s">
        <v>15</v>
      </c>
      <c r="G737" s="2" t="s">
        <v>2111</v>
      </c>
      <c r="H737" s="2" t="s">
        <v>81</v>
      </c>
      <c r="I737" s="2" t="str">
        <f>IFERROR(__xludf.DUMMYFUNCTION("GOOGLETRANSLATE(C737,""fr"",""en"")"),"I am satisfied with service and speed, and the price report, guaranteed,.")</f>
        <v>I am satisfied with service and speed, and the price report, guaranteed,.</v>
      </c>
    </row>
    <row r="738" ht="15.75" customHeight="1">
      <c r="A738" s="2">
        <v>1.0</v>
      </c>
      <c r="B738" s="2" t="s">
        <v>2112</v>
      </c>
      <c r="C738" s="2" t="s">
        <v>2113</v>
      </c>
      <c r="D738" s="2" t="s">
        <v>20</v>
      </c>
      <c r="E738" s="2" t="s">
        <v>21</v>
      </c>
      <c r="F738" s="2" t="s">
        <v>15</v>
      </c>
      <c r="G738" s="2" t="s">
        <v>357</v>
      </c>
      <c r="H738" s="2" t="s">
        <v>34</v>
      </c>
      <c r="I738" s="2" t="str">
        <f>IFERROR(__xludf.DUMMYFUNCTION("GOOGLETRANSLATE(C738,""fr"",""en"")"),"Shame has been more than three months Jattend that we reimburse him dental fresh because of mecer I am prohibited 1 star banking is a lot for this mutual alarm clock you are mutual I am very angry I said and c ' is made.......")</f>
        <v>Shame has been more than three months Jattend that we reimburse him dental fresh because of mecer I am prohibited 1 star banking is a lot for this mutual alarm clock you are mutual I am very angry I said and c ' is made.......</v>
      </c>
    </row>
    <row r="739" ht="15.75" customHeight="1">
      <c r="A739" s="2">
        <v>1.0</v>
      </c>
      <c r="B739" s="2" t="s">
        <v>2114</v>
      </c>
      <c r="C739" s="2" t="s">
        <v>2115</v>
      </c>
      <c r="D739" s="2" t="s">
        <v>53</v>
      </c>
      <c r="E739" s="2" t="s">
        <v>104</v>
      </c>
      <c r="F739" s="2" t="s">
        <v>15</v>
      </c>
      <c r="G739" s="2" t="s">
        <v>2116</v>
      </c>
      <c r="H739" s="2" t="s">
        <v>54</v>
      </c>
      <c r="I739" s="2" t="str">
        <f>IFERROR(__xludf.DUMMYFUNCTION("GOOGLETRANSLATE(C739,""fr"",""en"")"),"I wish to share with consumers my experience with Maaf Assurances, companies with which I have assured my property since the age of 18 and I have 43 today; Commercial management is rather pleasant, however, following a disaster water damage caused by the "&amp;"drilling of my neighbors on December 13, 2019, forced to rehousing, a lot of communication problems with the employee expert, the transmissions of all documents Asked as and per hour, expertise on January 24 is 1 month and 11 days after the disaster, no r"&amp;"esponse from the expert to my questions, provisions paid late which causes strong advances on my part, several attempts to Founded exchanges, a record under the complaint service with not respected response commitments and a letter this day asking me part"&amp;"s already founrnis and making it possible to make the file ...
All management certainly do not have this outcome, this is just heartbreaking when it happens to you, several people have invited me to now call on a broker who will bring you real contact wi"&amp;"th the claim to unhappiness you have Need to see your guarantee play")</f>
        <v>I wish to share with consumers my experience with Maaf Assurances, companies with which I have assured my property since the age of 18 and I have 43 today; Commercial management is rather pleasant, however, following a disaster water damage caused by the drilling of my neighbors on December 13, 2019, forced to rehousing, a lot of communication problems with the employee expert, the transmissions of all documents Asked as and per hour, expertise on January 24 is 1 month and 11 days after the disaster, no response from the expert to my questions, provisions paid late which causes strong advances on my part, several attempts to Founded exchanges, a record under the complaint service with not respected response commitments and a letter this day asking me parts already founrnis and making it possible to make the file ...
All management certainly do not have this outcome, this is just heartbreaking when it happens to you, several people have invited me to now call on a broker who will bring you real contact with the claim to unhappiness you have Need to see your guarantee play</v>
      </c>
    </row>
    <row r="740" ht="15.75" customHeight="1">
      <c r="A740" s="2">
        <v>3.0</v>
      </c>
      <c r="B740" s="2" t="s">
        <v>2117</v>
      </c>
      <c r="C740" s="2" t="s">
        <v>2118</v>
      </c>
      <c r="D740" s="2" t="s">
        <v>125</v>
      </c>
      <c r="E740" s="2" t="s">
        <v>43</v>
      </c>
      <c r="F740" s="2" t="s">
        <v>15</v>
      </c>
      <c r="G740" s="2" t="s">
        <v>2119</v>
      </c>
      <c r="H740" s="2" t="s">
        <v>54</v>
      </c>
      <c r="I740" s="2" t="str">
        <f>IFERROR(__xludf.DUMMYFUNCTION("GOOGLETRANSLATE(C740,""fr"",""en"")"),"Hello I allow myself to leave you an opinion on my life insurance file and what I find really shame is that when I needed to reach my advisor and well I fall constantly on her mailbox and in addition to her she did not read the message I left her so I fin"&amp;"d her very average and I think that the least of things is to recall the person. But on the other hand when it comes to placing money it is weird its time to answer, so I think it lacks a little seriousness and there is also a lack of communication becaus"&amp;"e when My advisor left I was in no way informed of his departure. And it's the same during this vacation period I find her very poorly organized that my two advisers are on vacation at the same time so I think that you will have to review your organizatio"&amp;"n. Frankly for a few years I find that the policy of your business to change and if it continues in this direction I think I would go to project myself towards other insurers so please do the necessary. Regards Mr Naslé")</f>
        <v>Hello I allow myself to leave you an opinion on my life insurance file and what I find really shame is that when I needed to reach my advisor and well I fall constantly on her mailbox and in addition to her she did not read the message I left her so I find her very average and I think that the least of things is to recall the person. But on the other hand when it comes to placing money it is weird its time to answer, so I think it lacks a little seriousness and there is also a lack of communication because when My advisor left I was in no way informed of his departure. And it's the same during this vacation period I find her very poorly organized that my two advisers are on vacation at the same time so I think that you will have to review your organization. Frankly for a few years I find that the policy of your business to change and if it continues in this direction I think I would go to project myself towards other insurers so please do the necessary. Regards Mr Naslé</v>
      </c>
    </row>
    <row r="741" ht="15.75" customHeight="1">
      <c r="A741" s="2">
        <v>3.0</v>
      </c>
      <c r="B741" s="2" t="s">
        <v>2120</v>
      </c>
      <c r="C741" s="2" t="s">
        <v>2121</v>
      </c>
      <c r="D741" s="2" t="s">
        <v>53</v>
      </c>
      <c r="E741" s="2" t="s">
        <v>14</v>
      </c>
      <c r="F741" s="2" t="s">
        <v>15</v>
      </c>
      <c r="G741" s="2" t="s">
        <v>2122</v>
      </c>
      <c r="H741" s="2" t="s">
        <v>1255</v>
      </c>
      <c r="I741" s="2" t="str">
        <f>IFERROR(__xludf.DUMMYFUNCTION("GOOGLETRANSLATE(C741,""fr"",""en"")"),"Hello,
Insured 20 years at the MAAF, no disaster responsible for these years with several auto and motorcycle contracts, each year and renewal of vehicle, despite loyalty and seniority, prices increases on each new contract, I mean that I have watched "&amp;"Competition with more attractive prices and as many guarantees by telephone and as by chance makes me a proposal to reduce a contract by telephone by terminating this contract without my agreement with electronic signature, to my great disappointment, the"&amp;"y bypass the law Hamond so that I am undertaken again 1 year at least on a new contract for us not going to a competitor, thank you the maaf you know how to retain your customers and disregard them with your great practices that I will report to the consu"&amp;"mer room and broadcast with large scales so that your CE accounts to treat your customers
Cordially")</f>
        <v>Hello,
Insured 20 years at the MAAF, no disaster responsible for these years with several auto and motorcycle contracts, each year and renewal of vehicle, despite loyalty and seniority, prices increases on each new contract, I mean that I have watched Competition with more attractive prices and as many guarantees by telephone and as by chance makes me a proposal to reduce a contract by telephone by terminating this contract without my agreement with electronic signature, to my great disappointment, they bypass the law Hamond so that I am undertaken again 1 year at least on a new contract for us not going to a competitor, thank you the maaf you know how to retain your customers and disregard them with your great practices that I will report to the consumer room and broadcast with large scales so that your CE accounts to treat your customers
Cordially</v>
      </c>
    </row>
    <row r="742" ht="15.75" customHeight="1">
      <c r="A742" s="2">
        <v>2.0</v>
      </c>
      <c r="B742" s="2" t="s">
        <v>2123</v>
      </c>
      <c r="C742" s="2" t="s">
        <v>2124</v>
      </c>
      <c r="D742" s="2" t="s">
        <v>42</v>
      </c>
      <c r="E742" s="2" t="s">
        <v>14</v>
      </c>
      <c r="F742" s="2" t="s">
        <v>15</v>
      </c>
      <c r="G742" s="2" t="s">
        <v>2125</v>
      </c>
      <c r="H742" s="2" t="s">
        <v>741</v>
      </c>
      <c r="I742" s="2" t="str">
        <f>IFERROR(__xludf.DUMMYFUNCTION("GOOGLETRANSLATE(C742,""fr"",""en"")"),"Disaster in progress in the context of all -risk insurance no news from this insurance despite my frequent calls.")</f>
        <v>Disaster in progress in the context of all -risk insurance no news from this insurance despite my frequent calls.</v>
      </c>
    </row>
    <row r="743" ht="15.75" customHeight="1">
      <c r="A743" s="2">
        <v>1.0</v>
      </c>
      <c r="B743" s="2" t="s">
        <v>2126</v>
      </c>
      <c r="C743" s="2" t="s">
        <v>2127</v>
      </c>
      <c r="D743" s="2" t="s">
        <v>188</v>
      </c>
      <c r="E743" s="2" t="s">
        <v>14</v>
      </c>
      <c r="F743" s="2" t="s">
        <v>15</v>
      </c>
      <c r="G743" s="2" t="s">
        <v>461</v>
      </c>
      <c r="H743" s="2" t="s">
        <v>149</v>
      </c>
      <c r="I743" s="2" t="str">
        <f>IFERROR(__xludf.DUMMYFUNCTION("GOOGLETRANSLATE(C743,""fr"",""en"")"),"The worst insurance
Perfect if you paid and you have no claim otherwise attention to you!")</f>
        <v>The worst insurance
Perfect if you paid and you have no claim otherwise attention to you!</v>
      </c>
    </row>
    <row r="744" ht="15.75" customHeight="1">
      <c r="A744" s="2">
        <v>5.0</v>
      </c>
      <c r="B744" s="2" t="s">
        <v>2128</v>
      </c>
      <c r="C744" s="2" t="s">
        <v>2129</v>
      </c>
      <c r="D744" s="2" t="s">
        <v>26</v>
      </c>
      <c r="E744" s="2" t="s">
        <v>14</v>
      </c>
      <c r="F744" s="2" t="s">
        <v>15</v>
      </c>
      <c r="G744" s="2" t="s">
        <v>2059</v>
      </c>
      <c r="H744" s="2" t="s">
        <v>90</v>
      </c>
      <c r="I744" s="2" t="str">
        <f>IFERROR(__xludf.DUMMYFUNCTION("GOOGLETRANSLATE(C744,""fr"",""en"")"),"Affordable price, and quick and immediate registration, therefore very practical for those who want to take out insurance without breaking their heads.
Satisfied")</f>
        <v>Affordable price, and quick and immediate registration, therefore very practical for those who want to take out insurance without breaking their heads.
Satisfied</v>
      </c>
    </row>
    <row r="745" ht="15.75" customHeight="1">
      <c r="A745" s="2">
        <v>5.0</v>
      </c>
      <c r="B745" s="2" t="s">
        <v>2130</v>
      </c>
      <c r="C745" s="2" t="s">
        <v>2131</v>
      </c>
      <c r="D745" s="2" t="s">
        <v>26</v>
      </c>
      <c r="E745" s="2" t="s">
        <v>14</v>
      </c>
      <c r="F745" s="2" t="s">
        <v>15</v>
      </c>
      <c r="G745" s="2" t="s">
        <v>100</v>
      </c>
      <c r="H745" s="2" t="s">
        <v>28</v>
      </c>
      <c r="I745" s="2" t="str">
        <f>IFERROR(__xludf.DUMMYFUNCTION("GOOGLETRANSLATE(C745,""fr"",""en"")"),"If my car is insuming today I would recommend it to all my friends
Prices for any risk insurance are not at all excessive, he would recommend")</f>
        <v>If my car is insuming today I would recommend it to all my friends
Prices for any risk insurance are not at all excessive, he would recommend</v>
      </c>
    </row>
    <row r="746" ht="15.75" customHeight="1">
      <c r="A746" s="2">
        <v>5.0</v>
      </c>
      <c r="B746" s="2" t="s">
        <v>2132</v>
      </c>
      <c r="C746" s="2" t="s">
        <v>2133</v>
      </c>
      <c r="D746" s="2" t="s">
        <v>57</v>
      </c>
      <c r="E746" s="2" t="s">
        <v>14</v>
      </c>
      <c r="F746" s="2" t="s">
        <v>15</v>
      </c>
      <c r="G746" s="2" t="s">
        <v>991</v>
      </c>
      <c r="H746" s="2" t="s">
        <v>74</v>
      </c>
      <c r="I746" s="2" t="str">
        <f>IFERROR(__xludf.DUMMYFUNCTION("GOOGLETRANSLATE(C746,""fr"",""en"")"),"Very responsible staff clear and efficient on the phone with answers to all questions nothing more to say has recommended that other people have this insurance.")</f>
        <v>Very responsible staff clear and efficient on the phone with answers to all questions nothing more to say has recommended that other people have this insurance.</v>
      </c>
    </row>
    <row r="747" ht="15.75" customHeight="1">
      <c r="A747" s="2">
        <v>5.0</v>
      </c>
      <c r="B747" s="2" t="s">
        <v>2134</v>
      </c>
      <c r="C747" s="2" t="s">
        <v>2135</v>
      </c>
      <c r="D747" s="2" t="s">
        <v>31</v>
      </c>
      <c r="E747" s="2" t="s">
        <v>32</v>
      </c>
      <c r="F747" s="2" t="s">
        <v>15</v>
      </c>
      <c r="G747" s="2" t="s">
        <v>2136</v>
      </c>
      <c r="H747" s="2" t="s">
        <v>208</v>
      </c>
      <c r="I747" s="2" t="str">
        <f>IFERROR(__xludf.DUMMYFUNCTION("GOOGLETRANSLATE(C747,""fr"",""en"")"),"Very good service
Reactive staff and listen
The site is very well done. And easy to use
...............................................")</f>
        <v>Very good service
Reactive staff and listen
The site is very well done. And easy to use
...............................................</v>
      </c>
    </row>
    <row r="748" ht="15.75" customHeight="1">
      <c r="A748" s="2">
        <v>4.0</v>
      </c>
      <c r="B748" s="2" t="s">
        <v>2137</v>
      </c>
      <c r="C748" s="2" t="s">
        <v>2138</v>
      </c>
      <c r="D748" s="2" t="s">
        <v>152</v>
      </c>
      <c r="E748" s="2" t="s">
        <v>109</v>
      </c>
      <c r="F748" s="2" t="s">
        <v>15</v>
      </c>
      <c r="G748" s="2" t="s">
        <v>39</v>
      </c>
      <c r="H748" s="2" t="s">
        <v>28</v>
      </c>
      <c r="I748" s="2" t="str">
        <f>IFERROR(__xludf.DUMMYFUNCTION("GOOGLETRANSLATE(C748,""fr"",""en"")"),"I had to have recourse to the payments of additional salary, I came across a very friendly and very professional person who explained to me with patience the modalities to touch this supplement. It is really useful to take this option even by being younge"&amp;"r.")</f>
        <v>I had to have recourse to the payments of additional salary, I came across a very friendly and very professional person who explained to me with patience the modalities to touch this supplement. It is really useful to take this option even by being younger.</v>
      </c>
    </row>
    <row r="749" ht="15.75" customHeight="1">
      <c r="A749" s="2">
        <v>5.0</v>
      </c>
      <c r="B749" s="2" t="s">
        <v>2139</v>
      </c>
      <c r="C749" s="2" t="s">
        <v>2140</v>
      </c>
      <c r="D749" s="2" t="s">
        <v>26</v>
      </c>
      <c r="E749" s="2" t="s">
        <v>14</v>
      </c>
      <c r="F749" s="2" t="s">
        <v>15</v>
      </c>
      <c r="G749" s="2" t="s">
        <v>697</v>
      </c>
      <c r="H749" s="2" t="s">
        <v>81</v>
      </c>
      <c r="I749" s="2" t="str">
        <f>IFERROR(__xludf.DUMMYFUNCTION("GOOGLETRANSLATE(C749,""fr"",""en"")"),"I am satisfied with the price, the guarantees and the possibility of subscribing online! Hoping to have as little as possible from your services!
Cordially.")</f>
        <v>I am satisfied with the price, the guarantees and the possibility of subscribing online! Hoping to have as little as possible from your services!
Cordially.</v>
      </c>
    </row>
    <row r="750" ht="15.75" customHeight="1">
      <c r="A750" s="2">
        <v>4.0</v>
      </c>
      <c r="B750" s="2" t="s">
        <v>2141</v>
      </c>
      <c r="C750" s="2" t="s">
        <v>2142</v>
      </c>
      <c r="D750" s="2" t="s">
        <v>26</v>
      </c>
      <c r="E750" s="2" t="s">
        <v>14</v>
      </c>
      <c r="F750" s="2" t="s">
        <v>15</v>
      </c>
      <c r="G750" s="2" t="s">
        <v>1544</v>
      </c>
      <c r="H750" s="2" t="s">
        <v>28</v>
      </c>
      <c r="I750" s="2" t="str">
        <f>IFERROR(__xludf.DUMMYFUNCTION("GOOGLETRANSLATE(C750,""fr"",""en"")"),"I am satisfied with the communication of the personnel, fast is effective. I recommend direct insurance. Telephone interview as well as communication via top cat.")</f>
        <v>I am satisfied with the communication of the personnel, fast is effective. I recommend direct insurance. Telephone interview as well as communication via top cat.</v>
      </c>
    </row>
    <row r="751" ht="15.75" customHeight="1">
      <c r="A751" s="2">
        <v>4.0</v>
      </c>
      <c r="B751" s="2" t="s">
        <v>2143</v>
      </c>
      <c r="C751" s="2" t="s">
        <v>2144</v>
      </c>
      <c r="D751" s="2" t="s">
        <v>57</v>
      </c>
      <c r="E751" s="2" t="s">
        <v>14</v>
      </c>
      <c r="F751" s="2" t="s">
        <v>15</v>
      </c>
      <c r="G751" s="2" t="s">
        <v>90</v>
      </c>
      <c r="H751" s="2" t="s">
        <v>90</v>
      </c>
      <c r="I751" s="2" t="str">
        <f>IFERROR(__xludf.DUMMYFUNCTION("GOOGLETRANSLATE(C751,""fr"",""en"")"),"Fast, secure and well placed in prices. I did not know this company which was advised to me by an insurance comparator ... zero accident in my life since 1975, I will continue on this path.")</f>
        <v>Fast, secure and well placed in prices. I did not know this company which was advised to me by an insurance comparator ... zero accident in my life since 1975, I will continue on this path.</v>
      </c>
    </row>
    <row r="752" ht="15.75" customHeight="1">
      <c r="A752" s="2">
        <v>3.0</v>
      </c>
      <c r="B752" s="2" t="s">
        <v>2145</v>
      </c>
      <c r="C752" s="2" t="s">
        <v>2146</v>
      </c>
      <c r="D752" s="2" t="s">
        <v>37</v>
      </c>
      <c r="E752" s="2" t="s">
        <v>38</v>
      </c>
      <c r="F752" s="2" t="s">
        <v>15</v>
      </c>
      <c r="G752" s="2" t="s">
        <v>1150</v>
      </c>
      <c r="H752" s="2" t="s">
        <v>74</v>
      </c>
      <c r="I752" s="2" t="str">
        <f>IFERROR(__xludf.DUMMYFUNCTION("GOOGLETRANSLATE(C752,""fr"",""en"")"),"Ok very good contact I am waiting to see in case of problems. Availability of sales and a lot of patience on his part. No difficulty encountered.")</f>
        <v>Ok very good contact I am waiting to see in case of problems. Availability of sales and a lot of patience on his part. No difficulty encountered.</v>
      </c>
    </row>
    <row r="753" ht="15.75" customHeight="1">
      <c r="A753" s="2">
        <v>4.0</v>
      </c>
      <c r="B753" s="2" t="s">
        <v>2147</v>
      </c>
      <c r="C753" s="2" t="s">
        <v>2148</v>
      </c>
      <c r="D753" s="2" t="s">
        <v>57</v>
      </c>
      <c r="E753" s="2" t="s">
        <v>14</v>
      </c>
      <c r="F753" s="2" t="s">
        <v>15</v>
      </c>
      <c r="G753" s="2" t="s">
        <v>792</v>
      </c>
      <c r="H753" s="2" t="s">
        <v>90</v>
      </c>
      <c r="I753" s="2" t="str">
        <f>IFERROR(__xludf.DUMMYFUNCTION("GOOGLETRANSLATE(C753,""fr"",""en"")"),"The service is clear, simple, quick, advantageous price when subscribing. The electronic signature makes it possible to validate the file quickly. For the moment I validate!
It remains to be seen in the event of a claim ??")</f>
        <v>The service is clear, simple, quick, advantageous price when subscribing. The electronic signature makes it possible to validate the file quickly. For the moment I validate!
It remains to be seen in the event of a claim ??</v>
      </c>
    </row>
    <row r="754" ht="15.75" customHeight="1">
      <c r="A754" s="2">
        <v>3.0</v>
      </c>
      <c r="B754" s="2" t="s">
        <v>2149</v>
      </c>
      <c r="C754" s="2" t="s">
        <v>2150</v>
      </c>
      <c r="D754" s="2" t="s">
        <v>48</v>
      </c>
      <c r="E754" s="2" t="s">
        <v>21</v>
      </c>
      <c r="F754" s="2" t="s">
        <v>15</v>
      </c>
      <c r="G754" s="2" t="s">
        <v>2151</v>
      </c>
      <c r="H754" s="2" t="s">
        <v>329</v>
      </c>
      <c r="I754" s="2" t="str">
        <f>IFERROR(__xludf.DUMMYFUNCTION("GOOGLETRANSLATE(C754,""fr"",""en"")"),"I have had a contract for 3 years and apart from the annual increases which are high, I am satisfied with this mutual health")</f>
        <v>I have had a contract for 3 years and apart from the annual increases which are high, I am satisfied with this mutual health</v>
      </c>
    </row>
    <row r="755" ht="15.75" customHeight="1">
      <c r="A755" s="2">
        <v>5.0</v>
      </c>
      <c r="B755" s="2" t="s">
        <v>2152</v>
      </c>
      <c r="C755" s="2" t="s">
        <v>2153</v>
      </c>
      <c r="D755" s="2" t="s">
        <v>13</v>
      </c>
      <c r="E755" s="2" t="s">
        <v>14</v>
      </c>
      <c r="F755" s="2" t="s">
        <v>15</v>
      </c>
      <c r="G755" s="2" t="s">
        <v>2051</v>
      </c>
      <c r="H755" s="2" t="s">
        <v>81</v>
      </c>
      <c r="I755" s="2" t="str">
        <f>IFERROR(__xludf.DUMMYFUNCTION("GOOGLETRANSLATE(C755,""fr"",""en"")"),"I suffered a loss material on my vehicle and I am very satisfied with Pacifica which set my repairs in very good conditions. Not being responsible I had nothing to settle")</f>
        <v>I suffered a loss material on my vehicle and I am very satisfied with Pacifica which set my repairs in very good conditions. Not being responsible I had nothing to settle</v>
      </c>
    </row>
    <row r="756" ht="15.75" customHeight="1">
      <c r="A756" s="2">
        <v>4.0</v>
      </c>
      <c r="B756" s="2" t="s">
        <v>2154</v>
      </c>
      <c r="C756" s="2" t="s">
        <v>2155</v>
      </c>
      <c r="D756" s="2" t="s">
        <v>26</v>
      </c>
      <c r="E756" s="2" t="s">
        <v>14</v>
      </c>
      <c r="F756" s="2" t="s">
        <v>15</v>
      </c>
      <c r="G756" s="2" t="s">
        <v>983</v>
      </c>
      <c r="H756" s="2" t="s">
        <v>74</v>
      </c>
      <c r="I756" s="2" t="str">
        <f>IFERROR(__xludf.DUMMYFUNCTION("GOOGLETRANSLATE(C756,""fr"",""en"")"),"I am satisfied with the price and your service including telephone reception, the site is really simple and quick, I recommend direct-assurance.
 thank you")</f>
        <v>I am satisfied with the price and your service including telephone reception, the site is really simple and quick, I recommend direct-assurance.
 thank you</v>
      </c>
    </row>
    <row r="757" ht="15.75" customHeight="1">
      <c r="A757" s="2">
        <v>5.0</v>
      </c>
      <c r="B757" s="2" t="s">
        <v>2156</v>
      </c>
      <c r="C757" s="2" t="s">
        <v>2157</v>
      </c>
      <c r="D757" s="2" t="s">
        <v>26</v>
      </c>
      <c r="E757" s="2" t="s">
        <v>14</v>
      </c>
      <c r="F757" s="2" t="s">
        <v>15</v>
      </c>
      <c r="G757" s="2" t="s">
        <v>2158</v>
      </c>
      <c r="H757" s="2" t="s">
        <v>452</v>
      </c>
      <c r="I757" s="2" t="str">
        <f>IFERROR(__xludf.DUMMYFUNCTION("GOOGLETRANSLATE(C757,""fr"",""en"")"),"I am satisfied with the services offered being myself already assured at Direct Assurances.
I recommend your services to everyone around me and I want to enjoy a sponsorship offer")</f>
        <v>I am satisfied with the services offered being myself already assured at Direct Assurances.
I recommend your services to everyone around me and I want to enjoy a sponsorship offer</v>
      </c>
    </row>
    <row r="758" ht="15.75" customHeight="1">
      <c r="A758" s="2">
        <v>4.0</v>
      </c>
      <c r="B758" s="2" t="s">
        <v>2159</v>
      </c>
      <c r="C758" s="2" t="s">
        <v>2160</v>
      </c>
      <c r="D758" s="2" t="s">
        <v>57</v>
      </c>
      <c r="E758" s="2" t="s">
        <v>14</v>
      </c>
      <c r="F758" s="2" t="s">
        <v>15</v>
      </c>
      <c r="G758" s="2" t="s">
        <v>1638</v>
      </c>
      <c r="H758" s="2" t="s">
        <v>28</v>
      </c>
      <c r="I758" s="2" t="str">
        <f>IFERROR(__xludf.DUMMYFUNCTION("GOOGLETRANSLATE(C758,""fr"",""en"")"),"I am satisfied with the service,
The price is reasonable, a listening advisor and who has clearly responded to the information requested.
Thank you
Cordially")</f>
        <v>I am satisfied with the service,
The price is reasonable, a listening advisor and who has clearly responded to the information requested.
Thank you
Cordially</v>
      </c>
    </row>
    <row r="759" ht="15.75" customHeight="1">
      <c r="A759" s="2">
        <v>2.0</v>
      </c>
      <c r="B759" s="2" t="s">
        <v>2161</v>
      </c>
      <c r="C759" s="2" t="s">
        <v>2162</v>
      </c>
      <c r="D759" s="2" t="s">
        <v>42</v>
      </c>
      <c r="E759" s="2" t="s">
        <v>14</v>
      </c>
      <c r="F759" s="2" t="s">
        <v>15</v>
      </c>
      <c r="G759" s="2" t="s">
        <v>2163</v>
      </c>
      <c r="H759" s="2" t="s">
        <v>70</v>
      </c>
      <c r="I759" s="2" t="str">
        <f>IFERROR(__xludf.DUMMYFUNCTION("GOOGLETRANSLATE(C759,""fr"",""en"")"),"Contract subscribed online thanks to Lelynx, problems from the start, relaunches for me to provide the justificative parts, when I had already provided them, an interlocutor always different and a new problem each time, while my previous insurers had Neve"&amp;"r posed the slightest concern, after long waiting times, that I walk from services to services we finally end up validating my file, I receive my new thumbnail for 1 year, the following week 2 recommended almost identical saying that they Terminated my co"&amp;"ntract for problems with supporting documents, I remind you and as usual I am walking, I must write to the complaint service by mail.
I wasted time, I have to look for a new insurance, disgusted with the lack of seriousness and professionalism of Eallian"&amp;"z, I do not recommend!")</f>
        <v>Contract subscribed online thanks to Lelynx, problems from the start, relaunches for me to provide the justificative parts, when I had already provided them, an interlocutor always different and a new problem each time, while my previous insurers had Never posed the slightest concern, after long waiting times, that I walk from services to services we finally end up validating my file, I receive my new thumbnail for 1 year, the following week 2 recommended almost identical saying that they Terminated my contract for problems with supporting documents, I remind you and as usual I am walking, I must write to the complaint service by mail.
I wasted time, I have to look for a new insurance, disgusted with the lack of seriousness and professionalism of Eallianz, I do not recommend!</v>
      </c>
    </row>
    <row r="760" ht="15.75" customHeight="1">
      <c r="A760" s="2">
        <v>4.0</v>
      </c>
      <c r="B760" s="2" t="s">
        <v>2164</v>
      </c>
      <c r="C760" s="2" t="s">
        <v>2165</v>
      </c>
      <c r="D760" s="2" t="s">
        <v>53</v>
      </c>
      <c r="E760" s="2" t="s">
        <v>14</v>
      </c>
      <c r="F760" s="2" t="s">
        <v>15</v>
      </c>
      <c r="G760" s="2" t="s">
        <v>279</v>
      </c>
      <c r="H760" s="2" t="s">
        <v>122</v>
      </c>
      <c r="I760" s="2" t="str">
        <f>IFERROR(__xludf.DUMMYFUNCTION("GOOGLETRANSLATE(C760,""fr"",""en"")"),"Excellent insurer with accessible and fast customer service.
Sympathetic agents on the phone as by email who are trying to find a compromise just in order to retain, at best customers.")</f>
        <v>Excellent insurer with accessible and fast customer service.
Sympathetic agents on the phone as by email who are trying to find a compromise just in order to retain, at best customers.</v>
      </c>
    </row>
    <row r="761" ht="15.75" customHeight="1">
      <c r="A761" s="2">
        <v>4.0</v>
      </c>
      <c r="B761" s="2" t="s">
        <v>2166</v>
      </c>
      <c r="C761" s="2" t="s">
        <v>2167</v>
      </c>
      <c r="D761" s="2" t="s">
        <v>26</v>
      </c>
      <c r="E761" s="2" t="s">
        <v>14</v>
      </c>
      <c r="F761" s="2" t="s">
        <v>15</v>
      </c>
      <c r="G761" s="2" t="s">
        <v>279</v>
      </c>
      <c r="H761" s="2" t="s">
        <v>122</v>
      </c>
      <c r="I761" s="2" t="str">
        <f>IFERROR(__xludf.DUMMYFUNCTION("GOOGLETRANSLATE(C761,""fr"",""en"")"),"It is a shame that the box sometimes does not send the journeys made.
It would also be good to know what we ""cost us"" in terms of percentage, poor acceleration etc, because sometimes I see on a journey poor acceleration and I lose almost 20%, I find it"&amp;" too punitive.
Otherwise everything is at the top!")</f>
        <v>It is a shame that the box sometimes does not send the journeys made.
It would also be good to know what we "cost us" in terms of percentage, poor acceleration etc, because sometimes I see on a journey poor acceleration and I lose almost 20%, I find it too punitive.
Otherwise everything is at the top!</v>
      </c>
    </row>
    <row r="762" ht="15.75" customHeight="1">
      <c r="A762" s="2">
        <v>1.0</v>
      </c>
      <c r="B762" s="2" t="s">
        <v>2168</v>
      </c>
      <c r="C762" s="2" t="s">
        <v>2169</v>
      </c>
      <c r="D762" s="2" t="s">
        <v>125</v>
      </c>
      <c r="E762" s="2" t="s">
        <v>43</v>
      </c>
      <c r="F762" s="2" t="s">
        <v>15</v>
      </c>
      <c r="G762" s="2" t="s">
        <v>1483</v>
      </c>
      <c r="H762" s="2" t="s">
        <v>214</v>
      </c>
      <c r="I762" s="2" t="str">
        <f>IFERROR(__xludf.DUMMYFUNCTION("GOOGLETRANSLATE(C762,""fr"",""en"")"),"RUN AWAY !
Overall life insurance is a placement to flee: rigid, non -digital, negative net yield.
And Generali has the worst customer service: impossible to have just documents during arbitrations or buyouts.
Really, I do not recommend this kind of in"&amp;"vestments and insurers.")</f>
        <v>RUN AWAY !
Overall life insurance is a placement to flee: rigid, non -digital, negative net yield.
And Generali has the worst customer service: impossible to have just documents during arbitrations or buyouts.
Really, I do not recommend this kind of investments and insurers.</v>
      </c>
    </row>
    <row r="763" ht="15.75" customHeight="1">
      <c r="A763" s="2">
        <v>5.0</v>
      </c>
      <c r="B763" s="2" t="s">
        <v>2170</v>
      </c>
      <c r="C763" s="2" t="s">
        <v>2171</v>
      </c>
      <c r="D763" s="2" t="s">
        <v>26</v>
      </c>
      <c r="E763" s="2" t="s">
        <v>14</v>
      </c>
      <c r="F763" s="2" t="s">
        <v>15</v>
      </c>
      <c r="G763" s="2" t="s">
        <v>404</v>
      </c>
      <c r="H763" s="2" t="s">
        <v>81</v>
      </c>
      <c r="I763" s="2" t="str">
        <f>IFERROR(__xludf.DUMMYFUNCTION("GOOGLETRANSLATE(C763,""fr"",""en"")"),"Very well, to be seen over time, but the ergonomics of the platform and the ease of taking out the contract, the advantages are appreciable, the prices also for a young driver")</f>
        <v>Very well, to be seen over time, but the ergonomics of the platform and the ease of taking out the contract, the advantages are appreciable, the prices also for a young driver</v>
      </c>
    </row>
    <row r="764" ht="15.75" customHeight="1">
      <c r="A764" s="2">
        <v>4.0</v>
      </c>
      <c r="B764" s="2" t="s">
        <v>2172</v>
      </c>
      <c r="C764" s="2" t="s">
        <v>2173</v>
      </c>
      <c r="D764" s="2" t="s">
        <v>57</v>
      </c>
      <c r="E764" s="2" t="s">
        <v>14</v>
      </c>
      <c r="F764" s="2" t="s">
        <v>15</v>
      </c>
      <c r="G764" s="2" t="s">
        <v>80</v>
      </c>
      <c r="H764" s="2" t="s">
        <v>81</v>
      </c>
      <c r="I764" s="2" t="str">
        <f>IFERROR(__xludf.DUMMYFUNCTION("GOOGLETRANSLATE(C764,""fr"",""en"")"),"The advisers are very pleasant on the phone, available, take the time to explain to best meet our expectations. Personalized service.")</f>
        <v>The advisers are very pleasant on the phone, available, take the time to explain to best meet our expectations. Personalized service.</v>
      </c>
    </row>
    <row r="765" ht="15.75" customHeight="1">
      <c r="A765" s="2">
        <v>4.0</v>
      </c>
      <c r="B765" s="2" t="s">
        <v>2174</v>
      </c>
      <c r="C765" s="2" t="s">
        <v>2175</v>
      </c>
      <c r="D765" s="2" t="s">
        <v>315</v>
      </c>
      <c r="E765" s="2" t="s">
        <v>14</v>
      </c>
      <c r="F765" s="2" t="s">
        <v>15</v>
      </c>
      <c r="G765" s="2" t="s">
        <v>2176</v>
      </c>
      <c r="H765" s="2" t="s">
        <v>482</v>
      </c>
      <c r="I765" s="2" t="str">
        <f>IFERROR(__xludf.DUMMYFUNCTION("GOOGLETRANSLATE(C765,""fr"",""en"")"),"I was very pleasantly surprised by the efficiency and speed of my care on an accident.
Car repaired in 1 week for my wedding ... I am very grateful to the operators I had on the phone.")</f>
        <v>I was very pleasantly surprised by the efficiency and speed of my care on an accident.
Car repaired in 1 week for my wedding ... I am very grateful to the operators I had on the phone.</v>
      </c>
    </row>
    <row r="766" ht="15.75" customHeight="1">
      <c r="A766" s="2">
        <v>5.0</v>
      </c>
      <c r="B766" s="2" t="s">
        <v>2177</v>
      </c>
      <c r="C766" s="2" t="s">
        <v>2178</v>
      </c>
      <c r="D766" s="2" t="s">
        <v>57</v>
      </c>
      <c r="E766" s="2" t="s">
        <v>14</v>
      </c>
      <c r="F766" s="2" t="s">
        <v>15</v>
      </c>
      <c r="G766" s="2" t="s">
        <v>953</v>
      </c>
      <c r="H766" s="2" t="s">
        <v>122</v>
      </c>
      <c r="I766" s="2" t="str">
        <f>IFERROR(__xludf.DUMMYFUNCTION("GOOGLETRANSLATE(C766,""fr"",""en"")"),"2nd time that I have an advisor on the phone, super professional and very explicit, nothing to say quality of services at the top, I recommend the Olivier Insurance")</f>
        <v>2nd time that I have an advisor on the phone, super professional and very explicit, nothing to say quality of services at the top, I recommend the Olivier Insurance</v>
      </c>
    </row>
    <row r="767" ht="15.75" customHeight="1">
      <c r="A767" s="2">
        <v>1.0</v>
      </c>
      <c r="B767" s="2" t="s">
        <v>2179</v>
      </c>
      <c r="C767" s="2" t="s">
        <v>2180</v>
      </c>
      <c r="D767" s="2" t="s">
        <v>262</v>
      </c>
      <c r="E767" s="2" t="s">
        <v>14</v>
      </c>
      <c r="F767" s="2" t="s">
        <v>15</v>
      </c>
      <c r="G767" s="2" t="s">
        <v>2181</v>
      </c>
      <c r="H767" s="2" t="s">
        <v>980</v>
      </c>
      <c r="I767" s="2" t="str">
        <f>IFERROR(__xludf.DUMMYFUNCTION("GOOGLETRANSLATE(C767,""fr"",""en"")"),"Never take axa assistance !! I have been in dispute with them for more than 9 months. They don't want to pay the costs when they are completely wrong in history.
Following a repair for a wheel, I find my car with damaged scrapyard !!!!")</f>
        <v>Never take axa assistance !! I have been in dispute with them for more than 9 months. They don't want to pay the costs when they are completely wrong in history.
Following a repair for a wheel, I find my car with damaged scrapyard !!!!</v>
      </c>
    </row>
    <row r="768" ht="15.75" customHeight="1">
      <c r="A768" s="2">
        <v>5.0</v>
      </c>
      <c r="B768" s="2" t="s">
        <v>2182</v>
      </c>
      <c r="C768" s="2" t="s">
        <v>2183</v>
      </c>
      <c r="D768" s="2" t="s">
        <v>57</v>
      </c>
      <c r="E768" s="2" t="s">
        <v>14</v>
      </c>
      <c r="F768" s="2" t="s">
        <v>15</v>
      </c>
      <c r="G768" s="2" t="s">
        <v>808</v>
      </c>
      <c r="H768" s="2" t="s">
        <v>34</v>
      </c>
      <c r="I768" s="2" t="str">
        <f>IFERROR(__xludf.DUMMYFUNCTION("GOOGLETRANSLATE(C768,""fr"",""en"")"),"Simplicity and speed very very correct price or other insurance does not provide the vehicle so -called sports and very high quality customer service")</f>
        <v>Simplicity and speed very very correct price or other insurance does not provide the vehicle so -called sports and very high quality customer service</v>
      </c>
    </row>
    <row r="769" ht="15.75" customHeight="1">
      <c r="A769" s="2">
        <v>5.0</v>
      </c>
      <c r="B769" s="2" t="s">
        <v>2184</v>
      </c>
      <c r="C769" s="2" t="s">
        <v>2185</v>
      </c>
      <c r="D769" s="2" t="s">
        <v>57</v>
      </c>
      <c r="E769" s="2" t="s">
        <v>14</v>
      </c>
      <c r="F769" s="2" t="s">
        <v>15</v>
      </c>
      <c r="G769" s="2" t="s">
        <v>1430</v>
      </c>
      <c r="H769" s="2" t="s">
        <v>74</v>
      </c>
      <c r="I769" s="2" t="str">
        <f>IFERROR(__xludf.DUMMYFUNCTION("GOOGLETRANSLATE(C769,""fr"",""en"")"),"Super services as usual, reasonable price for good service, speed, staff simptie.
Thank you for your efficiency.
")</f>
        <v>Super services as usual, reasonable price for good service, speed, staff simptie.
Thank you for your efficiency.
</v>
      </c>
    </row>
    <row r="770" ht="15.75" customHeight="1">
      <c r="A770" s="2">
        <v>1.0</v>
      </c>
      <c r="B770" s="2" t="s">
        <v>2186</v>
      </c>
      <c r="C770" s="2" t="s">
        <v>2187</v>
      </c>
      <c r="D770" s="2" t="s">
        <v>20</v>
      </c>
      <c r="E770" s="2" t="s">
        <v>21</v>
      </c>
      <c r="F770" s="2" t="s">
        <v>15</v>
      </c>
      <c r="G770" s="2" t="s">
        <v>1842</v>
      </c>
      <c r="H770" s="2" t="s">
        <v>208</v>
      </c>
      <c r="I770" s="2" t="str">
        <f>IFERROR(__xludf.DUMMYFUNCTION("GOOGLETRANSLATE(C770,""fr"",""en"")"),"Incompetent customer service, hospital care not made despite the phone call on this subject, I had to advance the costs 730 euros (operation of November 27, 2020) The reimbursement has still not been made to date despite 4 Mails sent with supporting docum"&amp;"ents and 5 calls. A shame, I find myself blocked, to ask for money on the right on the left to continue to feed my family. Each call I walk around, ""your file has come back to the list"", the time according to ""your file is pending"". Moreover impossibl"&amp;"e to be able to speak to the corresponding service. Each call 15 min waiting. Incompetent mutual. No!!!!")</f>
        <v>Incompetent customer service, hospital care not made despite the phone call on this subject, I had to advance the costs 730 euros (operation of November 27, 2020) The reimbursement has still not been made to date despite 4 Mails sent with supporting documents and 5 calls. A shame, I find myself blocked, to ask for money on the right on the left to continue to feed my family. Each call I walk around, "your file has come back to the list", the time according to "your file is pending". Moreover impossible to be able to speak to the corresponding service. Each call 15 min waiting. Incompetent mutual. No!!!!</v>
      </c>
    </row>
    <row r="771" ht="15.75" customHeight="1">
      <c r="A771" s="2">
        <v>1.0</v>
      </c>
      <c r="B771" s="2" t="s">
        <v>2188</v>
      </c>
      <c r="C771" s="2" t="s">
        <v>2189</v>
      </c>
      <c r="D771" s="2" t="s">
        <v>262</v>
      </c>
      <c r="E771" s="2" t="s">
        <v>43</v>
      </c>
      <c r="F771" s="2" t="s">
        <v>15</v>
      </c>
      <c r="G771" s="2" t="s">
        <v>1741</v>
      </c>
      <c r="H771" s="2" t="s">
        <v>50</v>
      </c>
      <c r="I771" s="2" t="str">
        <f>IFERROR(__xludf.DUMMYFUNCTION("GOOGLETRANSLATE(C771,""fr"",""en"")"),"Death of an insured in May2019. Immediate transmission to AXA for payment of the capital death of the Masterlife contract. Never an answer. Yet they are well received. January 2020 still no payment !!! many reminders without success. They are contemptuous"&amp;" !!! Even the broker does not understand. He calls them every day but nothing. I try to call them but nothing. Even with emails they do not answer. It's heartbreaking. Yet to take the contributiosn they were present.")</f>
        <v>Death of an insured in May2019. Immediate transmission to AXA for payment of the capital death of the Masterlife contract. Never an answer. Yet they are well received. January 2020 still no payment !!! many reminders without success. They are contemptuous !!! Even the broker does not understand. He calls them every day but nothing. I try to call them but nothing. Even with emails they do not answer. It's heartbreaking. Yet to take the contributiosn they were present.</v>
      </c>
    </row>
    <row r="772" ht="15.75" customHeight="1">
      <c r="A772" s="2">
        <v>2.0</v>
      </c>
      <c r="B772" s="2" t="s">
        <v>2190</v>
      </c>
      <c r="C772" s="2" t="s">
        <v>2191</v>
      </c>
      <c r="D772" s="2" t="s">
        <v>26</v>
      </c>
      <c r="E772" s="2" t="s">
        <v>14</v>
      </c>
      <c r="F772" s="2" t="s">
        <v>15</v>
      </c>
      <c r="G772" s="2" t="s">
        <v>2192</v>
      </c>
      <c r="H772" s="2" t="s">
        <v>157</v>
      </c>
      <c r="I772" s="2" t="str">
        <f>IFERROR(__xludf.DUMMYFUNCTION("GOOGLETRANSLATE(C772,""fr"",""en"")"),"Hello.
I want to post my opinion following a claim that dates from February 2018 still not compensated.
Despite insurance all risk to be peaceful and my unlike it in this file is nothing to advance.
Non -existent customer service never responds to the "&amp;"phone or email.
I hope a rapid reaction of direct insurance because I will not require to demonstrate my dissatisfaction in the future. But also to correct my opinion to the resolution of this disaster if anywhere is solved because I note that the answer"&amp;"s are fastest on this site than on Direct Insurance directly.
Cordially
PS your slogan ""We always benefit from being direct""")</f>
        <v>Hello.
I want to post my opinion following a claim that dates from February 2018 still not compensated.
Despite insurance all risk to be peaceful and my unlike it in this file is nothing to advance.
Non -existent customer service never responds to the phone or email.
I hope a rapid reaction of direct insurance because I will not require to demonstrate my dissatisfaction in the future. But also to correct my opinion to the resolution of this disaster if anywhere is solved because I note that the answers are fastest on this site than on Direct Insurance directly.
Cordially
PS your slogan "We always benefit from being direct"</v>
      </c>
    </row>
    <row r="773" ht="15.75" customHeight="1">
      <c r="A773" s="2">
        <v>1.0</v>
      </c>
      <c r="B773" s="2" t="s">
        <v>2193</v>
      </c>
      <c r="C773" s="2" t="s">
        <v>2194</v>
      </c>
      <c r="D773" s="2" t="s">
        <v>356</v>
      </c>
      <c r="E773" s="2" t="s">
        <v>21</v>
      </c>
      <c r="F773" s="2" t="s">
        <v>15</v>
      </c>
      <c r="G773" s="2" t="s">
        <v>2195</v>
      </c>
      <c r="H773" s="2" t="s">
        <v>86</v>
      </c>
      <c r="I773" s="2" t="str">
        <f>IFERROR(__xludf.DUMMYFUNCTION("GOOGLETRANSLATE(C773,""fr"",""en"")"),"I am a child attached to my mother's mutual insurance company and to extend my third-party payment because Primo-Demandeur as they """" ""accept"" """" "", they lost my mail with my supporting documents in it! Then on the internet, even worse, because the"&amp;"y refuse me to renew and I still have to justify my situation with several documents while according to their conditions: it is only a notification of rejection pole employment !!! What do you want at the end?
Catastrophic telephone service with unpleasa"&amp;"nt staff hanging up on me, encouraging me to change my mutual when it sings (something I will do yes yes).
And reimbursements not made for most requests.
I strongly advise against this mutual that takes customers for fools. To flee")</f>
        <v>I am a child attached to my mother's mutual insurance company and to extend my third-party payment because Primo-Demandeur as they "" "accept" "" ", they lost my mail with my supporting documents in it! Then on the internet, even worse, because they refuse me to renew and I still have to justify my situation with several documents while according to their conditions: it is only a notification of rejection pole employment !!! What do you want at the end?
Catastrophic telephone service with unpleasant staff hanging up on me, encouraging me to change my mutual when it sings (something I will do yes yes).
And reimbursements not made for most requests.
I strongly advise against this mutual that takes customers for fools. To flee</v>
      </c>
    </row>
    <row r="774" ht="15.75" customHeight="1">
      <c r="A774" s="2">
        <v>2.0</v>
      </c>
      <c r="B774" s="2" t="s">
        <v>2196</v>
      </c>
      <c r="C774" s="2" t="s">
        <v>2197</v>
      </c>
      <c r="D774" s="2" t="s">
        <v>410</v>
      </c>
      <c r="E774" s="2" t="s">
        <v>14</v>
      </c>
      <c r="F774" s="2" t="s">
        <v>15</v>
      </c>
      <c r="G774" s="2" t="s">
        <v>1544</v>
      </c>
      <c r="H774" s="2" t="s">
        <v>28</v>
      </c>
      <c r="I774" s="2" t="str">
        <f>IFERROR(__xludf.DUMMYFUNCTION("GOOGLETRANSLATE(C774,""fr"",""en"")"),"Insured at the Matmut for almost 12 years, it is a real way of the cross for any request outside the subscription to a new contract.
Having moved abroad, I asked the Matmut to provide me with a document attesting to my bonus and my insurance seniority wi"&amp;"th an English translation. Between the request and the reception-&gt; 1 month, with an empty document in English. And therefore a very high invoice.
I asked for the termination of all my Matmut contracts, asks for a Thursday, I am explained that there are w"&amp;"eekends and holidays, and therefore a 10-day deadline? It is pure amateurism, or at worst of incompetence.
In terms of operators, we understand that apart from opening a contract they can do nothing.
Your processes are too long and lack of clarity. See "&amp;"you should question and look at how other insurance works, because in France it is disastrous.")</f>
        <v>Insured at the Matmut for almost 12 years, it is a real way of the cross for any request outside the subscription to a new contract.
Having moved abroad, I asked the Matmut to provide me with a document attesting to my bonus and my insurance seniority with an English translation. Between the request and the reception-&gt; 1 month, with an empty document in English. And therefore a very high invoice.
I asked for the termination of all my Matmut contracts, asks for a Thursday, I am explained that there are weekends and holidays, and therefore a 10-day deadline? It is pure amateurism, or at worst of incompetence.
In terms of operators, we understand that apart from opening a contract they can do nothing.
Your processes are too long and lack of clarity. See you should question and look at how other insurance works, because in France it is disastrous.</v>
      </c>
    </row>
    <row r="775" ht="15.75" customHeight="1">
      <c r="A775" s="2">
        <v>1.0</v>
      </c>
      <c r="B775" s="2" t="s">
        <v>2198</v>
      </c>
      <c r="C775" s="2" t="s">
        <v>2199</v>
      </c>
      <c r="D775" s="2" t="s">
        <v>410</v>
      </c>
      <c r="E775" s="2" t="s">
        <v>14</v>
      </c>
      <c r="F775" s="2" t="s">
        <v>15</v>
      </c>
      <c r="G775" s="2" t="s">
        <v>1826</v>
      </c>
      <c r="H775" s="2" t="s">
        <v>34</v>
      </c>
      <c r="I775" s="2" t="str">
        <f>IFERROR(__xludf.DUMMYFUNCTION("GOOGLETRANSLATE(C775,""fr"",""en"")"),"Good evening
Explain to me please with 65% bonus I paid more expensive than my current insurer with only 50% bonus and I am not at a low cost insurer because I speak of maif ...
To read you ...
")</f>
        <v>Good evening
Explain to me please with 65% bonus I paid more expensive than my current insurer with only 50% bonus and I am not at a low cost insurer because I speak of maif ...
To read you ...
</v>
      </c>
    </row>
    <row r="776" ht="15.75" customHeight="1">
      <c r="A776" s="2">
        <v>2.0</v>
      </c>
      <c r="B776" s="2" t="s">
        <v>2200</v>
      </c>
      <c r="C776" s="2" t="s">
        <v>2201</v>
      </c>
      <c r="D776" s="2" t="s">
        <v>53</v>
      </c>
      <c r="E776" s="2" t="s">
        <v>104</v>
      </c>
      <c r="F776" s="2" t="s">
        <v>15</v>
      </c>
      <c r="G776" s="2" t="s">
        <v>2202</v>
      </c>
      <c r="H776" s="2" t="s">
        <v>395</v>
      </c>
      <c r="I776" s="2" t="str">
        <f>IFERROR(__xludf.DUMMYFUNCTION("GOOGLETRANSLATE(C776,""fr"",""en"")"),"Impossible to join the claims service - Standard has been saturated for weeks - stayed whole days on the phone without success - ditto for emails they accuse reception and after nothing - despite complaints made for 15 days no return - first decision I'm "&amp;"going to go elsewhere for a new contract because too much time lost and still no answer - stop advertising because the MAAF is unable to manage its customers
")</f>
        <v>Impossible to join the claims service - Standard has been saturated for weeks - stayed whole days on the phone without success - ditto for emails they accuse reception and after nothing - despite complaints made for 15 days no return - first decision I'm going to go elsewhere for a new contract because too much time lost and still no answer - stop advertising because the MAAF is unable to manage its customers
</v>
      </c>
    </row>
    <row r="777" ht="15.75" customHeight="1">
      <c r="A777" s="2">
        <v>4.0</v>
      </c>
      <c r="B777" s="2" t="s">
        <v>2203</v>
      </c>
      <c r="C777" s="2" t="s">
        <v>2204</v>
      </c>
      <c r="D777" s="2" t="s">
        <v>410</v>
      </c>
      <c r="E777" s="2" t="s">
        <v>14</v>
      </c>
      <c r="F777" s="2" t="s">
        <v>15</v>
      </c>
      <c r="G777" s="2" t="s">
        <v>2205</v>
      </c>
      <c r="H777" s="2" t="s">
        <v>201</v>
      </c>
      <c r="I777" s="2" t="str">
        <f>IFERROR(__xludf.DUMMYFUNCTION("GOOGLETRANSLATE(C777,""fr"",""en"")"),"I have been a member for 39 years, the prices have remained competitive but the management of claims was exemplary. My husband died of a motorcycle accident and their help, support and involvement in the management of allowances was perfect.")</f>
        <v>I have been a member for 39 years, the prices have remained competitive but the management of claims was exemplary. My husband died of a motorcycle accident and their help, support and involvement in the management of allowances was perfect.</v>
      </c>
    </row>
    <row r="778" ht="15.75" customHeight="1">
      <c r="A778" s="2">
        <v>1.0</v>
      </c>
      <c r="B778" s="2" t="s">
        <v>2206</v>
      </c>
      <c r="C778" s="2" t="s">
        <v>2207</v>
      </c>
      <c r="D778" s="2" t="s">
        <v>262</v>
      </c>
      <c r="E778" s="2" t="s">
        <v>104</v>
      </c>
      <c r="F778" s="2" t="s">
        <v>15</v>
      </c>
      <c r="G778" s="2" t="s">
        <v>2208</v>
      </c>
      <c r="H778" s="2" t="s">
        <v>208</v>
      </c>
      <c r="I778" s="2" t="str">
        <f>IFERROR(__xludf.DUMMYFUNCTION("GOOGLETRANSLATE(C778,""fr"",""en"")"),"In 2018 I change my home insurance, from AXA I go to Pacifica CA my advisor takes care of the termination, 2021 I realize that I am always levied by AXA how to recover my sums unduly perceived ...")</f>
        <v>In 2018 I change my home insurance, from AXA I go to Pacifica CA my advisor takes care of the termination, 2021 I realize that I am always levied by AXA how to recover my sums unduly perceived ...</v>
      </c>
    </row>
    <row r="779" ht="15.75" customHeight="1">
      <c r="A779" s="2">
        <v>4.0</v>
      </c>
      <c r="B779" s="2" t="s">
        <v>2209</v>
      </c>
      <c r="C779" s="2" t="s">
        <v>2210</v>
      </c>
      <c r="D779" s="2" t="s">
        <v>57</v>
      </c>
      <c r="E779" s="2" t="s">
        <v>14</v>
      </c>
      <c r="F779" s="2" t="s">
        <v>15</v>
      </c>
      <c r="G779" s="2" t="s">
        <v>1621</v>
      </c>
      <c r="H779" s="2" t="s">
        <v>185</v>
      </c>
      <c r="I779" s="2" t="str">
        <f>IFERROR(__xludf.DUMMYFUNCTION("GOOGLETRANSLATE(C779,""fr"",""en"")"),"I am delighted with the quick services to ensure as a young driver to see if other more profitable offers if no claim I recommend this insurance to see in the rest of things")</f>
        <v>I am delighted with the quick services to ensure as a young driver to see if other more profitable offers if no claim I recommend this insurance to see in the rest of things</v>
      </c>
    </row>
    <row r="780" ht="15.75" customHeight="1">
      <c r="A780" s="2">
        <v>3.0</v>
      </c>
      <c r="B780" s="2" t="s">
        <v>2211</v>
      </c>
      <c r="C780" s="2" t="s">
        <v>2212</v>
      </c>
      <c r="D780" s="2" t="s">
        <v>26</v>
      </c>
      <c r="E780" s="2" t="s">
        <v>14</v>
      </c>
      <c r="F780" s="2" t="s">
        <v>15</v>
      </c>
      <c r="G780" s="2" t="s">
        <v>802</v>
      </c>
      <c r="H780" s="2" t="s">
        <v>34</v>
      </c>
      <c r="I780" s="2" t="str">
        <f>IFERROR(__xludf.DUMMYFUNCTION("GOOGLETRANSLATE(C780,""fr"",""en"")"),"I am satisfied with the service
I am satisfied with the telephone contact and the recall scheduled by the advisor.
The connection is simple to access the site")</f>
        <v>I am satisfied with the service
I am satisfied with the telephone contact and the recall scheduled by the advisor.
The connection is simple to access the site</v>
      </c>
    </row>
    <row r="781" ht="15.75" customHeight="1">
      <c r="A781" s="2">
        <v>1.0</v>
      </c>
      <c r="B781" s="2" t="s">
        <v>2213</v>
      </c>
      <c r="C781" s="2" t="s">
        <v>2214</v>
      </c>
      <c r="D781" s="2" t="s">
        <v>388</v>
      </c>
      <c r="E781" s="2" t="s">
        <v>38</v>
      </c>
      <c r="F781" s="2" t="s">
        <v>15</v>
      </c>
      <c r="G781" s="2" t="s">
        <v>325</v>
      </c>
      <c r="H781" s="2" t="s">
        <v>28</v>
      </c>
      <c r="I781" s="2" t="str">
        <f>IFERROR(__xludf.DUMMYFUNCTION("GOOGLETRANSLATE(C781,""fr"",""en"")"),"No one, I declare a claim, I send this disaster registeredment and he reply that he does not understand etc etc fed up, what to do?")</f>
        <v>No one, I declare a claim, I send this disaster registeredment and he reply that he does not understand etc etc fed up, what to do?</v>
      </c>
    </row>
    <row r="782" ht="15.75" customHeight="1">
      <c r="A782" s="2">
        <v>1.0</v>
      </c>
      <c r="B782" s="2" t="s">
        <v>2215</v>
      </c>
      <c r="C782" s="2" t="s">
        <v>2216</v>
      </c>
      <c r="D782" s="2" t="s">
        <v>996</v>
      </c>
      <c r="E782" s="2" t="s">
        <v>43</v>
      </c>
      <c r="F782" s="2" t="s">
        <v>15</v>
      </c>
      <c r="G782" s="2" t="s">
        <v>2217</v>
      </c>
      <c r="H782" s="2" t="s">
        <v>157</v>
      </c>
      <c r="I782" s="2" t="str">
        <f>IFERROR(__xludf.DUMMYFUNCTION("GOOGLETRANSLATE(C782,""fr"",""en"")"),"You wander from Volney to Ledru Rollin and Nice, letters intersect but no one knows nothing. Multiple requests for administrative documents sent by emails or letters in several copies because it is said to be not received according to the various interloc"&amp;"utors. Good baratineurs on the phone (when you manage to talk to someone) but completely ineffective. 2 months to settle a life insurance file at the postal bank, 11 months for AFER. Find the mistake. To flee !!!")</f>
        <v>You wander from Volney to Ledru Rollin and Nice, letters intersect but no one knows nothing. Multiple requests for administrative documents sent by emails or letters in several copies because it is said to be not received according to the various interlocutors. Good baratineurs on the phone (when you manage to talk to someone) but completely ineffective. 2 months to settle a life insurance file at the postal bank, 11 months for AFER. Find the mistake. To flee !!!</v>
      </c>
    </row>
    <row r="783" ht="15.75" customHeight="1">
      <c r="A783" s="2">
        <v>4.0</v>
      </c>
      <c r="B783" s="2" t="s">
        <v>2218</v>
      </c>
      <c r="C783" s="2" t="s">
        <v>2219</v>
      </c>
      <c r="D783" s="2" t="s">
        <v>315</v>
      </c>
      <c r="E783" s="2" t="s">
        <v>14</v>
      </c>
      <c r="F783" s="2" t="s">
        <v>15</v>
      </c>
      <c r="G783" s="2" t="s">
        <v>458</v>
      </c>
      <c r="H783" s="2" t="s">
        <v>214</v>
      </c>
      <c r="I783" s="2" t="str">
        <f>IFERROR(__xludf.DUMMYFUNCTION("GOOGLETRANSLATE(C783,""fr"",""en"")"),"Like all insurances there are certainly shortcomings but overall satisfied. However, I remain satisfied, the answers have always been quick and clear. Côme everywhere we can on some less ""pleasant people is not reserved for this company. A small downside"&amp;" concerning the housing contract I do not understand why the garage is not guaranteed.")</f>
        <v>Like all insurances there are certainly shortcomings but overall satisfied. However, I remain satisfied, the answers have always been quick and clear. Côme everywhere we can on some less "pleasant people is not reserved for this company. A small downside concerning the housing contract I do not understand why the garage is not guaranteed.</v>
      </c>
    </row>
    <row r="784" ht="15.75" customHeight="1">
      <c r="A784" s="2">
        <v>2.0</v>
      </c>
      <c r="B784" s="2" t="s">
        <v>2220</v>
      </c>
      <c r="C784" s="2" t="s">
        <v>2221</v>
      </c>
      <c r="D784" s="2" t="s">
        <v>192</v>
      </c>
      <c r="E784" s="2" t="s">
        <v>21</v>
      </c>
      <c r="F784" s="2" t="s">
        <v>15</v>
      </c>
      <c r="G784" s="2" t="s">
        <v>2222</v>
      </c>
      <c r="H784" s="2" t="s">
        <v>145</v>
      </c>
      <c r="I784" s="2" t="str">
        <f>IFERROR(__xludf.DUMMYFUNCTION("GOOGLETRANSLATE(C784,""fr"",""en"")"),"Good mutual but rather dear. Very unpleasant client service, I got caught up in the nose while I have been MGEN for over 30 years ... I see in job offers that MGEN is recruiting telecouns, too bad people are so pissed off and bad faith. This serves this m"&amp;"utual.")</f>
        <v>Good mutual but rather dear. Very unpleasant client service, I got caught up in the nose while I have been MGEN for over 30 years ... I see in job offers that MGEN is recruiting telecouns, too bad people are so pissed off and bad faith. This serves this mutual.</v>
      </c>
    </row>
    <row r="785" ht="15.75" customHeight="1">
      <c r="A785" s="2">
        <v>1.0</v>
      </c>
      <c r="B785" s="2" t="s">
        <v>2223</v>
      </c>
      <c r="C785" s="2" t="s">
        <v>2224</v>
      </c>
      <c r="D785" s="2" t="s">
        <v>338</v>
      </c>
      <c r="E785" s="2" t="s">
        <v>14</v>
      </c>
      <c r="F785" s="2" t="s">
        <v>15</v>
      </c>
      <c r="G785" s="2" t="s">
        <v>1056</v>
      </c>
      <c r="H785" s="2" t="s">
        <v>122</v>
      </c>
      <c r="I785" s="2" t="str">
        <f>IFERROR(__xludf.DUMMYFUNCTION("GOOGLETRANSLATE(C785,""fr"",""en"")"),"I subscribed to a car insurance contract because the price was interesting. It turned out that I had accidentally made a striking error on the date of my license during the subscription. (I have my license for more than 20 years and never had an accident)"&amp;". They pointed out to me and changed the price from single to double. Unfortunately, I had already paid the annual subscription. So I asked for the termination of the contract and the reimbursement.
They did not want to reimburse anything claiming file f"&amp;"ees etc .... rising up to the amount of regulation ... knowing that between my payment and the termination, it had only happened a few days.
In short, you will understand, they are not very honest !!!!! I strongly advise against !!!!!
")</f>
        <v>I subscribed to a car insurance contract because the price was interesting. It turned out that I had accidentally made a striking error on the date of my license during the subscription. (I have my license for more than 20 years and never had an accident). They pointed out to me and changed the price from single to double. Unfortunately, I had already paid the annual subscription. So I asked for the termination of the contract and the reimbursement.
They did not want to reimburse anything claiming file fees etc .... rising up to the amount of regulation ... knowing that between my payment and the termination, it had only happened a few days.
In short, you will understand, they are not very honest !!!!! I strongly advise against !!!!!
</v>
      </c>
    </row>
    <row r="786" ht="15.75" customHeight="1">
      <c r="A786" s="2">
        <v>4.0</v>
      </c>
      <c r="B786" s="2" t="s">
        <v>2225</v>
      </c>
      <c r="C786" s="2" t="s">
        <v>2226</v>
      </c>
      <c r="D786" s="2" t="s">
        <v>57</v>
      </c>
      <c r="E786" s="2" t="s">
        <v>14</v>
      </c>
      <c r="F786" s="2" t="s">
        <v>15</v>
      </c>
      <c r="G786" s="2" t="s">
        <v>1050</v>
      </c>
      <c r="H786" s="2" t="s">
        <v>185</v>
      </c>
      <c r="I786" s="2" t="str">
        <f>IFERROR(__xludf.DUMMYFUNCTION("GOOGLETRANSLATE(C786,""fr"",""en"")"),"I am satisfied with the prices offered and customer service by phone. The advisers are listening and the care is generally very fast, I recommend the olive assurance")</f>
        <v>I am satisfied with the prices offered and customer service by phone. The advisers are listening and the care is generally very fast, I recommend the olive assurance</v>
      </c>
    </row>
    <row r="787" ht="15.75" customHeight="1">
      <c r="A787" s="2">
        <v>5.0</v>
      </c>
      <c r="B787" s="2" t="s">
        <v>2227</v>
      </c>
      <c r="C787" s="2" t="s">
        <v>2228</v>
      </c>
      <c r="D787" s="2" t="s">
        <v>57</v>
      </c>
      <c r="E787" s="2" t="s">
        <v>14</v>
      </c>
      <c r="F787" s="2" t="s">
        <v>15</v>
      </c>
      <c r="G787" s="2" t="s">
        <v>556</v>
      </c>
      <c r="H787" s="2" t="s">
        <v>185</v>
      </c>
      <c r="I787" s="2" t="str">
        <f>IFERROR(__xludf.DUMMYFUNCTION("GOOGLETRANSLATE(C787,""fr"",""en"")"),"I am delighted with service and price, and listening as soon as you want information we find solutions with the professional services offered")</f>
        <v>I am delighted with service and price, and listening as soon as you want information we find solutions with the professional services offered</v>
      </c>
    </row>
    <row r="788" ht="15.75" customHeight="1">
      <c r="A788" s="2">
        <v>2.0</v>
      </c>
      <c r="B788" s="2" t="s">
        <v>2229</v>
      </c>
      <c r="C788" s="2" t="s">
        <v>2230</v>
      </c>
      <c r="D788" s="2" t="s">
        <v>26</v>
      </c>
      <c r="E788" s="2" t="s">
        <v>14</v>
      </c>
      <c r="F788" s="2" t="s">
        <v>15</v>
      </c>
      <c r="G788" s="2" t="s">
        <v>909</v>
      </c>
      <c r="H788" s="2" t="s">
        <v>185</v>
      </c>
      <c r="I788" s="2" t="str">
        <f>IFERROR(__xludf.DUMMYFUNCTION("GOOGLETRANSLATE(C788,""fr"",""en"")"),"The price is no longer so interesting as that over the years, nor the coverage.
I will go to the broker side if the grass is greener. Thank you for these few years in your company.")</f>
        <v>The price is no longer so interesting as that over the years, nor the coverage.
I will go to the broker side if the grass is greener. Thank you for these few years in your company.</v>
      </c>
    </row>
    <row r="789" ht="15.75" customHeight="1">
      <c r="A789" s="2">
        <v>2.0</v>
      </c>
      <c r="B789" s="2" t="s">
        <v>2231</v>
      </c>
      <c r="C789" s="2" t="s">
        <v>2232</v>
      </c>
      <c r="D789" s="2" t="s">
        <v>338</v>
      </c>
      <c r="E789" s="2" t="s">
        <v>14</v>
      </c>
      <c r="F789" s="2" t="s">
        <v>15</v>
      </c>
      <c r="G789" s="2" t="s">
        <v>2233</v>
      </c>
      <c r="H789" s="2" t="s">
        <v>54</v>
      </c>
      <c r="I789" s="2" t="str">
        <f>IFERROR(__xludf.DUMMYFUNCTION("GOOGLETRANSLATE(C789,""fr"",""en"")"),"Agent who attracts you with its prices but which is not reliable! Corrupted subscription tools that generate offstuffs. Not taken into account the supporting documents. Abusive termination for the sole purpose of invoicing costs. To flee !")</f>
        <v>Agent who attracts you with its prices but which is not reliable! Corrupted subscription tools that generate offstuffs. Not taken into account the supporting documents. Abusive termination for the sole purpose of invoicing costs. To flee !</v>
      </c>
    </row>
    <row r="790" ht="15.75" customHeight="1">
      <c r="A790" s="2">
        <v>1.0</v>
      </c>
      <c r="B790" s="2" t="s">
        <v>2234</v>
      </c>
      <c r="C790" s="2" t="s">
        <v>2235</v>
      </c>
      <c r="D790" s="2" t="s">
        <v>20</v>
      </c>
      <c r="E790" s="2" t="s">
        <v>21</v>
      </c>
      <c r="F790" s="2" t="s">
        <v>15</v>
      </c>
      <c r="G790" s="2" t="s">
        <v>2236</v>
      </c>
      <c r="H790" s="2" t="s">
        <v>353</v>
      </c>
      <c r="I790" s="2" t="str">
        <f>IFERROR(__xludf.DUMMYFUNCTION("GOOGLETRANSLATE(C790,""fr"",""en"")"),"Lamentable !!!!!!")</f>
        <v>Lamentable !!!!!!</v>
      </c>
    </row>
    <row r="791" ht="15.75" customHeight="1">
      <c r="A791" s="2">
        <v>3.0</v>
      </c>
      <c r="B791" s="2" t="s">
        <v>2237</v>
      </c>
      <c r="C791" s="2" t="s">
        <v>2238</v>
      </c>
      <c r="D791" s="2" t="s">
        <v>26</v>
      </c>
      <c r="E791" s="2" t="s">
        <v>14</v>
      </c>
      <c r="F791" s="2" t="s">
        <v>15</v>
      </c>
      <c r="G791" s="2" t="s">
        <v>475</v>
      </c>
      <c r="H791" s="2" t="s">
        <v>81</v>
      </c>
      <c r="I791" s="2" t="str">
        <f>IFERROR(__xludf.DUMMYFUNCTION("GOOGLETRANSLATE(C791,""fr"",""en"")"),"Nothing to say for the moment. We will see once the contract en route if all me
Agrees.
For the moment attractive price; To see if the steps with the former insurer will go well")</f>
        <v>Nothing to say for the moment. We will see once the contract en route if all me
Agrees.
For the moment attractive price; To see if the steps with the former insurer will go well</v>
      </c>
    </row>
    <row r="792" ht="15.75" customHeight="1">
      <c r="A792" s="2">
        <v>3.0</v>
      </c>
      <c r="B792" s="2" t="s">
        <v>2239</v>
      </c>
      <c r="C792" s="2" t="s">
        <v>2240</v>
      </c>
      <c r="D792" s="2" t="s">
        <v>188</v>
      </c>
      <c r="E792" s="2" t="s">
        <v>14</v>
      </c>
      <c r="F792" s="2" t="s">
        <v>15</v>
      </c>
      <c r="G792" s="2" t="s">
        <v>1086</v>
      </c>
      <c r="H792" s="2" t="s">
        <v>28</v>
      </c>
      <c r="I792" s="2" t="str">
        <f>IFERROR(__xludf.DUMMYFUNCTION("GOOGLETRANSLATE(C792,""fr"",""en"")"),"We are satisfied with the services and the quality of contacts. We have used auto assistance and impeccable nothing to complain about. We recommend GMF.")</f>
        <v>We are satisfied with the services and the quality of contacts. We have used auto assistance and impeccable nothing to complain about. We recommend GMF.</v>
      </c>
    </row>
    <row r="793" ht="15.75" customHeight="1">
      <c r="A793" s="2">
        <v>2.0</v>
      </c>
      <c r="B793" s="2" t="s">
        <v>2241</v>
      </c>
      <c r="C793" s="2" t="s">
        <v>2242</v>
      </c>
      <c r="D793" s="2" t="s">
        <v>84</v>
      </c>
      <c r="E793" s="2" t="s">
        <v>14</v>
      </c>
      <c r="F793" s="2" t="s">
        <v>15</v>
      </c>
      <c r="G793" s="2" t="s">
        <v>319</v>
      </c>
      <c r="H793" s="2" t="s">
        <v>140</v>
      </c>
      <c r="I793" s="2" t="str">
        <f>IFERROR(__xludf.DUMMYFUNCTION("GOOGLETRANSLATE(C793,""fr"",""en"")"),"More than an hour late at the meeting point set by MAIF for self-repair, without even warning. The missioned convenience store (service 24 near Grenoble) who finally came to find it ""normal"" that customers are waiting for!
We pay for very expensive car"&amp;" insurance, we use it once all the deaths of Pope, and when we need it, the service is poor. Find the mistake...")</f>
        <v>More than an hour late at the meeting point set by MAIF for self-repair, without even warning. The missioned convenience store (service 24 near Grenoble) who finally came to find it "normal" that customers are waiting for!
We pay for very expensive car insurance, we use it once all the deaths of Pope, and when we need it, the service is poor. Find the mistake...</v>
      </c>
    </row>
    <row r="794" ht="15.75" customHeight="1">
      <c r="A794" s="2">
        <v>5.0</v>
      </c>
      <c r="B794" s="2" t="s">
        <v>2243</v>
      </c>
      <c r="C794" s="2" t="s">
        <v>2244</v>
      </c>
      <c r="D794" s="2" t="s">
        <v>26</v>
      </c>
      <c r="E794" s="2" t="s">
        <v>104</v>
      </c>
      <c r="F794" s="2" t="s">
        <v>15</v>
      </c>
      <c r="G794" s="2" t="s">
        <v>2245</v>
      </c>
      <c r="H794" s="2" t="s">
        <v>208</v>
      </c>
      <c r="I794" s="2" t="str">
        <f>IFERROR(__xludf.DUMMYFUNCTION("GOOGLETRANSLATE(C794,""fr"",""en"")"),"I am very satisfied with the online service to prepare and request a quote. It's simple and quite fast. For prices they are really correct.")</f>
        <v>I am very satisfied with the online service to prepare and request a quote. It's simple and quite fast. For prices they are really correct.</v>
      </c>
    </row>
    <row r="795" ht="15.75" customHeight="1">
      <c r="A795" s="2">
        <v>1.0</v>
      </c>
      <c r="B795" s="2" t="s">
        <v>2246</v>
      </c>
      <c r="C795" s="2" t="s">
        <v>2247</v>
      </c>
      <c r="D795" s="2" t="s">
        <v>192</v>
      </c>
      <c r="E795" s="2" t="s">
        <v>21</v>
      </c>
      <c r="F795" s="2" t="s">
        <v>15</v>
      </c>
      <c r="G795" s="2" t="s">
        <v>1928</v>
      </c>
      <c r="H795" s="2" t="s">
        <v>185</v>
      </c>
      <c r="I795" s="2" t="str">
        <f>IFERROR(__xludf.DUMMYFUNCTION("GOOGLETRANSLATE(C795,""fr"",""en"")"),"Mutual formerly serious who has misguided and now spoil his former teachers members providing them with only a minimum coverage when they need help. Have the financiers of the beneficiaries took possession of this mutual?
Having contributed for 50 years "&amp;"does not even allow you access to a single room in a health home or decent dental coverage. The MGEN is a mutual of shame which gives itself a good multiculturalist conscience.
The MGEN punctuates its teachers members as a high -end mutual while providin"&amp;"g them with coverage often equal to that of the CMU ...")</f>
        <v>Mutual formerly serious who has misguided and now spoil his former teachers members providing them with only a minimum coverage when they need help. Have the financiers of the beneficiaries took possession of this mutual?
Having contributed for 50 years does not even allow you access to a single room in a health home or decent dental coverage. The MGEN is a mutual of shame which gives itself a good multiculturalist conscience.
The MGEN punctuates its teachers members as a high -end mutual while providing them with coverage often equal to that of the CMU ...</v>
      </c>
    </row>
    <row r="796" ht="15.75" customHeight="1">
      <c r="A796" s="2">
        <v>3.0</v>
      </c>
      <c r="B796" s="2" t="s">
        <v>2248</v>
      </c>
      <c r="C796" s="2" t="s">
        <v>2249</v>
      </c>
      <c r="D796" s="2" t="s">
        <v>57</v>
      </c>
      <c r="E796" s="2" t="s">
        <v>14</v>
      </c>
      <c r="F796" s="2" t="s">
        <v>15</v>
      </c>
      <c r="G796" s="2" t="s">
        <v>2250</v>
      </c>
      <c r="H796" s="2" t="s">
        <v>515</v>
      </c>
      <c r="I796" s="2" t="str">
        <f>IFERROR(__xludf.DUMMYFUNCTION("GOOGLETRANSLATE(C796,""fr"",""en"")"),"I am satisfied with the service The price is correct
 To see in use and over time for now everything is OK for me
 That's why I signed this contract")</f>
        <v>I am satisfied with the service The price is correct
 To see in use and over time for now everything is OK for me
 That's why I signed this contract</v>
      </c>
    </row>
    <row r="797" ht="15.75" customHeight="1">
      <c r="A797" s="2">
        <v>4.0</v>
      </c>
      <c r="B797" s="2" t="s">
        <v>2251</v>
      </c>
      <c r="C797" s="2" t="s">
        <v>2252</v>
      </c>
      <c r="D797" s="2" t="s">
        <v>26</v>
      </c>
      <c r="E797" s="2" t="s">
        <v>14</v>
      </c>
      <c r="F797" s="2" t="s">
        <v>15</v>
      </c>
      <c r="G797" s="2" t="s">
        <v>1826</v>
      </c>
      <c r="H797" s="2" t="s">
        <v>34</v>
      </c>
      <c r="I797" s="2" t="str">
        <f>IFERROR(__xludf.DUMMYFUNCTION("GOOGLETRANSLATE(C797,""fr"",""en"")"),"I am satisfied with the service . I would like you to take care of the cancellation formalities of my preceding contract as you have kindly offered me")</f>
        <v>I am satisfied with the service . I would like you to take care of the cancellation formalities of my preceding contract as you have kindly offered me</v>
      </c>
    </row>
    <row r="798" ht="15.75" customHeight="1">
      <c r="A798" s="2">
        <v>5.0</v>
      </c>
      <c r="B798" s="2" t="s">
        <v>2253</v>
      </c>
      <c r="C798" s="2" t="s">
        <v>2254</v>
      </c>
      <c r="D798" s="2" t="s">
        <v>152</v>
      </c>
      <c r="E798" s="2" t="s">
        <v>21</v>
      </c>
      <c r="F798" s="2" t="s">
        <v>15</v>
      </c>
      <c r="G798" s="2" t="s">
        <v>2255</v>
      </c>
      <c r="H798" s="2" t="s">
        <v>208</v>
      </c>
      <c r="I798" s="2" t="str">
        <f>IFERROR(__xludf.DUMMYFUNCTION("GOOGLETRANSLATE(C798,""fr"",""en"")"),"Hello,
We have called a few times.
Each time, good welcome, attentive.
Pleasant and helpful interlocutors.
During the last call (this day), no one so pleasant that we could perceive his smiles through the phone. It puts balm in the heart of fine morni"&amp;"ng when we call for a problem.
A big thank you to each for your help and your work.")</f>
        <v>Hello,
We have called a few times.
Each time, good welcome, attentive.
Pleasant and helpful interlocutors.
During the last call (this day), no one so pleasant that we could perceive his smiles through the phone. It puts balm in the heart of fine morning when we call for a problem.
A big thank you to each for your help and your work.</v>
      </c>
    </row>
    <row r="799" ht="15.75" customHeight="1">
      <c r="A799" s="2">
        <v>4.0</v>
      </c>
      <c r="B799" s="2" t="s">
        <v>2256</v>
      </c>
      <c r="C799" s="2" t="s">
        <v>2257</v>
      </c>
      <c r="D799" s="2" t="s">
        <v>57</v>
      </c>
      <c r="E799" s="2" t="s">
        <v>14</v>
      </c>
      <c r="F799" s="2" t="s">
        <v>15</v>
      </c>
      <c r="G799" s="2" t="s">
        <v>90</v>
      </c>
      <c r="H799" s="2" t="s">
        <v>90</v>
      </c>
      <c r="I799" s="2" t="str">
        <f>IFERROR(__xludf.DUMMYFUNCTION("GOOGLETRANSLATE(C799,""fr"",""en"")"),"I am satisfied with the 1st contact for subscription. Very attractive price hoping that customer service is as much available and pleasant if necessary.")</f>
        <v>I am satisfied with the 1st contact for subscription. Very attractive price hoping that customer service is as much available and pleasant if necessary.</v>
      </c>
    </row>
    <row r="800" ht="15.75" customHeight="1">
      <c r="A800" s="2">
        <v>1.0</v>
      </c>
      <c r="B800" s="2" t="s">
        <v>2258</v>
      </c>
      <c r="C800" s="2" t="s">
        <v>2259</v>
      </c>
      <c r="D800" s="2" t="s">
        <v>84</v>
      </c>
      <c r="E800" s="2" t="s">
        <v>104</v>
      </c>
      <c r="F800" s="2" t="s">
        <v>15</v>
      </c>
      <c r="G800" s="2" t="s">
        <v>566</v>
      </c>
      <c r="H800" s="2" t="s">
        <v>566</v>
      </c>
      <c r="I800" s="2" t="str">
        <f>IFERROR(__xludf.DUMMYFUNCTION("GOOGLETRANSLATE(C800,""fr"",""en"")"),"The MAIF invented us a disaster to our twists in 2012. We were unfortunately not vigilant on the information statements we did not see that the increase coefficient had increased to 1.
Now that we ask them for explanations they are unable to answer us! S"&amp;"upposedly q everything has been thrown! Only 7 years later !!
They cannot even give us the name of the person with whom we had one evening saying sinister or even the circumstances!")</f>
        <v>The MAIF invented us a disaster to our twists in 2012. We were unfortunately not vigilant on the information statements we did not see that the increase coefficient had increased to 1.
Now that we ask them for explanations they are unable to answer us! Supposedly q everything has been thrown! Only 7 years later !!
They cannot even give us the name of the person with whom we had one evening saying sinister or even the circumstances!</v>
      </c>
    </row>
    <row r="801" ht="15.75" customHeight="1">
      <c r="A801" s="2">
        <v>1.0</v>
      </c>
      <c r="B801" s="2" t="s">
        <v>1581</v>
      </c>
      <c r="C801" s="2" t="s">
        <v>1582</v>
      </c>
      <c r="D801" s="2" t="s">
        <v>48</v>
      </c>
      <c r="E801" s="2" t="s">
        <v>21</v>
      </c>
      <c r="F801" s="2" t="s">
        <v>15</v>
      </c>
      <c r="G801" s="2" t="s">
        <v>1583</v>
      </c>
      <c r="H801" s="2" t="s">
        <v>201</v>
      </c>
      <c r="I801" s="2" t="str">
        <f>IFERROR(__xludf.DUMMYFUNCTION("GOOGLETRANSLATE(C801,""fr"",""en"")"),"As read in the comments, the implementation of the remote transmission is awful, contacts with impossible insurance and reimbursements are not made. After sending my certificate at least three times by email, with acknowledgment of receipt, they finally r"&amp;"eacted, but following a complaint filing. Frankly, it's heartbreaking. To get more than a response that is simply a nonsense. I strongly advise against anyone to subscribe. In addition, online customer spaces are useless, requests remain in all expectatio"&amp;"ns without ever being processed. I am waiting for my two years of reimbursements on my side ...")</f>
        <v>As read in the comments, the implementation of the remote transmission is awful, contacts with impossible insurance and reimbursements are not made. After sending my certificate at least three times by email, with acknowledgment of receipt, they finally reacted, but following a complaint filing. Frankly, it's heartbreaking. To get more than a response that is simply a nonsense. I strongly advise against anyone to subscribe. In addition, online customer spaces are useless, requests remain in all expectations without ever being processed. I am waiting for my two years of reimbursements on my side ...</v>
      </c>
    </row>
    <row r="802" ht="15.75" customHeight="1">
      <c r="A802" s="2">
        <v>3.0</v>
      </c>
      <c r="B802" s="2" t="s">
        <v>2260</v>
      </c>
      <c r="C802" s="2" t="s">
        <v>2261</v>
      </c>
      <c r="D802" s="2" t="s">
        <v>26</v>
      </c>
      <c r="E802" s="2" t="s">
        <v>14</v>
      </c>
      <c r="F802" s="2" t="s">
        <v>15</v>
      </c>
      <c r="G802" s="2" t="s">
        <v>2080</v>
      </c>
      <c r="H802" s="2" t="s">
        <v>28</v>
      </c>
      <c r="I802" s="2" t="str">
        <f>IFERROR(__xludf.DUMMYFUNCTION("GOOGLETRANSLATE(C802,""fr"",""en"")"),"When we go to Direct Insurance, it's impeccable, but then the prices of contributions are burying over the years (increases of 7 to 10% or inflation is only 2 to 3%/year), in fact After 3 to 4 years you have to change with a new insurer, and it's the same"&amp;" thing with the new !, After 3 to 4 years we can return to Direct Insurance with competitive price, and it starts again !!! etc ... Full the back of these carpet merchants!")</f>
        <v>When we go to Direct Insurance, it's impeccable, but then the prices of contributions are burying over the years (increases of 7 to 10% or inflation is only 2 to 3%/year), in fact After 3 to 4 years you have to change with a new insurer, and it's the same thing with the new !, After 3 to 4 years we can return to Direct Insurance with competitive price, and it starts again !!! etc ... Full the back of these carpet merchants!</v>
      </c>
    </row>
    <row r="803" ht="15.75" customHeight="1">
      <c r="A803" s="2">
        <v>1.0</v>
      </c>
      <c r="B803" s="2" t="s">
        <v>2262</v>
      </c>
      <c r="C803" s="2" t="s">
        <v>2263</v>
      </c>
      <c r="D803" s="2" t="s">
        <v>26</v>
      </c>
      <c r="E803" s="2" t="s">
        <v>14</v>
      </c>
      <c r="F803" s="2" t="s">
        <v>15</v>
      </c>
      <c r="G803" s="2" t="s">
        <v>2264</v>
      </c>
      <c r="H803" s="2" t="s">
        <v>70</v>
      </c>
      <c r="I803" s="2" t="str">
        <f>IFERROR(__xludf.DUMMYFUNCTION("GOOGLETRANSLATE(C803,""fr"",""en"")"),"The first year with a penalty of 0.95 Fire flight € 655/year, 2nd year with penalties 0.90 fire flight, € 978")</f>
        <v>The first year with a penalty of 0.95 Fire flight € 655/year, 2nd year with penalties 0.90 fire flight, € 978</v>
      </c>
    </row>
    <row r="804" ht="15.75" customHeight="1">
      <c r="A804" s="2">
        <v>1.0</v>
      </c>
      <c r="B804" s="2" t="s">
        <v>2265</v>
      </c>
      <c r="C804" s="2" t="s">
        <v>2266</v>
      </c>
      <c r="D804" s="2" t="s">
        <v>143</v>
      </c>
      <c r="E804" s="2" t="s">
        <v>109</v>
      </c>
      <c r="F804" s="2" t="s">
        <v>15</v>
      </c>
      <c r="G804" s="2" t="s">
        <v>302</v>
      </c>
      <c r="H804" s="2" t="s">
        <v>28</v>
      </c>
      <c r="I804" s="2" t="str">
        <f>IFERROR(__xludf.DUMMYFUNCTION("GOOGLETRANSLATE(C804,""fr"",""en"")")," Hello, Liberal nurse on sick leave since April 2, 2018 followed by a disability with third person I requested, on September 30, 2020, with CNP assurances the triggering of the PTIA warranty as part of my Immobiler loan. To this request I have joined in t"&amp;"he LRAR all the pensioners requested: the statutes of the Carpimko (provident and retirement fund of medical auxiliaries assimilated to the CPAM), the medical certificate of disability filled by my attending physician, a Medical certificate established by"&amp;" my attending physician, a copy of a medical expertise to which I was submitted, the notification of the Carpimko (my pension and retirement fund) of total disability with the need for a third party (in the oceurence My spouse who therefore had to stop hi"&amp;"s professional activity), the notifications of the assignment MDPH, permanently of an incapacity rate&gt; or equal to 80%, the allocation of the inclusion mobility card mention Invalidity, the 'Assignment of the disabled adult allowance, the allocation of th"&amp;"e disability compensation provision, the allocation of parenting assistance The reports of consultations with my rheumatologist and hospitalization, medical prescriptions s, biology results, the medical certificate established by my psychiatrist, my opini"&amp;"ons of A = work of work since April 2, 2018, my care protocols, my reports of additional examinations (radio, MRI ...). By mail dated June 14, 2021, CNP Assurance asks me for a ""title"" of pension 3rd category with third -party allowance assigned by the "&amp;"Carpimko because the certificate issued by the latter would not be admissible ..... ????. .. request to which I respond immediately by joining, by email a new certificate requested from the Carpimko in which it is expressly indicated, in bold, that the Ca"&amp;"rpimko does not attribute any category of invalidity; On this certificate it is, again specified that HE benefits from the total disability pension increased for third person ... What is more necessary at CNP Assurances? .... next month will be 1 year !!!"&amp;"! That I asked for the triggering of the PTIA warranty at CNP Assurances. Know, madam, sir, that the particularly long and scandalous deadlines of my file only participate in the degradation of my state of health.")</f>
        <v> Hello, Liberal nurse on sick leave since April 2, 2018 followed by a disability with third person I requested, on September 30, 2020, with CNP assurances the triggering of the PTIA warranty as part of my Immobiler loan. To this request I have joined in the LRAR all the pensioners requested: the statutes of the Carpimko (provident and retirement fund of medical auxiliaries assimilated to the CPAM), the medical certificate of disability filled by my attending physician, a Medical certificate established by my attending physician, a copy of a medical expertise to which I was submitted, the notification of the Carpimko (my pension and retirement fund) of total disability with the need for a third party (in the oceurence My spouse who therefore had to stop his professional activity), the notifications of the assignment MDPH, permanently of an incapacity rate&gt; or equal to 80%, the allocation of the inclusion mobility card mention Invalidity, the 'Assignment of the disabled adult allowance, the allocation of the disability compensation provision, the allocation of parenting assistance The reports of consultations with my rheumatologist and hospitalization, medical prescriptions s, biology results, the medical certificate established by my psychiatrist, my opinions of A = work of work since April 2, 2018, my care protocols, my reports of additional examinations (radio, MRI ...). By mail dated June 14, 2021, CNP Assurance asks me for a "title" of pension 3rd category with third -party allowance assigned by the Carpimko because the certificate issued by the latter would not be admissible ..... ????. .. request to which I respond immediately by joining, by email a new certificate requested from the Carpimko in which it is expressly indicated, in bold, that the Carpimko does not attribute any category of invalidity; On this certificate it is, again specified that HE benefits from the total disability pension increased for third person ... What is more necessary at CNP Assurances? .... next month will be 1 year !!!! That I asked for the triggering of the PTIA warranty at CNP Assurances. Know, madam, sir, that the particularly long and scandalous deadlines of my file only participate in the degradation of my state of health.</v>
      </c>
    </row>
    <row r="805" ht="15.75" customHeight="1">
      <c r="A805" s="2">
        <v>3.0</v>
      </c>
      <c r="B805" s="2" t="s">
        <v>2267</v>
      </c>
      <c r="C805" s="2" t="s">
        <v>2268</v>
      </c>
      <c r="D805" s="2" t="s">
        <v>69</v>
      </c>
      <c r="E805" s="2" t="s">
        <v>21</v>
      </c>
      <c r="F805" s="2" t="s">
        <v>15</v>
      </c>
      <c r="G805" s="2" t="s">
        <v>2269</v>
      </c>
      <c r="H805" s="2" t="s">
        <v>926</v>
      </c>
      <c r="I805" s="2" t="str">
        <f>IFERROR(__xludf.DUMMYFUNCTION("GOOGLETRANSLATE(C805,""fr"",""en"")"),"My telephone correspondent Rali knew how to respond perfectly with kindness and competence to questions concerning technical aspects of medical services thank you for his patience and his availability")</f>
        <v>My telephone correspondent Rali knew how to respond perfectly with kindness and competence to questions concerning technical aspects of medical services thank you for his patience and his availability</v>
      </c>
    </row>
    <row r="806" ht="15.75" customHeight="1">
      <c r="A806" s="2">
        <v>5.0</v>
      </c>
      <c r="B806" s="2" t="s">
        <v>2270</v>
      </c>
      <c r="C806" s="2" t="s">
        <v>2271</v>
      </c>
      <c r="D806" s="2" t="s">
        <v>26</v>
      </c>
      <c r="E806" s="2" t="s">
        <v>14</v>
      </c>
      <c r="F806" s="2" t="s">
        <v>15</v>
      </c>
      <c r="G806" s="2" t="s">
        <v>1826</v>
      </c>
      <c r="H806" s="2" t="s">
        <v>34</v>
      </c>
      <c r="I806" s="2" t="str">
        <f>IFERROR(__xludf.DUMMYFUNCTION("GOOGLETRANSLATE(C806,""fr"",""en"")"),"I am satisfied with the service and the prices charged, I had a little trouble connecting, on my own, but once it happens normally")</f>
        <v>I am satisfied with the service and the prices charged, I had a little trouble connecting, on my own, but once it happens normally</v>
      </c>
    </row>
    <row r="807" ht="15.75" customHeight="1">
      <c r="A807" s="2">
        <v>4.0</v>
      </c>
      <c r="B807" s="2" t="s">
        <v>2272</v>
      </c>
      <c r="C807" s="2" t="s">
        <v>2273</v>
      </c>
      <c r="D807" s="2" t="s">
        <v>37</v>
      </c>
      <c r="E807" s="2" t="s">
        <v>38</v>
      </c>
      <c r="F807" s="2" t="s">
        <v>15</v>
      </c>
      <c r="G807" s="2" t="s">
        <v>2274</v>
      </c>
      <c r="H807" s="2" t="s">
        <v>81</v>
      </c>
      <c r="I807" s="2" t="str">
        <f>IFERROR(__xludf.DUMMYFUNCTION("GOOGLETRANSLATE(C807,""fr"",""en"")"),"I am satisfied with the speed of the site the prices on the other hand its one can dear but good its head an insurance I hope to keep it for a long time thank you amv")</f>
        <v>I am satisfied with the speed of the site the prices on the other hand its one can dear but good its head an insurance I hope to keep it for a long time thank you amv</v>
      </c>
    </row>
    <row r="808" ht="15.75" customHeight="1">
      <c r="A808" s="2">
        <v>4.0</v>
      </c>
      <c r="B808" s="2" t="s">
        <v>2275</v>
      </c>
      <c r="C808" s="2" t="s">
        <v>2276</v>
      </c>
      <c r="D808" s="2" t="s">
        <v>188</v>
      </c>
      <c r="E808" s="2" t="s">
        <v>14</v>
      </c>
      <c r="F808" s="2" t="s">
        <v>15</v>
      </c>
      <c r="G808" s="2" t="s">
        <v>189</v>
      </c>
      <c r="H808" s="2" t="s">
        <v>28</v>
      </c>
      <c r="I808" s="2" t="str">
        <f>IFERROR(__xludf.DUMMYFUNCTION("GOOGLETRANSLATE(C808,""fr"",""en"")"),"Very good customer service whenever necessary, professional, attentive, responsive, really satisfied.
Suitable price.
Interesting global offer.
Practical website to carry out the procedures")</f>
        <v>Very good customer service whenever necessary, professional, attentive, responsive, really satisfied.
Suitable price.
Interesting global offer.
Practical website to carry out the procedures</v>
      </c>
    </row>
    <row r="809" ht="15.75" customHeight="1">
      <c r="A809" s="2">
        <v>1.0</v>
      </c>
      <c r="B809" s="2" t="s">
        <v>2277</v>
      </c>
      <c r="C809" s="2" t="s">
        <v>2278</v>
      </c>
      <c r="D809" s="2" t="s">
        <v>291</v>
      </c>
      <c r="E809" s="2" t="s">
        <v>21</v>
      </c>
      <c r="F809" s="2" t="s">
        <v>15</v>
      </c>
      <c r="G809" s="2" t="s">
        <v>909</v>
      </c>
      <c r="H809" s="2" t="s">
        <v>185</v>
      </c>
      <c r="I809" s="2" t="str">
        <f>IFERROR(__xludf.DUMMYFUNCTION("GOOGLETRANSLATE(C809,""fr"",""en"")"),"Refund with option no one does not correspond to the documentation.
Orthopedic sole Small equipment 2x 65 €. Security reimbursement 2x 14, € 43
Viassance with option 2x 4, € 33
 (AG2R Angoulème on documentation with option + € 61 per calendar year?)
O"&amp;"riginal invoice put in mailbox. Nonexistent agency No contact
")</f>
        <v>Refund with option no one does not correspond to the documentation.
Orthopedic sole Small equipment 2x 65 €. Security reimbursement 2x 14, € 43
Viassance with option 2x 4, € 33
 (AG2R Angoulème on documentation with option + € 61 per calendar year?)
Original invoice put in mailbox. Nonexistent agency No contact
</v>
      </c>
    </row>
    <row r="810" ht="15.75" customHeight="1">
      <c r="A810" s="2">
        <v>1.0</v>
      </c>
      <c r="B810" s="2" t="s">
        <v>2279</v>
      </c>
      <c r="C810" s="2" t="s">
        <v>2280</v>
      </c>
      <c r="D810" s="2" t="s">
        <v>103</v>
      </c>
      <c r="E810" s="2" t="s">
        <v>104</v>
      </c>
      <c r="F810" s="2" t="s">
        <v>15</v>
      </c>
      <c r="G810" s="2" t="s">
        <v>2281</v>
      </c>
      <c r="H810" s="2" t="s">
        <v>115</v>
      </c>
      <c r="I810" s="2" t="str">
        <f>IFERROR(__xludf.DUMMYFUNCTION("GOOGLETRANSLATE(C810,""fr"",""en"")"),"Following a flood in June, they sent a bizard expert who has undergreed the losses for example a Sharan seat at 20 € and it is not finished the wall falls in ruins (you must leave it dried) its more than 6 month!!!
Avoid this insurance in the north of Fr"&amp;"ance
")</f>
        <v>Following a flood in June, they sent a bizard expert who has undergreed the losses for example a Sharan seat at 20 € and it is not finished the wall falls in ruins (you must leave it dried) its more than 6 month!!!
Avoid this insurance in the north of France
</v>
      </c>
    </row>
    <row r="811" ht="15.75" customHeight="1">
      <c r="A811" s="2">
        <v>2.0</v>
      </c>
      <c r="B811" s="2" t="s">
        <v>2282</v>
      </c>
      <c r="C811" s="2" t="s">
        <v>2283</v>
      </c>
      <c r="D811" s="2" t="s">
        <v>57</v>
      </c>
      <c r="E811" s="2" t="s">
        <v>14</v>
      </c>
      <c r="F811" s="2" t="s">
        <v>15</v>
      </c>
      <c r="G811" s="2" t="s">
        <v>2284</v>
      </c>
      <c r="H811" s="2" t="s">
        <v>126</v>
      </c>
      <c r="I811" s="2" t="str">
        <f>IFERROR(__xludf.DUMMYFUNCTION("GOOGLETRANSLATE(C811,""fr"",""en"")"),"
I have taken out a contract with this insurer with January 6, 2017. To date, I only obtained a provisional green card until June 9 (???). On this date, I sent a photocopy of the driving license, the previous sent not being, in their opinion, full ... I "&amp;"just called them (2 calls including one of 17 minutes ... for a person in front Inquire ... without follow -up ...). The second person tells me that the card was sent on June 19, but I did not receive it!
What will he be in the event of a claim?")</f>
        <v>
I have taken out a contract with this insurer with January 6, 2017. To date, I only obtained a provisional green card until June 9 (???). On this date, I sent a photocopy of the driving license, the previous sent not being, in their opinion, full ... I just called them (2 calls including one of 17 minutes ... for a person in front Inquire ... without follow -up ...). The second person tells me that the card was sent on June 19, but I did not receive it!
What will he be in the event of a claim?</v>
      </c>
    </row>
    <row r="812" ht="15.75" customHeight="1">
      <c r="A812" s="2">
        <v>2.0</v>
      </c>
      <c r="B812" s="2" t="s">
        <v>2285</v>
      </c>
      <c r="C812" s="2" t="s">
        <v>2286</v>
      </c>
      <c r="D812" s="2" t="s">
        <v>571</v>
      </c>
      <c r="E812" s="2" t="s">
        <v>21</v>
      </c>
      <c r="F812" s="2" t="s">
        <v>15</v>
      </c>
      <c r="G812" s="2" t="s">
        <v>1592</v>
      </c>
      <c r="H812" s="2" t="s">
        <v>140</v>
      </c>
      <c r="I812" s="2" t="str">
        <f>IFERROR(__xludf.DUMMYFUNCTION("GOOGLETRANSLATE(C812,""fr"",""en"")"),"I see no way to create an account a star I think that is too much if I had a possibility I will put Zero Star, I spent more than 3 hours to achieve nothing I hope that I will have a better result by telephone.
Santiago")</f>
        <v>I see no way to create an account a star I think that is too much if I had a possibility I will put Zero Star, I spent more than 3 hours to achieve nothing I hope that I will have a better result by telephone.
Santiago</v>
      </c>
    </row>
    <row r="813" ht="15.75" customHeight="1">
      <c r="A813" s="2">
        <v>4.0</v>
      </c>
      <c r="B813" s="2" t="s">
        <v>2287</v>
      </c>
      <c r="C813" s="2" t="s">
        <v>2288</v>
      </c>
      <c r="D813" s="2" t="s">
        <v>69</v>
      </c>
      <c r="E813" s="2" t="s">
        <v>21</v>
      </c>
      <c r="F813" s="2" t="s">
        <v>15</v>
      </c>
      <c r="G813" s="2" t="s">
        <v>508</v>
      </c>
      <c r="H813" s="2" t="s">
        <v>140</v>
      </c>
      <c r="I813" s="2" t="str">
        <f>IFERROR(__xludf.DUMMYFUNCTION("GOOGLETRANSLATE(C813,""fr"",""en"")"),"Very satisfied by the reception and the information provided by Diallo. My problems were quickly solved.
Courteous and efficient, it was precious help.")</f>
        <v>Very satisfied by the reception and the information provided by Diallo. My problems were quickly solved.
Courteous and efficient, it was precious help.</v>
      </c>
    </row>
    <row r="814" ht="15.75" customHeight="1">
      <c r="A814" s="2">
        <v>5.0</v>
      </c>
      <c r="B814" s="2" t="s">
        <v>2289</v>
      </c>
      <c r="C814" s="2" t="s">
        <v>2290</v>
      </c>
      <c r="D814" s="2" t="s">
        <v>26</v>
      </c>
      <c r="E814" s="2" t="s">
        <v>14</v>
      </c>
      <c r="F814" s="2" t="s">
        <v>15</v>
      </c>
      <c r="G814" s="2" t="s">
        <v>33</v>
      </c>
      <c r="H814" s="2" t="s">
        <v>34</v>
      </c>
      <c r="I814" s="2" t="str">
        <f>IFERROR(__xludf.DUMMYFUNCTION("GOOGLETRANSLATE(C814,""fr"",""en"")"),"Service in accordance with the expected, price of correct insurance premiums, formulas adapted to vehicles and insured persons, customer service fairly easy to reach.")</f>
        <v>Service in accordance with the expected, price of correct insurance premiums, formulas adapted to vehicles and insured persons, customer service fairly easy to reach.</v>
      </c>
    </row>
    <row r="815" ht="15.75" customHeight="1">
      <c r="A815" s="2">
        <v>3.0</v>
      </c>
      <c r="B815" s="2" t="s">
        <v>2291</v>
      </c>
      <c r="C815" s="2" t="s">
        <v>2292</v>
      </c>
      <c r="D815" s="2" t="s">
        <v>26</v>
      </c>
      <c r="E815" s="2" t="s">
        <v>14</v>
      </c>
      <c r="F815" s="2" t="s">
        <v>15</v>
      </c>
      <c r="G815" s="2" t="s">
        <v>2293</v>
      </c>
      <c r="H815" s="2" t="s">
        <v>157</v>
      </c>
      <c r="I815" s="2" t="str">
        <f>IFERROR(__xludf.DUMMYFUNCTION("GOOGLETRANSLATE(C815,""fr"",""en"")"),"Landy advertising, the premiums are cheaper but the guarantees are not the same. Direct ""insurance"" did not compensate a vehicle flight where any other insurance would have paid. Dry loss 40,000 euros. Flee this company or you will only have your eyes t"&amp;"o cry ...")</f>
        <v>Landy advertising, the premiums are cheaper but the guarantees are not the same. Direct "insurance" did not compensate a vehicle flight where any other insurance would have paid. Dry loss 40,000 euros. Flee this company or you will only have your eyes to cry ...</v>
      </c>
    </row>
    <row r="816" ht="15.75" customHeight="1">
      <c r="A816" s="2">
        <v>1.0</v>
      </c>
      <c r="B816" s="2" t="s">
        <v>2294</v>
      </c>
      <c r="C816" s="2" t="s">
        <v>2295</v>
      </c>
      <c r="D816" s="2" t="s">
        <v>188</v>
      </c>
      <c r="E816" s="2" t="s">
        <v>14</v>
      </c>
      <c r="F816" s="2" t="s">
        <v>15</v>
      </c>
      <c r="G816" s="2" t="s">
        <v>1071</v>
      </c>
      <c r="H816" s="2" t="s">
        <v>81</v>
      </c>
      <c r="I816" s="2" t="str">
        <f>IFERROR(__xludf.DUMMYFUNCTION("GOOGLETRANSLATE(C816,""fr"",""en"")"),"The super nice online commercial, offers you a super interesting quote and you have fallen into the trap. Bingo, we take you 82.23 euros and then we program an appointment with the agency. You introduce yourself to the Toulouse agency with a cold welcome "&amp;"and you are announced a different price!")</f>
        <v>The super nice online commercial, offers you a super interesting quote and you have fallen into the trap. Bingo, we take you 82.23 euros and then we program an appointment with the agency. You introduce yourself to the Toulouse agency with a cold welcome and you are announced a different price!</v>
      </c>
    </row>
    <row r="817" ht="15.75" customHeight="1">
      <c r="A817" s="2">
        <v>5.0</v>
      </c>
      <c r="B817" s="2" t="s">
        <v>2296</v>
      </c>
      <c r="C817" s="2" t="s">
        <v>2297</v>
      </c>
      <c r="D817" s="2" t="s">
        <v>26</v>
      </c>
      <c r="E817" s="2" t="s">
        <v>14</v>
      </c>
      <c r="F817" s="2" t="s">
        <v>15</v>
      </c>
      <c r="G817" s="2" t="s">
        <v>874</v>
      </c>
      <c r="H817" s="2" t="s">
        <v>28</v>
      </c>
      <c r="I817" s="2" t="str">
        <f>IFERROR(__xludf.DUMMYFUNCTION("GOOGLETRANSLATE(C817,""fr"",""en"")"),"I am satisfied with the service as well as the prices, the possibility of taking out my online insurance.
I plan to take out other contracts on the site")</f>
        <v>I am satisfied with the service as well as the prices, the possibility of taking out my online insurance.
I plan to take out other contracts on the site</v>
      </c>
    </row>
    <row r="818" ht="15.75" customHeight="1">
      <c r="A818" s="2">
        <v>3.0</v>
      </c>
      <c r="B818" s="2" t="s">
        <v>2298</v>
      </c>
      <c r="C818" s="2" t="s">
        <v>2299</v>
      </c>
      <c r="D818" s="2" t="s">
        <v>48</v>
      </c>
      <c r="E818" s="2" t="s">
        <v>21</v>
      </c>
      <c r="F818" s="2" t="s">
        <v>15</v>
      </c>
      <c r="G818" s="2" t="s">
        <v>2300</v>
      </c>
      <c r="H818" s="2" t="s">
        <v>94</v>
      </c>
      <c r="I818" s="2" t="str">
        <f>IFERROR(__xludf.DUMMYFUNCTION("GOOGLETRANSLATE(C818,""fr"",""en"")"),"For the moment nothing to report very in Lecoute, and very helpful")</f>
        <v>For the moment nothing to report very in Lecoute, and very helpful</v>
      </c>
    </row>
    <row r="819" ht="15.75" customHeight="1">
      <c r="A819" s="2">
        <v>1.0</v>
      </c>
      <c r="B819" s="2" t="s">
        <v>2301</v>
      </c>
      <c r="C819" s="2" t="s">
        <v>2302</v>
      </c>
      <c r="D819" s="2" t="s">
        <v>57</v>
      </c>
      <c r="E819" s="2" t="s">
        <v>14</v>
      </c>
      <c r="F819" s="2" t="s">
        <v>15</v>
      </c>
      <c r="G819" s="2" t="s">
        <v>2303</v>
      </c>
      <c r="H819" s="2" t="s">
        <v>312</v>
      </c>
      <c r="I819" s="2" t="str">
        <f>IFERROR(__xludf.DUMMYFUNCTION("GOOGLETRANSLATE(C819,""fr"",""en"")"),"I wanted to sign with them, except that when I validate the quote it increases by 20 euros. I call customer service, an unpleasant haughty girl, to start she covered me because I did too much quotes when I clicked only on their site. In short, I am kindly"&amp;" so I calmly responded to his assaults. At one point I said thank you Mademoiselle, I will see ... to cut the conversation because obviously she wanted to attack someone. And there she tells me of nothing sir! While I have a very small voice. In short, th"&amp;"ey may have to do a psychiatric test for their hotline employees, because to attack someone pleasant on the phone who wants to subscribe, I just imagined if they are called in the event of a disaster. I prefer to pay more but have my pleasant broker that "&amp;"solves the problems very quickly.")</f>
        <v>I wanted to sign with them, except that when I validate the quote it increases by 20 euros. I call customer service, an unpleasant haughty girl, to start she covered me because I did too much quotes when I clicked only on their site. In short, I am kindly so I calmly responded to his assaults. At one point I said thank you Mademoiselle, I will see ... to cut the conversation because obviously she wanted to attack someone. And there she tells me of nothing sir! While I have a very small voice. In short, they may have to do a psychiatric test for their hotline employees, because to attack someone pleasant on the phone who wants to subscribe, I just imagined if they are called in the event of a disaster. I prefer to pay more but have my pleasant broker that solves the problems very quickly.</v>
      </c>
    </row>
    <row r="820" ht="15.75" customHeight="1">
      <c r="A820" s="2">
        <v>1.0</v>
      </c>
      <c r="B820" s="2" t="s">
        <v>2304</v>
      </c>
      <c r="C820" s="2" t="s">
        <v>2305</v>
      </c>
      <c r="D820" s="2" t="s">
        <v>250</v>
      </c>
      <c r="E820" s="2" t="s">
        <v>21</v>
      </c>
      <c r="F820" s="2" t="s">
        <v>15</v>
      </c>
      <c r="G820" s="2" t="s">
        <v>34</v>
      </c>
      <c r="H820" s="2" t="s">
        <v>34</v>
      </c>
      <c r="I820" s="2" t="str">
        <f>IFERROR(__xludf.DUMMYFUNCTION("GOOGLETRANSLATE(C820,""fr"",""en"")"),"I was at Harmonie Mutuelle since 2018, today since October 2020 at Apivia Groupe La Macif (it's not better) but today Harmonie continues to want to take me while I have been terminated my contract for July since July 2020 with acknowledgment of receipt bu"&amp;"t supposedly I should also have before October 2020 terminate the hospital and injury protection which at home are a second contract in addition to that of health? How could I have known and the best is that when I was with them I paid € 37 and dust for t"&amp;"he basic health contract and today their call for contributions for 2021 is € 44 per month for just the Hospital protection and injury? Even more expensive than for the whole !!! A height and threat puts in notice to pay € 177.48 before putting to litigat"&amp;"ion !!! I will call them to do a recommended with accused and if they continue I file a complaint with the public prosecutor.
To flee this mutual !!!
N-B: My termination was made by the ECG Group Insurance Perrer firm those who made me contract at A"&amp;"pivia.")</f>
        <v>I was at Harmonie Mutuelle since 2018, today since October 2020 at Apivia Groupe La Macif (it's not better) but today Harmonie continues to want to take me while I have been terminated my contract for July since July 2020 with acknowledgment of receipt but supposedly I should also have before October 2020 terminate the hospital and injury protection which at home are a second contract in addition to that of health? How could I have known and the best is that when I was with them I paid € 37 and dust for the basic health contract and today their call for contributions for 2021 is € 44 per month for just the Hospital protection and injury? Even more expensive than for the whole !!! A height and threat puts in notice to pay € 177.48 before putting to litigation !!! I will call them to do a recommended with accused and if they continue I file a complaint with the public prosecutor.
To flee this mutual !!!
N-B: My termination was made by the ECG Group Insurance Perrer firm those who made me contract at Apivia.</v>
      </c>
    </row>
    <row r="821" ht="15.75" customHeight="1">
      <c r="A821" s="2">
        <v>5.0</v>
      </c>
      <c r="B821" s="2" t="s">
        <v>2306</v>
      </c>
      <c r="C821" s="2" t="s">
        <v>2307</v>
      </c>
      <c r="D821" s="2" t="s">
        <v>31</v>
      </c>
      <c r="E821" s="2" t="s">
        <v>32</v>
      </c>
      <c r="F821" s="2" t="s">
        <v>15</v>
      </c>
      <c r="G821" s="2" t="s">
        <v>661</v>
      </c>
      <c r="H821" s="2" t="s">
        <v>90</v>
      </c>
      <c r="I821" s="2" t="str">
        <f>IFERROR(__xludf.DUMMYFUNCTION("GOOGLETRANSLATE(C821,""fr"",""en"")"),"I am satisfied with the service. Very welcome, the advisor was attentive and perfectly answered the questions I asked.")</f>
        <v>I am satisfied with the service. Very welcome, the advisor was attentive and perfectly answered the questions I asked.</v>
      </c>
    </row>
    <row r="822" ht="15.75" customHeight="1">
      <c r="A822" s="2">
        <v>1.0</v>
      </c>
      <c r="B822" s="2" t="s">
        <v>2308</v>
      </c>
      <c r="C822" s="2" t="s">
        <v>2309</v>
      </c>
      <c r="D822" s="2" t="s">
        <v>571</v>
      </c>
      <c r="E822" s="2" t="s">
        <v>21</v>
      </c>
      <c r="F822" s="2" t="s">
        <v>15</v>
      </c>
      <c r="G822" s="2" t="s">
        <v>2310</v>
      </c>
      <c r="H822" s="2" t="s">
        <v>214</v>
      </c>
      <c r="I822" s="2" t="str">
        <f>IFERROR(__xludf.DUMMYFUNCTION("GOOGLETRANSLATE(C822,""fr"",""en"")"),"Unreachable by phone due to technical problems.
Impossible to create your personal space due to a peak of activity.
Finally erroneous telephone response: speaks of a contribution from the 1st semester while we are in December.
I need a copy of my card "&amp;"in an emergency.
How to do ?")</f>
        <v>Unreachable by phone due to technical problems.
Impossible to create your personal space due to a peak of activity.
Finally erroneous telephone response: speaks of a contribution from the 1st semester while we are in December.
I need a copy of my card in an emergency.
How to do ?</v>
      </c>
    </row>
    <row r="823" ht="15.75" customHeight="1">
      <c r="A823" s="2">
        <v>4.0</v>
      </c>
      <c r="B823" s="2" t="s">
        <v>2311</v>
      </c>
      <c r="C823" s="2" t="s">
        <v>2312</v>
      </c>
      <c r="D823" s="2" t="s">
        <v>69</v>
      </c>
      <c r="E823" s="2" t="s">
        <v>21</v>
      </c>
      <c r="F823" s="2" t="s">
        <v>15</v>
      </c>
      <c r="G823" s="2" t="s">
        <v>2313</v>
      </c>
      <c r="H823" s="2" t="s">
        <v>353</v>
      </c>
      <c r="I823" s="2" t="str">
        <f>IFERROR(__xludf.DUMMYFUNCTION("GOOGLETRANSLATE(C823,""fr"",""en"")"),"My new contract being implemented in January I had questions and also apprehension. I was received by Gwendal who showed patience, listening ... Very welcome.")</f>
        <v>My new contract being implemented in January I had questions and also apprehension. I was received by Gwendal who showed patience, listening ... Very welcome.</v>
      </c>
    </row>
    <row r="824" ht="15.75" customHeight="1">
      <c r="A824" s="2">
        <v>5.0</v>
      </c>
      <c r="B824" s="2" t="s">
        <v>2314</v>
      </c>
      <c r="C824" s="2" t="s">
        <v>2315</v>
      </c>
      <c r="D824" s="2" t="s">
        <v>57</v>
      </c>
      <c r="E824" s="2" t="s">
        <v>14</v>
      </c>
      <c r="F824" s="2" t="s">
        <v>15</v>
      </c>
      <c r="G824" s="2" t="s">
        <v>2316</v>
      </c>
      <c r="H824" s="2" t="s">
        <v>140</v>
      </c>
      <c r="I824" s="2" t="str">
        <f>IFERROR(__xludf.DUMMYFUNCTION("GOOGLETRANSLATE(C824,""fr"",""en"")"),"Responsive and I am very happy with the offer offered, very good telephone reception and simple approach, the Oliver Insurance was recommended to me and I am delighted")</f>
        <v>Responsive and I am very happy with the offer offered, very good telephone reception and simple approach, the Oliver Insurance was recommended to me and I am delighted</v>
      </c>
    </row>
    <row r="825" ht="15.75" customHeight="1">
      <c r="A825" s="2">
        <v>3.0</v>
      </c>
      <c r="B825" s="2" t="s">
        <v>2317</v>
      </c>
      <c r="C825" s="2" t="s">
        <v>2318</v>
      </c>
      <c r="D825" s="2" t="s">
        <v>26</v>
      </c>
      <c r="E825" s="2" t="s">
        <v>14</v>
      </c>
      <c r="F825" s="2" t="s">
        <v>15</v>
      </c>
      <c r="G825" s="2" t="s">
        <v>1285</v>
      </c>
      <c r="H825" s="2" t="s">
        <v>185</v>
      </c>
      <c r="I825" s="2" t="str">
        <f>IFERROR(__xludf.DUMMYFUNCTION("GOOGLETRANSLATE(C825,""fr"",""en"")"),"Disappointed by the waiting time on the phone and especially the number of calls to have one of a dozen ...
By cons once on the phone no problem for the care of the claim.")</f>
        <v>Disappointed by the waiting time on the phone and especially the number of calls to have one of a dozen ...
By cons once on the phone no problem for the care of the claim.</v>
      </c>
    </row>
    <row r="826" ht="15.75" customHeight="1">
      <c r="A826" s="2">
        <v>1.0</v>
      </c>
      <c r="B826" s="2" t="s">
        <v>2319</v>
      </c>
      <c r="C826" s="2" t="s">
        <v>2320</v>
      </c>
      <c r="D826" s="2" t="s">
        <v>26</v>
      </c>
      <c r="E826" s="2" t="s">
        <v>14</v>
      </c>
      <c r="F826" s="2" t="s">
        <v>15</v>
      </c>
      <c r="G826" s="2" t="s">
        <v>2321</v>
      </c>
      <c r="H826" s="2" t="s">
        <v>583</v>
      </c>
      <c r="I826" s="2" t="str">
        <f>IFERROR(__xludf.DUMMYFUNCTION("GOOGLETRANSLATE(C826,""fr"",""en"")"),"They increase your insurance after a year even if you haven't had incidents and resonates it for which they increases you is that there are too many accidents in France ... Flee")</f>
        <v>They increase your insurance after a year even if you haven't had incidents and resonates it for which they increases you is that there are too many accidents in France ... Flee</v>
      </c>
    </row>
    <row r="827" ht="15.75" customHeight="1">
      <c r="A827" s="2">
        <v>5.0</v>
      </c>
      <c r="B827" s="2" t="s">
        <v>2322</v>
      </c>
      <c r="C827" s="2" t="s">
        <v>2323</v>
      </c>
      <c r="D827" s="2" t="s">
        <v>57</v>
      </c>
      <c r="E827" s="2" t="s">
        <v>14</v>
      </c>
      <c r="F827" s="2" t="s">
        <v>15</v>
      </c>
      <c r="G827" s="2" t="s">
        <v>2324</v>
      </c>
      <c r="H827" s="2" t="s">
        <v>515</v>
      </c>
      <c r="I827" s="2" t="str">
        <f>IFERROR(__xludf.DUMMYFUNCTION("GOOGLETRANSLATE(C827,""fr"",""en"")"),"I am satisfied enormously I recommend the olive assurance
And would tell me about it as well as to my friends and my nearby family thank you in advance")</f>
        <v>I am satisfied enormously I recommend the olive assurance
And would tell me about it as well as to my friends and my nearby family thank you in advance</v>
      </c>
    </row>
    <row r="828" ht="15.75" customHeight="1">
      <c r="A828" s="2">
        <v>4.0</v>
      </c>
      <c r="B828" s="2" t="s">
        <v>2325</v>
      </c>
      <c r="C828" s="2" t="s">
        <v>2326</v>
      </c>
      <c r="D828" s="2" t="s">
        <v>188</v>
      </c>
      <c r="E828" s="2" t="s">
        <v>14</v>
      </c>
      <c r="F828" s="2" t="s">
        <v>15</v>
      </c>
      <c r="G828" s="2" t="s">
        <v>1047</v>
      </c>
      <c r="H828" s="2" t="s">
        <v>74</v>
      </c>
      <c r="I828" s="2" t="str">
        <f>IFERROR(__xludf.DUMMYFUNCTION("GOOGLETRANSLATE(C828,""fr"",""en"")"),"Very satisfied with GMF insurance in terms of prices, guarantees and support in the event of a breakdown.
Insurance to recommend")</f>
        <v>Very satisfied with GMF insurance in terms of prices, guarantees and support in the event of a breakdown.
Insurance to recommend</v>
      </c>
    </row>
    <row r="829" ht="15.75" customHeight="1">
      <c r="A829" s="2">
        <v>5.0</v>
      </c>
      <c r="B829" s="2" t="s">
        <v>2327</v>
      </c>
      <c r="C829" s="2" t="s">
        <v>2328</v>
      </c>
      <c r="D829" s="2" t="s">
        <v>37</v>
      </c>
      <c r="E829" s="2" t="s">
        <v>38</v>
      </c>
      <c r="F829" s="2" t="s">
        <v>15</v>
      </c>
      <c r="G829" s="2" t="s">
        <v>2205</v>
      </c>
      <c r="H829" s="2" t="s">
        <v>201</v>
      </c>
      <c r="I829" s="2" t="str">
        <f>IFERROR(__xludf.DUMMYFUNCTION("GOOGLETRANSLATE(C829,""fr"",""en"")"),"AMV, through his advisers, is always listening, and provides wise advice, whatever the situation. The ease of ensuring, by phone following a purchase, monitoring of the customer file, and termination, everything is simplified to the maximum. Old biker, al"&amp;"ways assured at home (since 1984), I can only thank you, all, as much for the listening quality you have shown, as for insurance in itself.
Thank you for this end of the way in your company.")</f>
        <v>AMV, through his advisers, is always listening, and provides wise advice, whatever the situation. The ease of ensuring, by phone following a purchase, monitoring of the customer file, and termination, everything is simplified to the maximum. Old biker, always assured at home (since 1984), I can only thank you, all, as much for the listening quality you have shown, as for insurance in itself.
Thank you for this end of the way in your company.</v>
      </c>
    </row>
    <row r="830" ht="15.75" customHeight="1">
      <c r="A830" s="2">
        <v>4.0</v>
      </c>
      <c r="B830" s="2" t="s">
        <v>2329</v>
      </c>
      <c r="C830" s="2" t="s">
        <v>2330</v>
      </c>
      <c r="D830" s="2" t="s">
        <v>48</v>
      </c>
      <c r="E830" s="2" t="s">
        <v>21</v>
      </c>
      <c r="F830" s="2" t="s">
        <v>15</v>
      </c>
      <c r="G830" s="2" t="s">
        <v>508</v>
      </c>
      <c r="H830" s="2" t="s">
        <v>81</v>
      </c>
      <c r="I830" s="2" t="str">
        <f>IFERROR(__xludf.DUMMYFUNCTION("GOOGLETRANSLATE(C830,""fr"",""en"")"),"Thanks to Ramata, a kind person. I am waiting to see if my termination will be taken into account. I am nothing else to add ...
Best regards..")</f>
        <v>Thanks to Ramata, a kind person. I am waiting to see if my termination will be taken into account. I am nothing else to add ...
Best regards..</v>
      </c>
    </row>
    <row r="831" ht="15.75" customHeight="1">
      <c r="A831" s="2">
        <v>4.0</v>
      </c>
      <c r="B831" s="2" t="s">
        <v>2331</v>
      </c>
      <c r="C831" s="2" t="s">
        <v>2332</v>
      </c>
      <c r="D831" s="2" t="s">
        <v>262</v>
      </c>
      <c r="E831" s="2" t="s">
        <v>14</v>
      </c>
      <c r="F831" s="2" t="s">
        <v>15</v>
      </c>
      <c r="G831" s="2" t="s">
        <v>632</v>
      </c>
      <c r="H831" s="2" t="s">
        <v>74</v>
      </c>
      <c r="I831" s="2" t="str">
        <f>IFERROR(__xludf.DUMMYFUNCTION("GOOGLETRANSLATE(C831,""fr"",""en"")"),"Very pleasant first.
We feel smiling and good humor.
Well advised and pleasant to have someone lovable on the phone.
Thank you for professionalism.")</f>
        <v>Very pleasant first.
We feel smiling and good humor.
Well advised and pleasant to have someone lovable on the phone.
Thank you for professionalism.</v>
      </c>
    </row>
    <row r="832" ht="15.75" customHeight="1">
      <c r="A832" s="2">
        <v>2.0</v>
      </c>
      <c r="B832" s="2" t="s">
        <v>2333</v>
      </c>
      <c r="C832" s="2" t="s">
        <v>2334</v>
      </c>
      <c r="D832" s="2" t="s">
        <v>305</v>
      </c>
      <c r="E832" s="2" t="s">
        <v>38</v>
      </c>
      <c r="F832" s="2" t="s">
        <v>15</v>
      </c>
      <c r="G832" s="2" t="s">
        <v>2335</v>
      </c>
      <c r="H832" s="2" t="s">
        <v>50</v>
      </c>
      <c r="I832" s="2" t="str">
        <f>IFERROR(__xludf.DUMMYFUNCTION("GOOGLETRANSLATE(C832,""fr"",""en"")"),"Responsible for an accident ... I would have liked to know what the expert is based on the assessment of my Yamaha xmax125 year 2011 Year 2011 ... The repairs being too expensive ... The latter offers me .... 500 euros !!! after searches on specialized si"&amp;"tes like the power plant ... it is listed with the real km .... 1800 euros !!!
So we are not the third of the price!
Important detail I am assured of all risks all damages ...")</f>
        <v>Responsible for an accident ... I would have liked to know what the expert is based on the assessment of my Yamaha xmax125 year 2011 Year 2011 ... The repairs being too expensive ... The latter offers me .... 500 euros !!! after searches on specialized sites like the power plant ... it is listed with the real km .... 1800 euros !!!
So we are not the third of the price!
Important detail I am assured of all risks all damages ...</v>
      </c>
    </row>
    <row r="833" ht="15.75" customHeight="1">
      <c r="A833" s="2">
        <v>2.0</v>
      </c>
      <c r="B833" s="2" t="s">
        <v>2336</v>
      </c>
      <c r="C833" s="2" t="s">
        <v>2337</v>
      </c>
      <c r="D833" s="2" t="s">
        <v>26</v>
      </c>
      <c r="E833" s="2" t="s">
        <v>14</v>
      </c>
      <c r="F833" s="2" t="s">
        <v>15</v>
      </c>
      <c r="G833" s="2" t="s">
        <v>2338</v>
      </c>
      <c r="H833" s="2" t="s">
        <v>74</v>
      </c>
      <c r="I833" s="2" t="str">
        <f>IFERROR(__xludf.DUMMYFUNCTION("GOOGLETRANSLATE(C833,""fr"",""en"")"),"A deplorable telephone reception with an ""advisor"" who shouts me and to whom I had to ask to lower my tone !!! A shame to say ""customer service"" !!
I wanted to ensure another vehicle but strongly that the duration of the vehicle contract already insu"&amp;"red ends for me to leave.
Easy to be discourtise and disrespectful behind your phone ...")</f>
        <v>A deplorable telephone reception with an "advisor" who shouts me and to whom I had to ask to lower my tone !!! A shame to say "customer service" !!
I wanted to ensure another vehicle but strongly that the duration of the vehicle contract already insured ends for me to leave.
Easy to be discourtise and disrespectful behind your phone ...</v>
      </c>
    </row>
    <row r="834" ht="15.75" customHeight="1">
      <c r="A834" s="2">
        <v>1.0</v>
      </c>
      <c r="B834" s="2" t="s">
        <v>2339</v>
      </c>
      <c r="C834" s="2" t="s">
        <v>2340</v>
      </c>
      <c r="D834" s="2" t="s">
        <v>26</v>
      </c>
      <c r="E834" s="2" t="s">
        <v>104</v>
      </c>
      <c r="F834" s="2" t="s">
        <v>15</v>
      </c>
      <c r="G834" s="2" t="s">
        <v>652</v>
      </c>
      <c r="H834" s="2" t="s">
        <v>379</v>
      </c>
      <c r="I834" s="2" t="str">
        <f>IFERROR(__xludf.DUMMYFUNCTION("GOOGLETRANSLATE(C834,""fr"",""en"")"),"Customer service refuses to repay properly if there is a claim, go through an expert who does anything. It brings customers easily, but what is the insurance for if you are poorly insured")</f>
        <v>Customer service refuses to repay properly if there is a claim, go through an expert who does anything. It brings customers easily, but what is the insurance for if you are poorly insured</v>
      </c>
    </row>
    <row r="835" ht="15.75" customHeight="1">
      <c r="A835" s="2">
        <v>3.0</v>
      </c>
      <c r="B835" s="2" t="s">
        <v>2341</v>
      </c>
      <c r="C835" s="2" t="s">
        <v>2342</v>
      </c>
      <c r="D835" s="2" t="s">
        <v>48</v>
      </c>
      <c r="E835" s="2" t="s">
        <v>21</v>
      </c>
      <c r="F835" s="2" t="s">
        <v>15</v>
      </c>
      <c r="G835" s="2" t="s">
        <v>2343</v>
      </c>
      <c r="H835" s="2" t="s">
        <v>70</v>
      </c>
      <c r="I835" s="2" t="str">
        <f>IFERROR(__xludf.DUMMYFUNCTION("GOOGLETRANSLATE(C835,""fr"",""en"")"),"Contract terminated on 12/31/2017. I have 3 reimbursements during NOV and DEC. Despite exchanges on their site + telephonic calls + emails, absolute silence. To believe that once the contract is terminated, they have nothing to do with you. Read the contr"&amp;"acts well, in case of hospitalization in follow -up care and rehabilitation, the individual rooms are not supported. I have had bitter experience.")</f>
        <v>Contract terminated on 12/31/2017. I have 3 reimbursements during NOV and DEC. Despite exchanges on their site + telephonic calls + emails, absolute silence. To believe that once the contract is terminated, they have nothing to do with you. Read the contracts well, in case of hospitalization in follow -up care and rehabilitation, the individual rooms are not supported. I have had bitter experience.</v>
      </c>
    </row>
    <row r="836" ht="15.75" customHeight="1">
      <c r="A836" s="2">
        <v>3.0</v>
      </c>
      <c r="B836" s="2" t="s">
        <v>2344</v>
      </c>
      <c r="C836" s="2" t="s">
        <v>2345</v>
      </c>
      <c r="D836" s="2" t="s">
        <v>42</v>
      </c>
      <c r="E836" s="2" t="s">
        <v>109</v>
      </c>
      <c r="F836" s="2" t="s">
        <v>15</v>
      </c>
      <c r="G836" s="2" t="s">
        <v>765</v>
      </c>
      <c r="H836" s="2" t="s">
        <v>17</v>
      </c>
      <c r="I836" s="2" t="str">
        <f>IFERROR(__xludf.DUMMYFUNCTION("GOOGLETRANSLATE(C836,""fr"",""en"")"),"Following 3 weeks behind the payment of my health provident, I contact by such a adviser to my Allianz foresight.
I ask him why such a delay.
Answer: Certain elements are missing in your file.
I do not understand I have been stopped for over a year. "&amp;"I ask him what elements they are missing in my file.
Answer: I can't answer you.
I ask him if there was a long time.
Answer: I cannot answer you your file and in the service concerned.
Here is also in a fairly supported tone and a raw pathway, I h"&amp;"ad the impression of disturbing it ....
Here and to eat I do what I ask my children, not only am I sick and more ..... well, here is thank you for reading.
")</f>
        <v>Following 3 weeks behind the payment of my health provident, I contact by such a adviser to my Allianz foresight.
I ask him why such a delay.
Answer: Certain elements are missing in your file.
I do not understand I have been stopped for over a year. I ask him what elements they are missing in my file.
Answer: I can't answer you.
I ask him if there was a long time.
Answer: I cannot answer you your file and in the service concerned.
Here is also in a fairly supported tone and a raw pathway, I had the impression of disturbing it ....
Here and to eat I do what I ask my children, not only am I sick and more ..... well, here is thank you for reading.
</v>
      </c>
    </row>
    <row r="837" ht="15.75" customHeight="1">
      <c r="A837" s="2">
        <v>5.0</v>
      </c>
      <c r="B837" s="2" t="s">
        <v>2346</v>
      </c>
      <c r="C837" s="2" t="s">
        <v>2347</v>
      </c>
      <c r="D837" s="2" t="s">
        <v>26</v>
      </c>
      <c r="E837" s="2" t="s">
        <v>14</v>
      </c>
      <c r="F837" s="2" t="s">
        <v>15</v>
      </c>
      <c r="G837" s="2" t="s">
        <v>1798</v>
      </c>
      <c r="H837" s="2" t="s">
        <v>81</v>
      </c>
      <c r="I837" s="2" t="str">
        <f>IFERROR(__xludf.DUMMYFUNCTION("GOOGLETRANSLATE(C837,""fr"",""en"")"),"Very good very fast service and advisers take the time to
accompany.
This changes from other companies where you have to go quickly, you don't put yourself in the customer's place")</f>
        <v>Very good very fast service and advisers take the time to
accompany.
This changes from other companies where you have to go quickly, you don't put yourself in the customer's place</v>
      </c>
    </row>
    <row r="838" ht="15.75" customHeight="1">
      <c r="A838" s="2">
        <v>4.0</v>
      </c>
      <c r="B838" s="2" t="s">
        <v>2348</v>
      </c>
      <c r="C838" s="2" t="s">
        <v>2349</v>
      </c>
      <c r="D838" s="2" t="s">
        <v>26</v>
      </c>
      <c r="E838" s="2" t="s">
        <v>14</v>
      </c>
      <c r="F838" s="2" t="s">
        <v>15</v>
      </c>
      <c r="G838" s="2" t="s">
        <v>2350</v>
      </c>
      <c r="H838" s="2" t="s">
        <v>81</v>
      </c>
      <c r="I838" s="2" t="str">
        <f>IFERROR(__xludf.DUMMYFUNCTION("GOOGLETRANSLATE(C838,""fr"",""en"")"),"Facilitates an exchange on the phone and without worries to follow the online procedures when subscribing on the Direct Insurance website, only more.")</f>
        <v>Facilitates an exchange on the phone and without worries to follow the online procedures when subscribing on the Direct Insurance website, only more.</v>
      </c>
    </row>
    <row r="839" ht="15.75" customHeight="1">
      <c r="A839" s="2">
        <v>5.0</v>
      </c>
      <c r="B839" s="2" t="s">
        <v>2351</v>
      </c>
      <c r="C839" s="2" t="s">
        <v>2352</v>
      </c>
      <c r="D839" s="2" t="s">
        <v>26</v>
      </c>
      <c r="E839" s="2" t="s">
        <v>14</v>
      </c>
      <c r="F839" s="2" t="s">
        <v>15</v>
      </c>
      <c r="G839" s="2" t="s">
        <v>805</v>
      </c>
      <c r="H839" s="2" t="s">
        <v>81</v>
      </c>
      <c r="I839" s="2" t="str">
        <f>IFERROR(__xludf.DUMMYFUNCTION("GOOGLETRANSLATE(C839,""fr"",""en"")"),"I very satisfied with the very fast service and games advise my friends to be insured at home in terms of guarantees and online reception. Please accept my greetings.")</f>
        <v>I very satisfied with the very fast service and games advise my friends to be insured at home in terms of guarantees and online reception. Please accept my greetings.</v>
      </c>
    </row>
    <row r="840" ht="15.75" customHeight="1">
      <c r="A840" s="2">
        <v>3.0</v>
      </c>
      <c r="B840" s="2" t="s">
        <v>2353</v>
      </c>
      <c r="C840" s="2" t="s">
        <v>2354</v>
      </c>
      <c r="D840" s="2" t="s">
        <v>26</v>
      </c>
      <c r="E840" s="2" t="s">
        <v>14</v>
      </c>
      <c r="F840" s="2" t="s">
        <v>15</v>
      </c>
      <c r="G840" s="2" t="s">
        <v>1204</v>
      </c>
      <c r="H840" s="2" t="s">
        <v>34</v>
      </c>
      <c r="I840" s="2" t="str">
        <f>IFERROR(__xludf.DUMMYFUNCTION("GOOGLETRANSLATE(C840,""fr"",""en"")"),"I am satisfied with your prices I hope that the prices will be down for SATSIVE all your customers CS is the cheapest insurance of the march after having ahead of insurance in several insurance")</f>
        <v>I am satisfied with your prices I hope that the prices will be down for SATSIVE all your customers CS is the cheapest insurance of the march after having ahead of insurance in several insurance</v>
      </c>
    </row>
    <row r="841" ht="15.75" customHeight="1">
      <c r="A841" s="2">
        <v>4.0</v>
      </c>
      <c r="B841" s="2" t="s">
        <v>2355</v>
      </c>
      <c r="C841" s="2" t="s">
        <v>2356</v>
      </c>
      <c r="D841" s="2" t="s">
        <v>37</v>
      </c>
      <c r="E841" s="2" t="s">
        <v>38</v>
      </c>
      <c r="F841" s="2" t="s">
        <v>15</v>
      </c>
      <c r="G841" s="2" t="s">
        <v>80</v>
      </c>
      <c r="H841" s="2" t="s">
        <v>81</v>
      </c>
      <c r="I841" s="2" t="str">
        <f>IFERROR(__xludf.DUMMYFUNCTION("GOOGLETRANSLATE(C841,""fr"",""en"")"),"Satisfied with service and prices. During calls the answers are always clear and fast. The approaches on the website are clear and simple.")</f>
        <v>Satisfied with service and prices. During calls the answers are always clear and fast. The approaches on the website are clear and simple.</v>
      </c>
    </row>
    <row r="842" ht="15.75" customHeight="1">
      <c r="A842" s="2">
        <v>3.0</v>
      </c>
      <c r="B842" s="2" t="s">
        <v>2357</v>
      </c>
      <c r="C842" s="2" t="s">
        <v>2358</v>
      </c>
      <c r="D842" s="2" t="s">
        <v>26</v>
      </c>
      <c r="E842" s="2" t="s">
        <v>14</v>
      </c>
      <c r="F842" s="2" t="s">
        <v>15</v>
      </c>
      <c r="G842" s="2" t="s">
        <v>339</v>
      </c>
      <c r="H842" s="2" t="s">
        <v>28</v>
      </c>
      <c r="I842" s="2" t="str">
        <f>IFERROR(__xludf.DUMMYFUNCTION("GOOGLETRANSLATE(C842,""fr"",""en"")"),"Ok I'm satisfied thank you for everything. I am happy for everything thank you for assuring me. You are the only ones to do it again thank you very much for everything")</f>
        <v>Ok I'm satisfied thank you for everything. I am happy for everything thank you for assuring me. You are the only ones to do it again thank you very much for everything</v>
      </c>
    </row>
    <row r="843" ht="15.75" customHeight="1">
      <c r="A843" s="2">
        <v>1.0</v>
      </c>
      <c r="B843" s="2" t="s">
        <v>2359</v>
      </c>
      <c r="C843" s="2" t="s">
        <v>2360</v>
      </c>
      <c r="D843" s="2" t="s">
        <v>338</v>
      </c>
      <c r="E843" s="2" t="s">
        <v>14</v>
      </c>
      <c r="F843" s="2" t="s">
        <v>15</v>
      </c>
      <c r="G843" s="2" t="s">
        <v>2361</v>
      </c>
      <c r="H843" s="2" t="s">
        <v>45</v>
      </c>
      <c r="I843" s="2" t="str">
        <f>IFERROR(__xludf.DUMMYFUNCTION("GOOGLETRANSLATE(C843,""fr"",""en"")"),"I have not been under provisional insurance since Monday. They are called every day on a surcharged number. We are told nothing by file in the processing court. No green card, no paper justifying that we are insured, no call or email to keep us informed. "&amp;"And of course impossible to terminate !!
I am very detrimental to a big error daller at home !!!
I find myself paying without a green card having sent everything correctly !!")</f>
        <v>I have not been under provisional insurance since Monday. They are called every day on a surcharged number. We are told nothing by file in the processing court. No green card, no paper justifying that we are insured, no call or email to keep us informed. And of course impossible to terminate !!
I am very detrimental to a big error daller at home !!!
I find myself paying without a green card having sent everything correctly !!</v>
      </c>
    </row>
    <row r="844" ht="15.75" customHeight="1">
      <c r="A844" s="2">
        <v>2.0</v>
      </c>
      <c r="B844" s="2" t="s">
        <v>2362</v>
      </c>
      <c r="C844" s="2" t="s">
        <v>2363</v>
      </c>
      <c r="D844" s="2" t="s">
        <v>26</v>
      </c>
      <c r="E844" s="2" t="s">
        <v>104</v>
      </c>
      <c r="F844" s="2" t="s">
        <v>15</v>
      </c>
      <c r="G844" s="2" t="s">
        <v>2364</v>
      </c>
      <c r="H844" s="2" t="s">
        <v>208</v>
      </c>
      <c r="I844" s="2" t="str">
        <f>IFERROR(__xludf.DUMMYFUNCTION("GOOGLETRANSLATE(C844,""fr"",""en"")"),"To see with the quote the amount I should settle if it corresponds to my file. Price comparator and see the also payment and insurance terms")</f>
        <v>To see with the quote the amount I should settle if it corresponds to my file. Price comparator and see the also payment and insurance terms</v>
      </c>
    </row>
    <row r="845" ht="15.75" customHeight="1">
      <c r="A845" s="2">
        <v>1.0</v>
      </c>
      <c r="B845" s="2" t="s">
        <v>2365</v>
      </c>
      <c r="C845" s="2" t="s">
        <v>2366</v>
      </c>
      <c r="D845" s="2" t="s">
        <v>48</v>
      </c>
      <c r="E845" s="2" t="s">
        <v>21</v>
      </c>
      <c r="F845" s="2" t="s">
        <v>15</v>
      </c>
      <c r="G845" s="2" t="s">
        <v>2367</v>
      </c>
      <c r="H845" s="2" t="s">
        <v>214</v>
      </c>
      <c r="I845" s="2" t="str">
        <f>IFERROR(__xludf.DUMMYFUNCTION("GOOGLETRANSLATE(C845,""fr"",""en"")"),"I warned the death of my husband on November 11 to update my subscription.
Despite my calls and emails, Neoliane continues to take the entire subscription for 2 people.
To date Neoliane owes me € 212.
I am very unhappy.")</f>
        <v>I warned the death of my husband on November 11 to update my subscription.
Despite my calls and emails, Neoliane continues to take the entire subscription for 2 people.
To date Neoliane owes me € 212.
I am very unhappy.</v>
      </c>
    </row>
    <row r="846" ht="15.75" customHeight="1">
      <c r="A846" s="2">
        <v>2.0</v>
      </c>
      <c r="B846" s="2" t="s">
        <v>2368</v>
      </c>
      <c r="C846" s="2" t="s">
        <v>2369</v>
      </c>
      <c r="D846" s="2" t="s">
        <v>266</v>
      </c>
      <c r="E846" s="2" t="s">
        <v>104</v>
      </c>
      <c r="F846" s="2" t="s">
        <v>15</v>
      </c>
      <c r="G846" s="2" t="s">
        <v>786</v>
      </c>
      <c r="H846" s="2" t="s">
        <v>343</v>
      </c>
      <c r="I846" s="2" t="str">
        <f>IFERROR(__xludf.DUMMYFUNCTION("GOOGLETRANSLATE(C846,""fr"",""en"")"),"In order to bury the electric cables intended to supply several houses, ERDF dug a trench directly flush with my fence wall from my house. Of course, the wall was deeply lizarded and cracked.
I reported the damage of the wall from the fence to my insuran"&amp;"ce which put me in touch with an expert, the expert went in the presence of the landfill in burial, it was clear that the damage on my wall are Caused by the work (it is a wall which is under 10 years old) and that before the work a bailiff has passed and"&amp;" taken photos.
I accepted an amicable solution that I signed on condition that I reappear the wall myself.
Since the insurance has closed the file and I am hung up on me that I have called and asked for the report of the bailiff before and the expert's "&amp;"report afterwards.
I've been paying for an insurance that has ever served me for 12 years, I'm in anger.
Out of the question for me to stay without follow -up, if I need to go through the courts it is a question of principle
Besides the rule when in th"&amp;"e private domain you will generate damage to the public domain you pay and vice versa.
Thank you for advising me
")</f>
        <v>In order to bury the electric cables intended to supply several houses, ERDF dug a trench directly flush with my fence wall from my house. Of course, the wall was deeply lizarded and cracked.
I reported the damage of the wall from the fence to my insurance which put me in touch with an expert, the expert went in the presence of the landfill in burial, it was clear that the damage on my wall are Caused by the work (it is a wall which is under 10 years old) and that before the work a bailiff has passed and taken photos.
I accepted an amicable solution that I signed on condition that I reappear the wall myself.
Since the insurance has closed the file and I am hung up on me that I have called and asked for the report of the bailiff before and the expert's report afterwards.
I've been paying for an insurance that has ever served me for 12 years, I'm in anger.
Out of the question for me to stay without follow -up, if I need to go through the courts it is a question of principle
Besides the rule when in the private domain you will generate damage to the public domain you pay and vice versa.
Thank you for advising me
</v>
      </c>
    </row>
    <row r="847" ht="15.75" customHeight="1">
      <c r="A847" s="2">
        <v>4.0</v>
      </c>
      <c r="B847" s="2" t="s">
        <v>2370</v>
      </c>
      <c r="C847" s="2" t="s">
        <v>2371</v>
      </c>
      <c r="D847" s="2" t="s">
        <v>26</v>
      </c>
      <c r="E847" s="2" t="s">
        <v>14</v>
      </c>
      <c r="F847" s="2" t="s">
        <v>15</v>
      </c>
      <c r="G847" s="2" t="s">
        <v>860</v>
      </c>
      <c r="H847" s="2" t="s">
        <v>122</v>
      </c>
      <c r="I847" s="2" t="str">
        <f>IFERROR(__xludf.DUMMYFUNCTION("GOOGLETRANSLATE(C847,""fr"",""en"")"),"I am satisfied with the services and the speed of the responses to process my requests.
I often recommend direct insurance for simplicity and completely attractive prices.")</f>
        <v>I am satisfied with the services and the speed of the responses to process my requests.
I often recommend direct insurance for simplicity and completely attractive prices.</v>
      </c>
    </row>
    <row r="848" ht="15.75" customHeight="1">
      <c r="A848" s="2">
        <v>5.0</v>
      </c>
      <c r="B848" s="2" t="s">
        <v>2372</v>
      </c>
      <c r="C848" s="2" t="s">
        <v>2373</v>
      </c>
      <c r="D848" s="2" t="s">
        <v>57</v>
      </c>
      <c r="E848" s="2" t="s">
        <v>14</v>
      </c>
      <c r="F848" s="2" t="s">
        <v>15</v>
      </c>
      <c r="G848" s="2" t="s">
        <v>770</v>
      </c>
      <c r="H848" s="2" t="s">
        <v>74</v>
      </c>
      <c r="I848" s="2" t="str">
        <f>IFERROR(__xludf.DUMMYFUNCTION("GOOGLETRANSLATE(C848,""fr"",""en"")"),"I am satisfied with the application and service I recommend this insurance to my friends, moreover the prices are more affordable than competition. Thank you")</f>
        <v>I am satisfied with the application and service I recommend this insurance to my friends, moreover the prices are more affordable than competition. Thank you</v>
      </c>
    </row>
    <row r="849" ht="15.75" customHeight="1">
      <c r="A849" s="2">
        <v>4.0</v>
      </c>
      <c r="B849" s="2" t="s">
        <v>2374</v>
      </c>
      <c r="C849" s="2" t="s">
        <v>2375</v>
      </c>
      <c r="D849" s="2" t="s">
        <v>393</v>
      </c>
      <c r="E849" s="2" t="s">
        <v>38</v>
      </c>
      <c r="F849" s="2" t="s">
        <v>15</v>
      </c>
      <c r="G849" s="2" t="s">
        <v>2376</v>
      </c>
      <c r="H849" s="2" t="s">
        <v>347</v>
      </c>
      <c r="I849" s="2" t="str">
        <f>IFERROR(__xludf.DUMMYFUNCTION("GOOGLETRANSLATE(C849,""fr"",""en"")"),"Very good telephone contact, well directed interview and several times I was asked if I had questions.
This made it possible to go around all aspects.")</f>
        <v>Very good telephone contact, well directed interview and several times I was asked if I had questions.
This made it possible to go around all aspects.</v>
      </c>
    </row>
    <row r="850" ht="15.75" customHeight="1">
      <c r="A850" s="2">
        <v>5.0</v>
      </c>
      <c r="B850" s="2" t="s">
        <v>2377</v>
      </c>
      <c r="C850" s="2" t="s">
        <v>2378</v>
      </c>
      <c r="D850" s="2" t="s">
        <v>305</v>
      </c>
      <c r="E850" s="2" t="s">
        <v>38</v>
      </c>
      <c r="F850" s="2" t="s">
        <v>15</v>
      </c>
      <c r="G850" s="2" t="s">
        <v>1621</v>
      </c>
      <c r="H850" s="2" t="s">
        <v>185</v>
      </c>
      <c r="I850" s="2" t="str">
        <f>IFERROR(__xludf.DUMMYFUNCTION("GOOGLETRANSLATE(C850,""fr"",""en"")"),"Attractive price, satisfactory guarantees and ease of subscription in short more than satisfied at the moment ... Hoping not to have too many relationships with the insurer ...")</f>
        <v>Attractive price, satisfactory guarantees and ease of subscription in short more than satisfied at the moment ... Hoping not to have too many relationships with the insurer ...</v>
      </c>
    </row>
    <row r="851" ht="15.75" customHeight="1">
      <c r="A851" s="2">
        <v>4.0</v>
      </c>
      <c r="B851" s="2" t="s">
        <v>2379</v>
      </c>
      <c r="C851" s="2" t="s">
        <v>2380</v>
      </c>
      <c r="D851" s="2" t="s">
        <v>26</v>
      </c>
      <c r="E851" s="2" t="s">
        <v>14</v>
      </c>
      <c r="F851" s="2" t="s">
        <v>15</v>
      </c>
      <c r="G851" s="2" t="s">
        <v>2381</v>
      </c>
      <c r="H851" s="2" t="s">
        <v>81</v>
      </c>
      <c r="I851" s="2" t="str">
        <f>IFERROR(__xludf.DUMMYFUNCTION("GOOGLETRANSLATE(C851,""fr"",""en"")"),"Former customer, I come back after a few years to competition due to a change of vehicle but come back with serenity because I know that I am in good hands")</f>
        <v>Former customer, I come back after a few years to competition due to a change of vehicle but come back with serenity because I know that I am in good hands</v>
      </c>
    </row>
    <row r="852" ht="15.75" customHeight="1">
      <c r="A852" s="2">
        <v>4.0</v>
      </c>
      <c r="B852" s="2" t="s">
        <v>2382</v>
      </c>
      <c r="C852" s="2" t="s">
        <v>2383</v>
      </c>
      <c r="D852" s="2" t="s">
        <v>356</v>
      </c>
      <c r="E852" s="2" t="s">
        <v>21</v>
      </c>
      <c r="F852" s="2" t="s">
        <v>15</v>
      </c>
      <c r="G852" s="2" t="s">
        <v>234</v>
      </c>
      <c r="H852" s="2" t="s">
        <v>34</v>
      </c>
      <c r="I852" s="2" t="str">
        <f>IFERROR(__xludf.DUMMYFUNCTION("GOOGLETRANSLATE(C852,""fr"",""en"")"),"The person I had on the phone was very responsive and efficient. A very good welcome. Thank you very much.
Delighted to be insured at Génération for my mutual.")</f>
        <v>The person I had on the phone was very responsive and efficient. A very good welcome. Thank you very much.
Delighted to be insured at Génération for my mutual.</v>
      </c>
    </row>
    <row r="853" ht="15.75" customHeight="1">
      <c r="A853" s="2">
        <v>4.0</v>
      </c>
      <c r="B853" s="2" t="s">
        <v>2384</v>
      </c>
      <c r="C853" s="2" t="s">
        <v>2385</v>
      </c>
      <c r="D853" s="2" t="s">
        <v>305</v>
      </c>
      <c r="E853" s="2" t="s">
        <v>38</v>
      </c>
      <c r="F853" s="2" t="s">
        <v>15</v>
      </c>
      <c r="G853" s="2" t="s">
        <v>1068</v>
      </c>
      <c r="H853" s="2" t="s">
        <v>122</v>
      </c>
      <c r="I853" s="2" t="str">
        <f>IFERROR(__xludf.DUMMYFUNCTION("GOOGLETRANSLATE(C853,""fr"",""en"")"),"Great and fast I am very satisfied and I hope that our collaboration continues as long as possible receive my most sincere greetings thank you")</f>
        <v>Great and fast I am very satisfied and I hope that our collaboration continues as long as possible receive my most sincere greetings thank you</v>
      </c>
    </row>
    <row r="854" ht="15.75" customHeight="1">
      <c r="A854" s="2">
        <v>3.0</v>
      </c>
      <c r="B854" s="2" t="s">
        <v>2386</v>
      </c>
      <c r="C854" s="2" t="s">
        <v>2387</v>
      </c>
      <c r="D854" s="2" t="s">
        <v>26</v>
      </c>
      <c r="E854" s="2" t="s">
        <v>14</v>
      </c>
      <c r="F854" s="2" t="s">
        <v>15</v>
      </c>
      <c r="G854" s="2" t="s">
        <v>783</v>
      </c>
      <c r="H854" s="2" t="s">
        <v>122</v>
      </c>
      <c r="I854" s="2" t="str">
        <f>IFERROR(__xludf.DUMMYFUNCTION("GOOGLETRANSLATE(C854,""fr"",""en"")"),"Increase in insurance after a year without claim, no explanation on pricing development. What I find unpleasant and disrespectful in verse the insured.
I have 2 vehicles insured with direct insurance, and the increase is made on the 2 vehicles.
Cdlt")</f>
        <v>Increase in insurance after a year without claim, no explanation on pricing development. What I find unpleasant and disrespectful in verse the insured.
I have 2 vehicles insured with direct insurance, and the increase is made on the 2 vehicles.
Cdlt</v>
      </c>
    </row>
    <row r="855" ht="15.75" customHeight="1">
      <c r="A855" s="2">
        <v>5.0</v>
      </c>
      <c r="B855" s="2" t="s">
        <v>2388</v>
      </c>
      <c r="C855" s="2" t="s">
        <v>2389</v>
      </c>
      <c r="D855" s="2" t="s">
        <v>26</v>
      </c>
      <c r="E855" s="2" t="s">
        <v>14</v>
      </c>
      <c r="F855" s="2" t="s">
        <v>15</v>
      </c>
      <c r="G855" s="2" t="s">
        <v>1565</v>
      </c>
      <c r="H855" s="2" t="s">
        <v>185</v>
      </c>
      <c r="I855" s="2" t="str">
        <f>IFERROR(__xludf.DUMMYFUNCTION("GOOGLETRANSLATE(C855,""fr"",""en"")"),"I am completely satisfied as in terms of price, service, follow -up and ease. I would record without hesitation and I already have 2 vehgicules azssuré at home and soon that of my son")</f>
        <v>I am completely satisfied as in terms of price, service, follow -up and ease. I would record without hesitation and I already have 2 vehgicules azssuré at home and soon that of my son</v>
      </c>
    </row>
    <row r="856" ht="15.75" customHeight="1">
      <c r="A856" s="2">
        <v>3.0</v>
      </c>
      <c r="B856" s="2" t="s">
        <v>2390</v>
      </c>
      <c r="C856" s="2" t="s">
        <v>2391</v>
      </c>
      <c r="D856" s="2" t="s">
        <v>305</v>
      </c>
      <c r="E856" s="2" t="s">
        <v>38</v>
      </c>
      <c r="F856" s="2" t="s">
        <v>15</v>
      </c>
      <c r="G856" s="2" t="s">
        <v>139</v>
      </c>
      <c r="H856" s="2" t="s">
        <v>140</v>
      </c>
      <c r="I856" s="2" t="str">
        <f>IFERROR(__xludf.DUMMYFUNCTION("GOOGLETRANSLATE(C856,""fr"",""en"")"),"Well, fast and easy, I recommend. On the other hand, I would have liked to be offered to monthly but no proposal for the various payment methods.")</f>
        <v>Well, fast and easy, I recommend. On the other hand, I would have liked to be offered to monthly but no proposal for the various payment methods.</v>
      </c>
    </row>
    <row r="857" ht="15.75" customHeight="1">
      <c r="A857" s="2">
        <v>5.0</v>
      </c>
      <c r="B857" s="2" t="s">
        <v>2392</v>
      </c>
      <c r="C857" s="2" t="s">
        <v>2393</v>
      </c>
      <c r="D857" s="2" t="s">
        <v>26</v>
      </c>
      <c r="E857" s="2" t="s">
        <v>14</v>
      </c>
      <c r="F857" s="2" t="s">
        <v>15</v>
      </c>
      <c r="G857" s="2" t="s">
        <v>2051</v>
      </c>
      <c r="H857" s="2" t="s">
        <v>81</v>
      </c>
      <c r="I857" s="2" t="str">
        <f>IFERROR(__xludf.DUMMYFUNCTION("GOOGLETRANSLATE(C857,""fr"",""en"")"),"Ok the prices are correct and the site is clear and precise.
It is very easy to create a contract on this site.
All my contracts are at Direct Assurances")</f>
        <v>Ok the prices are correct and the site is clear and precise.
It is very easy to create a contract on this site.
All my contracts are at Direct Assurances</v>
      </c>
    </row>
    <row r="858" ht="15.75" customHeight="1">
      <c r="A858" s="2">
        <v>5.0</v>
      </c>
      <c r="B858" s="2" t="s">
        <v>2394</v>
      </c>
      <c r="C858" s="2" t="s">
        <v>2395</v>
      </c>
      <c r="D858" s="2" t="s">
        <v>152</v>
      </c>
      <c r="E858" s="2" t="s">
        <v>21</v>
      </c>
      <c r="F858" s="2" t="s">
        <v>15</v>
      </c>
      <c r="G858" s="2" t="s">
        <v>2396</v>
      </c>
      <c r="H858" s="2" t="s">
        <v>63</v>
      </c>
      <c r="I858" s="2" t="str">
        <f>IFERROR(__xludf.DUMMYFUNCTION("GOOGLETRANSLATE(C858,""fr"",""en"")"),"Very good telephone reception, very good advisor. In my opinion the best mutual for our profession. Well reimbursed when you choose the contract adapted to your situation.
Member for 46 years.")</f>
        <v>Very good telephone reception, very good advisor. In my opinion the best mutual for our profession. Well reimbursed when you choose the contract adapted to your situation.
Member for 46 years.</v>
      </c>
    </row>
    <row r="859" ht="15.75" customHeight="1">
      <c r="A859" s="2">
        <v>2.0</v>
      </c>
      <c r="B859" s="2" t="s">
        <v>2397</v>
      </c>
      <c r="C859" s="2" t="s">
        <v>2398</v>
      </c>
      <c r="D859" s="2" t="s">
        <v>410</v>
      </c>
      <c r="E859" s="2" t="s">
        <v>14</v>
      </c>
      <c r="F859" s="2" t="s">
        <v>15</v>
      </c>
      <c r="G859" s="2" t="s">
        <v>2399</v>
      </c>
      <c r="H859" s="2" t="s">
        <v>194</v>
      </c>
      <c r="I859" s="2" t="str">
        <f>IFERROR(__xludf.DUMMYFUNCTION("GOOGLETRANSLATE(C859,""fr"",""en"")"),"I assured my first car all alone all proud to do an ""adult"" process! It's been 4 years and by chance my parents fell on the last schedule I received, and there they realized that I made myself a little. Instead of the only car insurance contract that I "&amp;"should have in fact I have 4 !!!!! And I who was happy not to pay too much I also paid for 3 other contracts which had been granted to me without my understanding much since I was only 18 years old. Very disappointed and in addition the height of certain "&amp;"contracts are useless because my parents cover me, seeing that I still live with them so disgusted to pay for nothing !!! In addition, apparently to terminate, I have to wait for the birthday therefore still lost money. Thank you for using my youth !!!!")</f>
        <v>I assured my first car all alone all proud to do an "adult" process! It's been 4 years and by chance my parents fell on the last schedule I received, and there they realized that I made myself a little. Instead of the only car insurance contract that I should have in fact I have 4 !!!!! And I who was happy not to pay too much I also paid for 3 other contracts which had been granted to me without my understanding much since I was only 18 years old. Very disappointed and in addition the height of certain contracts are useless because my parents cover me, seeing that I still live with them so disgusted to pay for nothing !!! In addition, apparently to terminate, I have to wait for the birthday therefore still lost money. Thank you for using my youth !!!!</v>
      </c>
    </row>
    <row r="860" ht="15.75" customHeight="1">
      <c r="A860" s="2">
        <v>1.0</v>
      </c>
      <c r="B860" s="2" t="s">
        <v>2400</v>
      </c>
      <c r="C860" s="2" t="s">
        <v>2401</v>
      </c>
      <c r="D860" s="2" t="s">
        <v>338</v>
      </c>
      <c r="E860" s="2" t="s">
        <v>14</v>
      </c>
      <c r="F860" s="2" t="s">
        <v>15</v>
      </c>
      <c r="G860" s="2" t="s">
        <v>2402</v>
      </c>
      <c r="H860" s="2" t="s">
        <v>45</v>
      </c>
      <c r="I860" s="2" t="str">
        <f>IFERROR(__xludf.DUMMYFUNCTION("GOOGLETRANSLATE(C860,""fr"",""en"")"),"Insurance to avoid, we feel like not to be heard, interlocutors who respond laconically, with ready -made sentences, and no way of being understood. Some advisers master French very badly, which only accentuates the difficulties encountered. Forget very q"&amp;"uickly !!!")</f>
        <v>Insurance to avoid, we feel like not to be heard, interlocutors who respond laconically, with ready -made sentences, and no way of being understood. Some advisers master French very badly, which only accentuates the difficulties encountered. Forget very quickly !!!</v>
      </c>
    </row>
    <row r="861" ht="15.75" customHeight="1">
      <c r="A861" s="2">
        <v>1.0</v>
      </c>
      <c r="B861" s="2" t="s">
        <v>2403</v>
      </c>
      <c r="C861" s="2" t="s">
        <v>2404</v>
      </c>
      <c r="D861" s="2" t="s">
        <v>996</v>
      </c>
      <c r="E861" s="2" t="s">
        <v>43</v>
      </c>
      <c r="F861" s="2" t="s">
        <v>15</v>
      </c>
      <c r="G861" s="2" t="s">
        <v>2405</v>
      </c>
      <c r="H861" s="2" t="s">
        <v>214</v>
      </c>
      <c r="I861" s="2" t="str">
        <f>IFERROR(__xludf.DUMMYFUNCTION("GOOGLETRANSLATE(C861,""fr"",""en"")"),"As long as it is to subscribe everything is fine.
At the first concern exposed, no solution is offered.
The advisers have no real qualification for being.
As for the situation of a total redemption for financing a purchase
real estate requested on Dec"&amp;"ember 9,
It is urgent to wait ....
Beautiful speeches without any follow -up
and process processing ....
Not to mention the too opaque and above all false management
As for the hidden commissions.
Organization to flee!")</f>
        <v>As long as it is to subscribe everything is fine.
At the first concern exposed, no solution is offered.
The advisers have no real qualification for being.
As for the situation of a total redemption for financing a purchase
real estate requested on December 9,
It is urgent to wait ....
Beautiful speeches without any follow -up
and process processing ....
Not to mention the too opaque and above all false management
As for the hidden commissions.
Organization to flee!</v>
      </c>
    </row>
    <row r="862" ht="15.75" customHeight="1">
      <c r="A862" s="2">
        <v>1.0</v>
      </c>
      <c r="B862" s="2" t="s">
        <v>2406</v>
      </c>
      <c r="C862" s="2" t="s">
        <v>2407</v>
      </c>
      <c r="D862" s="2" t="s">
        <v>53</v>
      </c>
      <c r="E862" s="2" t="s">
        <v>104</v>
      </c>
      <c r="F862" s="2" t="s">
        <v>15</v>
      </c>
      <c r="G862" s="2" t="s">
        <v>2408</v>
      </c>
      <c r="H862" s="2" t="s">
        <v>106</v>
      </c>
      <c r="I862" s="2" t="str">
        <f>IFERROR(__xludf.DUMMYFUNCTION("GOOGLETRANSLATE(C862,""fr"",""en"")"),"After 10 years without problem, a burglary this year and direct they terminate my contract!
What is it going on at the end of 2017? The Maaf has decided to turn all its customers ..?
And as I have seen in other comments and I confirm, they call you to"&amp;" tell you that they will not renew your contract next year, but do not tell the new insurance that you are struck off. . WTF ??")</f>
        <v>After 10 years without problem, a burglary this year and direct they terminate my contract!
What is it going on at the end of 2017? The Maaf has decided to turn all its customers ..?
And as I have seen in other comments and I confirm, they call you to tell you that they will not renew your contract next year, but do not tell the new insurance that you are struck off. . WTF ??</v>
      </c>
    </row>
    <row r="863" ht="15.75" customHeight="1">
      <c r="A863" s="2">
        <v>3.0</v>
      </c>
      <c r="B863" s="2" t="s">
        <v>2409</v>
      </c>
      <c r="C863" s="2" t="s">
        <v>2410</v>
      </c>
      <c r="D863" s="2" t="s">
        <v>57</v>
      </c>
      <c r="E863" s="2" t="s">
        <v>14</v>
      </c>
      <c r="F863" s="2" t="s">
        <v>15</v>
      </c>
      <c r="G863" s="2" t="s">
        <v>1150</v>
      </c>
      <c r="H863" s="2" t="s">
        <v>74</v>
      </c>
      <c r="I863" s="2" t="str">
        <f>IFERROR(__xludf.DUMMYFUNCTION("GOOGLETRANSLATE(C863,""fr"",""en"")"),"The prices are correct compared to the competition
An available and pleasant advisor
A quick subscription to the contract
I recommend
Clear explanations")</f>
        <v>The prices are correct compared to the competition
An available and pleasant advisor
A quick subscription to the contract
I recommend
Clear explanations</v>
      </c>
    </row>
    <row r="864" ht="15.75" customHeight="1">
      <c r="A864" s="2">
        <v>3.0</v>
      </c>
      <c r="B864" s="2" t="s">
        <v>2411</v>
      </c>
      <c r="C864" s="2" t="s">
        <v>2412</v>
      </c>
      <c r="D864" s="2" t="s">
        <v>26</v>
      </c>
      <c r="E864" s="2" t="s">
        <v>14</v>
      </c>
      <c r="F864" s="2" t="s">
        <v>15</v>
      </c>
      <c r="G864" s="2" t="s">
        <v>1368</v>
      </c>
      <c r="H864" s="2" t="s">
        <v>166</v>
      </c>
      <c r="I864" s="2" t="str">
        <f>IFERROR(__xludf.DUMMYFUNCTION("GOOGLETRANSLATE(C864,""fr"",""en"")"),"I am satisfied ... the prices are correct.
Viewed on TV and therefore made a quote.
Correct overall
                                         ")</f>
        <v>I am satisfied ... the prices are correct.
Viewed on TV and therefore made a quote.
Correct overall
                                         </v>
      </c>
    </row>
    <row r="865" ht="15.75" customHeight="1">
      <c r="A865" s="2">
        <v>4.0</v>
      </c>
      <c r="B865" s="2" t="s">
        <v>2413</v>
      </c>
      <c r="C865" s="2" t="s">
        <v>2414</v>
      </c>
      <c r="D865" s="2" t="s">
        <v>26</v>
      </c>
      <c r="E865" s="2" t="s">
        <v>14</v>
      </c>
      <c r="F865" s="2" t="s">
        <v>15</v>
      </c>
      <c r="G865" s="2" t="s">
        <v>829</v>
      </c>
      <c r="H865" s="2" t="s">
        <v>81</v>
      </c>
      <c r="I865" s="2" t="str">
        <f>IFERROR(__xludf.DUMMYFUNCTION("GOOGLETRANSLATE(C865,""fr"",""en"")"),"It's super cool !! I am very satisfied with direct insurance. This insurance is a mutual and solidarity system that allows a natural or legal person to protect themselves !!!")</f>
        <v>It's super cool !! I am very satisfied with direct insurance. This insurance is a mutual and solidarity system that allows a natural or legal person to protect themselves !!!</v>
      </c>
    </row>
    <row r="866" ht="15.75" customHeight="1">
      <c r="A866" s="2">
        <v>1.0</v>
      </c>
      <c r="B866" s="2" t="s">
        <v>2415</v>
      </c>
      <c r="C866" s="2" t="s">
        <v>2416</v>
      </c>
      <c r="D866" s="2" t="s">
        <v>48</v>
      </c>
      <c r="E866" s="2" t="s">
        <v>21</v>
      </c>
      <c r="F866" s="2" t="s">
        <v>15</v>
      </c>
      <c r="G866" s="2" t="s">
        <v>1934</v>
      </c>
      <c r="H866" s="2" t="s">
        <v>547</v>
      </c>
      <c r="I866" s="2" t="str">
        <f>IFERROR(__xludf.DUMMYFUNCTION("GOOGLETRANSLATE(C866,""fr"",""en"")"),"To flee-
Equipled health mutual contract (by LRAR because there is only that they accept). Following termination, I realize that I am still taken for another small parallel contract ""IJH"", which they were careful not to warn me during the termination"&amp;" of my mutual health. Result: 4-5 euros taken every month for 1 year.
Worse! When I realize it and their request to immediately terminate this small contract (by LRAR again), they tell me that the 2 -month notice period makes me switch to the following"&amp;" year, which will be completely due.
Result: 125 euros lost for nothing.
It's just scandalous.")</f>
        <v>To flee-
Equipled health mutual contract (by LRAR because there is only that they accept). Following termination, I realize that I am still taken for another small parallel contract "IJH", which they were careful not to warn me during the termination of my mutual health. Result: 4-5 euros taken every month for 1 year.
Worse! When I realize it and their request to immediately terminate this small contract (by LRAR again), they tell me that the 2 -month notice period makes me switch to the following year, which will be completely due.
Result: 125 euros lost for nothing.
It's just scandalous.</v>
      </c>
    </row>
    <row r="867" ht="15.75" customHeight="1">
      <c r="A867" s="2">
        <v>4.0</v>
      </c>
      <c r="B867" s="2" t="s">
        <v>2417</v>
      </c>
      <c r="C867" s="2" t="s">
        <v>2418</v>
      </c>
      <c r="D867" s="2" t="s">
        <v>26</v>
      </c>
      <c r="E867" s="2" t="s">
        <v>14</v>
      </c>
      <c r="F867" s="2" t="s">
        <v>15</v>
      </c>
      <c r="G867" s="2" t="s">
        <v>1544</v>
      </c>
      <c r="H867" s="2" t="s">
        <v>28</v>
      </c>
      <c r="I867" s="2" t="str">
        <f>IFERROR(__xludf.DUMMYFUNCTION("GOOGLETRANSLATE(C867,""fr"",""en"")"),"I am satisfied but a little long as a linen approach to change insurer with ttoutes the options offer, I did it with the help of a counselor")</f>
        <v>I am satisfied but a little long as a linen approach to change insurer with ttoutes the options offer, I did it with the help of a counselor</v>
      </c>
    </row>
    <row r="868" ht="15.75" customHeight="1">
      <c r="A868" s="2">
        <v>4.0</v>
      </c>
      <c r="B868" s="2" t="s">
        <v>2419</v>
      </c>
      <c r="C868" s="2" t="s">
        <v>2420</v>
      </c>
      <c r="D868" s="2" t="s">
        <v>13</v>
      </c>
      <c r="E868" s="2" t="s">
        <v>14</v>
      </c>
      <c r="F868" s="2" t="s">
        <v>15</v>
      </c>
      <c r="G868" s="2" t="s">
        <v>2421</v>
      </c>
      <c r="H868" s="2" t="s">
        <v>185</v>
      </c>
      <c r="I868" s="2" t="str">
        <f>IFERROR(__xludf.DUMMYFUNCTION("GOOGLETRANSLATE(C868,""fr"",""en"")"),"Hello
Troubleshooting requested this Saturday 08 May from Pacifica at 8:00 am
Solved by a professional Garage Dumeige Amiens Dreuil Picquigny
Perfect
Thank you for the performance, fast efficient.
Thank you also to Mr. Dumeige's breakdown company
")</f>
        <v>Hello
Troubleshooting requested this Saturday 08 May from Pacifica at 8:00 am
Solved by a professional Garage Dumeige Amiens Dreuil Picquigny
Perfect
Thank you for the performance, fast efficient.
Thank you also to Mr. Dumeige's breakdown company
</v>
      </c>
    </row>
    <row r="869" ht="15.75" customHeight="1">
      <c r="A869" s="2">
        <v>2.0</v>
      </c>
      <c r="B869" s="2" t="s">
        <v>2422</v>
      </c>
      <c r="C869" s="2" t="s">
        <v>2423</v>
      </c>
      <c r="D869" s="2" t="s">
        <v>26</v>
      </c>
      <c r="E869" s="2" t="s">
        <v>14</v>
      </c>
      <c r="F869" s="2" t="s">
        <v>15</v>
      </c>
      <c r="G869" s="2" t="s">
        <v>747</v>
      </c>
      <c r="H869" s="2" t="s">
        <v>90</v>
      </c>
      <c r="I869" s="2" t="str">
        <f>IFERROR(__xludf.DUMMYFUNCTION("GOOGLETRANSLATE(C869,""fr"",""en"")"),"Unfortunately never to have or discount after almost three years, the tax attack very good excuse to justify this price, however the price continues to increase each year I will change and leave with my bank's insurance")</f>
        <v>Unfortunately never to have or discount after almost three years, the tax attack very good excuse to justify this price, however the price continues to increase each year I will change and leave with my bank's insurance</v>
      </c>
    </row>
    <row r="870" ht="15.75" customHeight="1">
      <c r="A870" s="2">
        <v>3.0</v>
      </c>
      <c r="B870" s="2" t="s">
        <v>2424</v>
      </c>
      <c r="C870" s="2" t="s">
        <v>2425</v>
      </c>
      <c r="D870" s="2" t="s">
        <v>188</v>
      </c>
      <c r="E870" s="2" t="s">
        <v>14</v>
      </c>
      <c r="F870" s="2" t="s">
        <v>15</v>
      </c>
      <c r="G870" s="2" t="s">
        <v>1089</v>
      </c>
      <c r="H870" s="2" t="s">
        <v>90</v>
      </c>
      <c r="I870" s="2" t="str">
        <f>IFERROR(__xludf.DUMMYFUNCTION("GOOGLETRANSLATE(C870,""fr"",""en"")"),"I changed my car in January 2021, you issued me an online insurance certificate, telling myself that I will have the green thumbnail to affix the windshield within a month ... I 'Always wait, it may have been within a year ...? Ah yes the '' covid '' I wa"&amp;"s thinking about it anymore.
And I will have it when this little green sticker ... ??")</f>
        <v>I changed my car in January 2021, you issued me an online insurance certificate, telling myself that I will have the green thumbnail to affix the windshield within a month ... I 'Always wait, it may have been within a year ...? Ah yes the '' covid '' I was thinking about it anymore.
And I will have it when this little green sticker ... ??</v>
      </c>
    </row>
    <row r="871" ht="15.75" customHeight="1">
      <c r="A871" s="2">
        <v>4.0</v>
      </c>
      <c r="B871" s="2" t="s">
        <v>2426</v>
      </c>
      <c r="C871" s="2" t="s">
        <v>2427</v>
      </c>
      <c r="D871" s="2" t="s">
        <v>26</v>
      </c>
      <c r="E871" s="2" t="s">
        <v>14</v>
      </c>
      <c r="F871" s="2" t="s">
        <v>15</v>
      </c>
      <c r="G871" s="2" t="s">
        <v>426</v>
      </c>
      <c r="H871" s="2" t="s">
        <v>28</v>
      </c>
      <c r="I871" s="2" t="str">
        <f>IFERROR(__xludf.DUMMYFUNCTION("GOOGLETRANSLATE(C871,""fr"",""en"")"),"The price is competitive. It's fast on the internet. Hoping not to have an accident. If so, I hope to be refunded correctly.
Thanks very much")</f>
        <v>The price is competitive. It's fast on the internet. Hoping not to have an accident. If so, I hope to be refunded correctly.
Thanks very much</v>
      </c>
    </row>
    <row r="872" ht="15.75" customHeight="1">
      <c r="A872" s="2">
        <v>3.0</v>
      </c>
      <c r="B872" s="2" t="s">
        <v>2428</v>
      </c>
      <c r="C872" s="2" t="s">
        <v>2429</v>
      </c>
      <c r="D872" s="2" t="s">
        <v>188</v>
      </c>
      <c r="E872" s="2" t="s">
        <v>14</v>
      </c>
      <c r="F872" s="2" t="s">
        <v>15</v>
      </c>
      <c r="G872" s="2" t="s">
        <v>81</v>
      </c>
      <c r="H872" s="2" t="s">
        <v>81</v>
      </c>
      <c r="I872" s="2" t="str">
        <f>IFERROR(__xludf.DUMMYFUNCTION("GOOGLETRANSLATE(C872,""fr"",""en"")"),"Fortunately I have not yet needed the services of my insurance so I am not in a capacity the quality of these after a claim
Accessibility to the site and the responsiveness of my advisers in Albi are currently very satisfactory")</f>
        <v>Fortunately I have not yet needed the services of my insurance so I am not in a capacity the quality of these after a claim
Accessibility to the site and the responsiveness of my advisers in Albi are currently very satisfactory</v>
      </c>
    </row>
    <row r="873" ht="15.75" customHeight="1">
      <c r="A873" s="2">
        <v>4.0</v>
      </c>
      <c r="B873" s="2" t="s">
        <v>2430</v>
      </c>
      <c r="C873" s="2" t="s">
        <v>2431</v>
      </c>
      <c r="D873" s="2" t="s">
        <v>188</v>
      </c>
      <c r="E873" s="2" t="s">
        <v>14</v>
      </c>
      <c r="F873" s="2" t="s">
        <v>15</v>
      </c>
      <c r="G873" s="2" t="s">
        <v>1301</v>
      </c>
      <c r="H873" s="2" t="s">
        <v>74</v>
      </c>
      <c r="I873" s="2" t="str">
        <f>IFERROR(__xludf.DUMMYFUNCTION("GOOGLETRANSLATE(C873,""fr"",""en"")"),"No particular problem. Always a listening advisor. The answers are clear and precise. No doubt. attractive price compared to other insurance")</f>
        <v>No particular problem. Always a listening advisor. The answers are clear and precise. No doubt. attractive price compared to other insurance</v>
      </c>
    </row>
    <row r="874" ht="15.75" customHeight="1">
      <c r="A874" s="2">
        <v>4.0</v>
      </c>
      <c r="B874" s="2" t="s">
        <v>2432</v>
      </c>
      <c r="C874" s="2" t="s">
        <v>2433</v>
      </c>
      <c r="D874" s="2" t="s">
        <v>26</v>
      </c>
      <c r="E874" s="2" t="s">
        <v>14</v>
      </c>
      <c r="F874" s="2" t="s">
        <v>15</v>
      </c>
      <c r="G874" s="2" t="s">
        <v>750</v>
      </c>
      <c r="H874" s="2" t="s">
        <v>34</v>
      </c>
      <c r="I874" s="2" t="str">
        <f>IFERROR(__xludf.DUMMYFUNCTION("GOOGLETRANSLATE(C874,""fr"",""en"")"),"I do not pronounce at the moment I just need time to make an opinion, we will see in a few months
Thanking you
Best regards")</f>
        <v>I do not pronounce at the moment I just need time to make an opinion, we will see in a few months
Thanking you
Best regards</v>
      </c>
    </row>
    <row r="875" ht="15.75" customHeight="1">
      <c r="A875" s="2">
        <v>1.0</v>
      </c>
      <c r="B875" s="2" t="s">
        <v>2434</v>
      </c>
      <c r="C875" s="2" t="s">
        <v>2435</v>
      </c>
      <c r="D875" s="2" t="s">
        <v>20</v>
      </c>
      <c r="E875" s="2" t="s">
        <v>21</v>
      </c>
      <c r="F875" s="2" t="s">
        <v>15</v>
      </c>
      <c r="G875" s="2" t="s">
        <v>322</v>
      </c>
      <c r="H875" s="2" t="s">
        <v>140</v>
      </c>
      <c r="I875" s="2" t="str">
        <f>IFERROR(__xludf.DUMMYFUNCTION("GOOGLETRANSLATE(C875,""fr"",""en"")"),"Very bad reception on the platform, lack of respect and courtesy, unfair advice on over-completement in addition to the employer base, not reimbursements of care on invoices with an arsenal of non-admissible arguments, it is power procedures. To avoid, th"&amp;"eir advice cost me several hundred euros (samples, non -reimbursement of my partial care care). I only have to find a good lawyer ...")</f>
        <v>Very bad reception on the platform, lack of respect and courtesy, unfair advice on over-completement in addition to the employer base, not reimbursements of care on invoices with an arsenal of non-admissible arguments, it is power procedures. To avoid, their advice cost me several hundred euros (samples, non -reimbursement of my partial care care). I only have to find a good lawyer ...</v>
      </c>
    </row>
    <row r="876" ht="15.75" customHeight="1">
      <c r="A876" s="2">
        <v>2.0</v>
      </c>
      <c r="B876" s="2" t="s">
        <v>2436</v>
      </c>
      <c r="C876" s="2" t="s">
        <v>2437</v>
      </c>
      <c r="D876" s="2" t="s">
        <v>48</v>
      </c>
      <c r="E876" s="2" t="s">
        <v>21</v>
      </c>
      <c r="F876" s="2" t="s">
        <v>15</v>
      </c>
      <c r="G876" s="2" t="s">
        <v>2438</v>
      </c>
      <c r="H876" s="2" t="s">
        <v>201</v>
      </c>
      <c r="I876" s="2" t="str">
        <f>IFERROR(__xludf.DUMMYFUNCTION("GOOGLETRANSLATE(C876,""fr"",""en"")"),"Refunds are made, but no way to receive the corresponding statements despite several complaints. Therefore I change my mutual insurance at the end of the year")</f>
        <v>Refunds are made, but no way to receive the corresponding statements despite several complaints. Therefore I change my mutual insurance at the end of the year</v>
      </c>
    </row>
    <row r="877" ht="15.75" customHeight="1">
      <c r="A877" s="2">
        <v>4.0</v>
      </c>
      <c r="B877" s="2" t="s">
        <v>2439</v>
      </c>
      <c r="C877" s="2" t="s">
        <v>2440</v>
      </c>
      <c r="D877" s="2" t="s">
        <v>84</v>
      </c>
      <c r="E877" s="2" t="s">
        <v>104</v>
      </c>
      <c r="F877" s="2" t="s">
        <v>15</v>
      </c>
      <c r="G877" s="2" t="s">
        <v>93</v>
      </c>
      <c r="H877" s="2" t="s">
        <v>94</v>
      </c>
      <c r="I877" s="2" t="str">
        <f>IFERROR(__xludf.DUMMYFUNCTION("GOOGLETRANSLATE(C877,""fr"",""en"")"),"I suffered 2 water damage in 4 weeks in my condominium apartment. Mandated managers and liberal expert services have been very responsive to allow me in 6 weeks to be compensated")</f>
        <v>I suffered 2 water damage in 4 weeks in my condominium apartment. Mandated managers and liberal expert services have been very responsive to allow me in 6 weeks to be compensated</v>
      </c>
    </row>
    <row r="878" ht="15.75" customHeight="1">
      <c r="A878" s="2">
        <v>3.0</v>
      </c>
      <c r="B878" s="2" t="s">
        <v>2441</v>
      </c>
      <c r="C878" s="2" t="s">
        <v>2442</v>
      </c>
      <c r="D878" s="2" t="s">
        <v>26</v>
      </c>
      <c r="E878" s="2" t="s">
        <v>14</v>
      </c>
      <c r="F878" s="2" t="s">
        <v>15</v>
      </c>
      <c r="G878" s="2" t="s">
        <v>58</v>
      </c>
      <c r="H878" s="2" t="s">
        <v>34</v>
      </c>
      <c r="I878" s="2" t="str">
        <f>IFERROR(__xludf.DUMMYFUNCTION("GOOGLETRANSLATE(C878,""fr"",""en"")"),"I am satisfied with the price if not the procedures for the termination of another insurance to come to you are long the Macif has difficulty providing me with the information statement documents.")</f>
        <v>I am satisfied with the price if not the procedures for the termination of another insurance to come to you are long the Macif has difficulty providing me with the information statement documents.</v>
      </c>
    </row>
    <row r="879" ht="15.75" customHeight="1">
      <c r="A879" s="2">
        <v>5.0</v>
      </c>
      <c r="B879" s="2" t="s">
        <v>2443</v>
      </c>
      <c r="C879" s="2" t="s">
        <v>2444</v>
      </c>
      <c r="D879" s="2" t="s">
        <v>57</v>
      </c>
      <c r="E879" s="2" t="s">
        <v>14</v>
      </c>
      <c r="F879" s="2" t="s">
        <v>15</v>
      </c>
      <c r="G879" s="2" t="s">
        <v>234</v>
      </c>
      <c r="H879" s="2" t="s">
        <v>34</v>
      </c>
      <c r="I879" s="2" t="str">
        <f>IFERROR(__xludf.DUMMYFUNCTION("GOOGLETRANSLATE(C879,""fr"",""en"")"),"I am satisfied with the service and happy to be able to drive my first personal vehicle, without ruined me and that is thanks to you.")</f>
        <v>I am satisfied with the service and happy to be able to drive my first personal vehicle, without ruined me and that is thanks to you.</v>
      </c>
    </row>
    <row r="880" ht="15.75" customHeight="1">
      <c r="A880" s="2">
        <v>4.0</v>
      </c>
      <c r="B880" s="2" t="s">
        <v>2445</v>
      </c>
      <c r="C880" s="2" t="s">
        <v>2446</v>
      </c>
      <c r="D880" s="2" t="s">
        <v>57</v>
      </c>
      <c r="E880" s="2" t="s">
        <v>14</v>
      </c>
      <c r="F880" s="2" t="s">
        <v>15</v>
      </c>
      <c r="G880" s="2" t="s">
        <v>559</v>
      </c>
      <c r="H880" s="2" t="s">
        <v>74</v>
      </c>
      <c r="I880" s="2" t="str">
        <f>IFERROR(__xludf.DUMMYFUNCTION("GOOGLETRANSLATE(C880,""fr"",""en"")"),"I am satisfied with the contract offered by Agency as well as the prices offered and thank you for the speed of the service and the rapid processing of our request")</f>
        <v>I am satisfied with the contract offered by Agency as well as the prices offered and thank you for the speed of the service and the rapid processing of our request</v>
      </c>
    </row>
    <row r="881" ht="15.75" customHeight="1">
      <c r="A881" s="2">
        <v>5.0</v>
      </c>
      <c r="B881" s="2" t="s">
        <v>2447</v>
      </c>
      <c r="C881" s="2" t="s">
        <v>2448</v>
      </c>
      <c r="D881" s="2" t="s">
        <v>26</v>
      </c>
      <c r="E881" s="2" t="s">
        <v>14</v>
      </c>
      <c r="F881" s="2" t="s">
        <v>15</v>
      </c>
      <c r="G881" s="2" t="s">
        <v>2274</v>
      </c>
      <c r="H881" s="2" t="s">
        <v>81</v>
      </c>
      <c r="I881" s="2" t="str">
        <f>IFERROR(__xludf.DUMMYFUNCTION("GOOGLETRANSLATE(C881,""fr"",""en"")"),"I am satisfied with the service, prices are reasonable for a first car, good confidence, I am delighted to have taken this insurance, nothing to say")</f>
        <v>I am satisfied with the service, prices are reasonable for a first car, good confidence, I am delighted to have taken this insurance, nothing to say</v>
      </c>
    </row>
    <row r="882" ht="15.75" customHeight="1">
      <c r="A882" s="2">
        <v>4.0</v>
      </c>
      <c r="B882" s="2" t="s">
        <v>2449</v>
      </c>
      <c r="C882" s="2" t="s">
        <v>2450</v>
      </c>
      <c r="D882" s="2" t="s">
        <v>57</v>
      </c>
      <c r="E882" s="2" t="s">
        <v>14</v>
      </c>
      <c r="F882" s="2" t="s">
        <v>15</v>
      </c>
      <c r="G882" s="2" t="s">
        <v>39</v>
      </c>
      <c r="H882" s="2" t="s">
        <v>28</v>
      </c>
      <c r="I882" s="2" t="str">
        <f>IFERROR(__xludf.DUMMYFUNCTION("GOOGLETRANSLATE(C882,""fr"",""en"")"),"This is my first auto insurance subscription in France.
Simple and practical service, to recommend.
Friendly and competent customer service.
Rather satisfactory price level.")</f>
        <v>This is my first auto insurance subscription in France.
Simple and practical service, to recommend.
Friendly and competent customer service.
Rather satisfactory price level.</v>
      </c>
    </row>
    <row r="883" ht="15.75" customHeight="1">
      <c r="A883" s="2">
        <v>4.0</v>
      </c>
      <c r="B883" s="2" t="s">
        <v>2451</v>
      </c>
      <c r="C883" s="2" t="s">
        <v>2452</v>
      </c>
      <c r="D883" s="2" t="s">
        <v>57</v>
      </c>
      <c r="E883" s="2" t="s">
        <v>14</v>
      </c>
      <c r="F883" s="2" t="s">
        <v>15</v>
      </c>
      <c r="G883" s="2" t="s">
        <v>2453</v>
      </c>
      <c r="H883" s="2" t="s">
        <v>90</v>
      </c>
      <c r="I883" s="2" t="str">
        <f>IFERROR(__xludf.DUMMYFUNCTION("GOOGLETRANSLATE(C883,""fr"",""en"")"),"I am satisfied with my insurance contract as a whole. I thank Mr Attouch (customer at home) who recommended you. Likewise, in turn, I will recommend you ... Thank you")</f>
        <v>I am satisfied with my insurance contract as a whole. I thank Mr Attouch (customer at home) who recommended you. Likewise, in turn, I will recommend you ... Thank you</v>
      </c>
    </row>
    <row r="884" ht="15.75" customHeight="1">
      <c r="A884" s="2">
        <v>4.0</v>
      </c>
      <c r="B884" s="2" t="s">
        <v>2454</v>
      </c>
      <c r="C884" s="2" t="s">
        <v>2455</v>
      </c>
      <c r="D884" s="2" t="s">
        <v>26</v>
      </c>
      <c r="E884" s="2" t="s">
        <v>14</v>
      </c>
      <c r="F884" s="2" t="s">
        <v>15</v>
      </c>
      <c r="G884" s="2" t="s">
        <v>2456</v>
      </c>
      <c r="H884" s="2" t="s">
        <v>90</v>
      </c>
      <c r="I884" s="2" t="str">
        <f>IFERROR(__xludf.DUMMYFUNCTION("GOOGLETRANSLATE(C884,""fr"",""en"")"),"Customer accustomed for several years with satisfaction.
Two vehicles under cover at Direct Insurance.
No problem, it ensures as we expect.")</f>
        <v>Customer accustomed for several years with satisfaction.
Two vehicles under cover at Direct Insurance.
No problem, it ensures as we expect.</v>
      </c>
    </row>
    <row r="885" ht="15.75" customHeight="1">
      <c r="A885" s="2">
        <v>5.0</v>
      </c>
      <c r="B885" s="2" t="s">
        <v>2457</v>
      </c>
      <c r="C885" s="2" t="s">
        <v>2458</v>
      </c>
      <c r="D885" s="2" t="s">
        <v>57</v>
      </c>
      <c r="E885" s="2" t="s">
        <v>14</v>
      </c>
      <c r="F885" s="2" t="s">
        <v>15</v>
      </c>
      <c r="G885" s="2" t="s">
        <v>2459</v>
      </c>
      <c r="H885" s="2" t="s">
        <v>17</v>
      </c>
      <c r="I885" s="2" t="str">
        <f>IFERROR(__xludf.DUMMYFUNCTION("GOOGLETRANSLATE(C885,""fr"",""en"")"),"Very delighted with this insurer. They were super responsive when I had a problem.
And in addition I saved lots of money by changing insurer.")</f>
        <v>Very delighted with this insurer. They were super responsive when I had a problem.
And in addition I saved lots of money by changing insurer.</v>
      </c>
    </row>
    <row r="886" ht="15.75" customHeight="1">
      <c r="A886" s="2">
        <v>5.0</v>
      </c>
      <c r="B886" s="2" t="s">
        <v>2460</v>
      </c>
      <c r="C886" s="2" t="s">
        <v>2461</v>
      </c>
      <c r="D886" s="2" t="s">
        <v>57</v>
      </c>
      <c r="E886" s="2" t="s">
        <v>14</v>
      </c>
      <c r="F886" s="2" t="s">
        <v>15</v>
      </c>
      <c r="G886" s="2" t="s">
        <v>1343</v>
      </c>
      <c r="H886" s="2" t="s">
        <v>515</v>
      </c>
      <c r="I886" s="2" t="str">
        <f>IFERROR(__xludf.DUMMYFUNCTION("GOOGLETRANSLATE(C886,""fr"",""en"")"),"Satasafais already I have 2 cars insured and everything has always gone well !! Happy to know how to meet the olive assurance, hoping for a long collaboration")</f>
        <v>Satasafais already I have 2 cars insured and everything has always gone well !! Happy to know how to meet the olive assurance, hoping for a long collaboration</v>
      </c>
    </row>
    <row r="887" ht="15.75" customHeight="1">
      <c r="A887" s="2">
        <v>1.0</v>
      </c>
      <c r="B887" s="2" t="s">
        <v>2462</v>
      </c>
      <c r="C887" s="2" t="s">
        <v>2463</v>
      </c>
      <c r="D887" s="2" t="s">
        <v>534</v>
      </c>
      <c r="E887" s="2" t="s">
        <v>32</v>
      </c>
      <c r="F887" s="2" t="s">
        <v>15</v>
      </c>
      <c r="G887" s="2" t="s">
        <v>2464</v>
      </c>
      <c r="H887" s="2" t="s">
        <v>106</v>
      </c>
      <c r="I887" s="2" t="str">
        <f>IFERROR(__xludf.DUMMYFUNCTION("GOOGLETRANSLATE(C887,""fr"",""en"")"),"Zero, zero, incompetent, deplorable service, reimbursement delay incompatible with human problems in the face of diseases, signature at the bottom of people who do not even exist, finally we are taken for fools and less than nothing !!")</f>
        <v>Zero, zero, incompetent, deplorable service, reimbursement delay incompatible with human problems in the face of diseases, signature at the bottom of people who do not even exist, finally we are taken for fools and less than nothing !!</v>
      </c>
    </row>
    <row r="888" ht="15.75" customHeight="1">
      <c r="A888" s="2">
        <v>4.0</v>
      </c>
      <c r="B888" s="2" t="s">
        <v>2465</v>
      </c>
      <c r="C888" s="2" t="s">
        <v>2466</v>
      </c>
      <c r="D888" s="2" t="s">
        <v>57</v>
      </c>
      <c r="E888" s="2" t="s">
        <v>14</v>
      </c>
      <c r="F888" s="2" t="s">
        <v>15</v>
      </c>
      <c r="G888" s="2" t="s">
        <v>1293</v>
      </c>
      <c r="H888" s="2" t="s">
        <v>81</v>
      </c>
      <c r="I888" s="2" t="str">
        <f>IFERROR(__xludf.DUMMYFUNCTION("GOOGLETRANSLATE(C888,""fr"",""en"")"),"Having 3 insurance contracts, I would have hoped that loyalty is more paid and that prices are more decreasing. I hope that a commercial gesture will be taken into account it is the only negative point.")</f>
        <v>Having 3 insurance contracts, I would have hoped that loyalty is more paid and that prices are more decreasing. I hope that a commercial gesture will be taken into account it is the only negative point.</v>
      </c>
    </row>
    <row r="889" ht="15.75" customHeight="1">
      <c r="A889" s="2">
        <v>1.0</v>
      </c>
      <c r="B889" s="2" t="s">
        <v>2467</v>
      </c>
      <c r="C889" s="2" t="s">
        <v>2468</v>
      </c>
      <c r="D889" s="2" t="s">
        <v>53</v>
      </c>
      <c r="E889" s="2" t="s">
        <v>14</v>
      </c>
      <c r="F889" s="2" t="s">
        <v>15</v>
      </c>
      <c r="G889" s="2" t="s">
        <v>980</v>
      </c>
      <c r="H889" s="2" t="s">
        <v>980</v>
      </c>
      <c r="I889" s="2" t="str">
        <f>IFERROR(__xludf.DUMMYFUNCTION("GOOGLETRANSLATE(C889,""fr"",""en"")"),"Their price is too expensive. To add a spouse the double price ?? !!!! are not returned to me following the request of Assurland. I will surely terminate my contract quickly.")</f>
        <v>Their price is too expensive. To add a spouse the double price ?? !!!! are not returned to me following the request of Assurland. I will surely terminate my contract quickly.</v>
      </c>
    </row>
    <row r="890" ht="15.75" customHeight="1">
      <c r="A890" s="2">
        <v>4.0</v>
      </c>
      <c r="B890" s="2" t="s">
        <v>2469</v>
      </c>
      <c r="C890" s="2" t="s">
        <v>2470</v>
      </c>
      <c r="D890" s="2" t="s">
        <v>152</v>
      </c>
      <c r="E890" s="2" t="s">
        <v>21</v>
      </c>
      <c r="F890" s="2" t="s">
        <v>15</v>
      </c>
      <c r="G890" s="2" t="s">
        <v>2364</v>
      </c>
      <c r="H890" s="2" t="s">
        <v>208</v>
      </c>
      <c r="I890" s="2" t="str">
        <f>IFERROR(__xludf.DUMMYFUNCTION("GOOGLETRANSLATE(C890,""fr"",""en"")"),"Hello, more and more difficult to manage the files either, that is to say to have expanded the skills of the MGP with several large organizations of clear health and almeris and to let the members manage on their own with their computer Especially for peo"&amp;"ple who do not manage this instrument well. You should have left local agencies open with their offices to facilitate the stains of members. The papers that we send are lost quite often and the treatments are very long. In addition, the rates high enough "&amp;"for the services given.")</f>
        <v>Hello, more and more difficult to manage the files either, that is to say to have expanded the skills of the MGP with several large organizations of clear health and almeris and to let the members manage on their own with their computer Especially for people who do not manage this instrument well. You should have left local agencies open with their offices to facilitate the stains of members. The papers that we send are lost quite often and the treatments are very long. In addition, the rates high enough for the services given.</v>
      </c>
    </row>
    <row r="891" ht="15.75" customHeight="1">
      <c r="A891" s="2">
        <v>2.0</v>
      </c>
      <c r="B891" s="2" t="s">
        <v>2471</v>
      </c>
      <c r="C891" s="2" t="s">
        <v>2472</v>
      </c>
      <c r="D891" s="2" t="s">
        <v>188</v>
      </c>
      <c r="E891" s="2" t="s">
        <v>104</v>
      </c>
      <c r="F891" s="2" t="s">
        <v>15</v>
      </c>
      <c r="G891" s="2" t="s">
        <v>817</v>
      </c>
      <c r="H891" s="2" t="s">
        <v>818</v>
      </c>
      <c r="I891" s="2" t="str">
        <f>IFERROR(__xludf.DUMMYFUNCTION("GOOGLETRANSLATE(C891,""fr"",""en"")"),"Too bad I hadn't seen your message before! Same experience this year, 1 year after a disaster, I am informed that I will not touch anything. Movement in agency, total incompetence. The interlocutor does not know the details of the contracts, calls a servi"&amp;"ce and the telephone handset passes me (unheard of !!) impression of having contributed for nothing. I terminated everything. Same opinion: To avoid")</f>
        <v>Too bad I hadn't seen your message before! Same experience this year, 1 year after a disaster, I am informed that I will not touch anything. Movement in agency, total incompetence. The interlocutor does not know the details of the contracts, calls a service and the telephone handset passes me (unheard of !!) impression of having contributed for nothing. I terminated everything. Same opinion: To avoid</v>
      </c>
    </row>
    <row r="892" ht="15.75" customHeight="1">
      <c r="A892" s="2">
        <v>4.0</v>
      </c>
      <c r="B892" s="2" t="s">
        <v>2473</v>
      </c>
      <c r="C892" s="2" t="s">
        <v>2474</v>
      </c>
      <c r="D892" s="2" t="s">
        <v>37</v>
      </c>
      <c r="E892" s="2" t="s">
        <v>38</v>
      </c>
      <c r="F892" s="2" t="s">
        <v>15</v>
      </c>
      <c r="G892" s="2" t="s">
        <v>485</v>
      </c>
      <c r="H892" s="2" t="s">
        <v>122</v>
      </c>
      <c r="I892" s="2" t="str">
        <f>IFERROR(__xludf.DUMMYFUNCTION("GOOGLETRANSLATE(C892,""fr"",""en"")"),"I highly recommend this insurer. I have been at home for years for a van and motorcycles. They were super understanding and flexible during the flight of my motorcycle in 2020 and I was able to benefit from a good compensation. No other loss than this fli"&amp;"ght with them.")</f>
        <v>I highly recommend this insurer. I have been at home for years for a van and motorcycles. They were super understanding and flexible during the flight of my motorcycle in 2020 and I was able to benefit from a good compensation. No other loss than this flight with them.</v>
      </c>
    </row>
    <row r="893" ht="15.75" customHeight="1">
      <c r="A893" s="2">
        <v>5.0</v>
      </c>
      <c r="B893" s="2" t="s">
        <v>2475</v>
      </c>
      <c r="C893" s="2" t="s">
        <v>2476</v>
      </c>
      <c r="D893" s="2" t="s">
        <v>305</v>
      </c>
      <c r="E893" s="2" t="s">
        <v>38</v>
      </c>
      <c r="F893" s="2" t="s">
        <v>15</v>
      </c>
      <c r="G893" s="2" t="s">
        <v>2477</v>
      </c>
      <c r="H893" s="2" t="s">
        <v>140</v>
      </c>
      <c r="I893" s="2" t="str">
        <f>IFERROR(__xludf.DUMMYFUNCTION("GOOGLETRANSLATE(C893,""fr"",""en"")"),"I am satisfied with the offer thank you for everything I highly recommend all the new permits it is easy and effective the prices are affordable thank you")</f>
        <v>I am satisfied with the offer thank you for everything I highly recommend all the new permits it is easy and effective the prices are affordable thank you</v>
      </c>
    </row>
    <row r="894" ht="15.75" customHeight="1">
      <c r="A894" s="2">
        <v>1.0</v>
      </c>
      <c r="B894" s="2" t="s">
        <v>2478</v>
      </c>
      <c r="C894" s="2" t="s">
        <v>2479</v>
      </c>
      <c r="D894" s="2" t="s">
        <v>20</v>
      </c>
      <c r="E894" s="2" t="s">
        <v>21</v>
      </c>
      <c r="F894" s="2" t="s">
        <v>15</v>
      </c>
      <c r="G894" s="2" t="s">
        <v>2480</v>
      </c>
      <c r="H894" s="2" t="s">
        <v>90</v>
      </c>
      <c r="I894" s="2" t="str">
        <f>IFERROR(__xludf.DUMMYFUNCTION("GOOGLETRANSLATE(C894,""fr"",""en"")"),"The reimbursement service is an absolute disaster
It's been 2 and a half months and 3 calls and I'm waiting for a simple refund hence my dissatisfaction
To flee !")</f>
        <v>The reimbursement service is an absolute disaster
It's been 2 and a half months and 3 calls and I'm waiting for a simple refund hence my dissatisfaction
To flee !</v>
      </c>
    </row>
    <row r="895" ht="15.75" customHeight="1">
      <c r="A895" s="2">
        <v>1.0</v>
      </c>
      <c r="B895" s="2" t="s">
        <v>2481</v>
      </c>
      <c r="C895" s="2" t="s">
        <v>2482</v>
      </c>
      <c r="D895" s="2" t="s">
        <v>315</v>
      </c>
      <c r="E895" s="2" t="s">
        <v>14</v>
      </c>
      <c r="F895" s="2" t="s">
        <v>15</v>
      </c>
      <c r="G895" s="2" t="s">
        <v>2255</v>
      </c>
      <c r="H895" s="2" t="s">
        <v>208</v>
      </c>
      <c r="I895" s="2" t="str">
        <f>IFERROR(__xludf.DUMMYFUNCTION("GOOGLETRANSLATE(C895,""fr"",""en"")"),"Client for over 10 years for Eurofil car insurance
unhappy with the price paid no loyalty reward
erroneous information given by the person calling for selling home insurance no commercial sense")</f>
        <v>Client for over 10 years for Eurofil car insurance
unhappy with the price paid no loyalty reward
erroneous information given by the person calling for selling home insurance no commercial sense</v>
      </c>
    </row>
    <row r="896" ht="15.75" customHeight="1">
      <c r="A896" s="2">
        <v>3.0</v>
      </c>
      <c r="B896" s="2" t="s">
        <v>2483</v>
      </c>
      <c r="C896" s="2" t="s">
        <v>2484</v>
      </c>
      <c r="D896" s="2" t="s">
        <v>13</v>
      </c>
      <c r="E896" s="2" t="s">
        <v>14</v>
      </c>
      <c r="F896" s="2" t="s">
        <v>15</v>
      </c>
      <c r="G896" s="2" t="s">
        <v>2485</v>
      </c>
      <c r="H896" s="2" t="s">
        <v>23</v>
      </c>
      <c r="I896" s="2" t="str">
        <f>IFERROR(__xludf.DUMMYFUNCTION("GOOGLETRANSLATE(C896,""fr"",""en"")"),"Advisor available and quick response
Price: Early enough for a coverage to insure not top (+ € 83 for third parties) with a bonus of 1.
Top towing insurance (small + I was able to choose the garage where I wanted to send the car) personnel to such under"&amp;"standing
No reimbursement on their part, cannot express me
")</f>
        <v>Advisor available and quick response
Price: Early enough for a coverage to insure not top (+ € 83 for third parties) with a bonus of 1.
Top towing insurance (small + I was able to choose the garage where I wanted to send the car) personnel to such understanding
No reimbursement on their part, cannot express me
</v>
      </c>
    </row>
    <row r="897" ht="15.75" customHeight="1">
      <c r="A897" s="2">
        <v>1.0</v>
      </c>
      <c r="B897" s="2" t="s">
        <v>2486</v>
      </c>
      <c r="C897" s="2" t="s">
        <v>2487</v>
      </c>
      <c r="D897" s="2" t="s">
        <v>262</v>
      </c>
      <c r="E897" s="2" t="s">
        <v>14</v>
      </c>
      <c r="F897" s="2" t="s">
        <v>15</v>
      </c>
      <c r="G897" s="2" t="s">
        <v>997</v>
      </c>
      <c r="H897" s="2" t="s">
        <v>926</v>
      </c>
      <c r="I897" s="2" t="str">
        <f>IFERROR(__xludf.DUMMYFUNCTION("GOOGLETRANSLATE(C897,""fr"",""en"")"),"Too bad we cannot put 0 stars in terms of customer relations! At the start, a simple car breakdown and in the end 1 year and of Mi of galley (assistance below everything, unusable car etc, and in the end victim of abuse of weakness)! No help, no solution,"&amp;" arrogant and contemptuous staff. I am disabled and I lost everything. Thank you Axa!")</f>
        <v>Too bad we cannot put 0 stars in terms of customer relations! At the start, a simple car breakdown and in the end 1 year and of Mi of galley (assistance below everything, unusable car etc, and in the end victim of abuse of weakness)! No help, no solution, arrogant and contemptuous staff. I am disabled and I lost everything. Thank you Axa!</v>
      </c>
    </row>
    <row r="898" ht="15.75" customHeight="1">
      <c r="A898" s="2">
        <v>3.0</v>
      </c>
      <c r="B898" s="2" t="s">
        <v>2488</v>
      </c>
      <c r="C898" s="2" t="s">
        <v>2489</v>
      </c>
      <c r="D898" s="2" t="s">
        <v>26</v>
      </c>
      <c r="E898" s="2" t="s">
        <v>14</v>
      </c>
      <c r="F898" s="2" t="s">
        <v>15</v>
      </c>
      <c r="G898" s="2" t="s">
        <v>2490</v>
      </c>
      <c r="H898" s="2" t="s">
        <v>361</v>
      </c>
      <c r="I898" s="2" t="str">
        <f>IFERROR(__xludf.DUMMYFUNCTION("GOOGLETRANSLATE(C898,""fr"",""en"")"),"For information it is very difficult to obtain an attentive interlocutor, who always deviates the question to which no answer is provided. I do not recommend this company at all that makes dumping at the first deadline and in the event of an accident it i"&amp;"s very difficult to obtain repair")</f>
        <v>For information it is very difficult to obtain an attentive interlocutor, who always deviates the question to which no answer is provided. I do not recommend this company at all that makes dumping at the first deadline and in the event of an accident it is very difficult to obtain repair</v>
      </c>
    </row>
    <row r="899" ht="15.75" customHeight="1">
      <c r="A899" s="2">
        <v>1.0</v>
      </c>
      <c r="B899" s="2" t="s">
        <v>2491</v>
      </c>
      <c r="C899" s="2" t="s">
        <v>2492</v>
      </c>
      <c r="D899" s="2" t="s">
        <v>537</v>
      </c>
      <c r="E899" s="2" t="s">
        <v>104</v>
      </c>
      <c r="F899" s="2" t="s">
        <v>15</v>
      </c>
      <c r="G899" s="2" t="s">
        <v>2493</v>
      </c>
      <c r="H899" s="2" t="s">
        <v>63</v>
      </c>
      <c r="I899" s="2" t="str">
        <f>IFERROR(__xludf.DUMMYFUNCTION("GOOGLETRANSLATE(C899,""fr"",""en"")"),"Unreachable insurer, my file dates since February 2021 for water damage, which also concerns the condominium, towards which they can turn around.
To date, while the counter expertise has taken place in June, still no refund, no return, no exchange, no pa"&amp;"rt to the extranet.
How can the General Company are content to have contracts signed to its customers and then say that they themselves cannot reach them and can do nothing?
How is it possible in 2021 in France?
Get away from this insurer as quickly as"&amp;" possible!")</f>
        <v>Unreachable insurer, my file dates since February 2021 for water damage, which also concerns the condominium, towards which they can turn around.
To date, while the counter expertise has taken place in June, still no refund, no return, no exchange, no part to the extranet.
How can the General Company are content to have contracts signed to its customers and then say that they themselves cannot reach them and can do nothing?
How is it possible in 2021 in France?
Get away from this insurer as quickly as possible!</v>
      </c>
    </row>
    <row r="900" ht="15.75" customHeight="1">
      <c r="A900" s="2">
        <v>2.0</v>
      </c>
      <c r="B900" s="2" t="s">
        <v>2494</v>
      </c>
      <c r="C900" s="2" t="s">
        <v>2495</v>
      </c>
      <c r="D900" s="2" t="s">
        <v>188</v>
      </c>
      <c r="E900" s="2" t="s">
        <v>104</v>
      </c>
      <c r="F900" s="2" t="s">
        <v>15</v>
      </c>
      <c r="G900" s="2" t="s">
        <v>2496</v>
      </c>
      <c r="H900" s="2" t="s">
        <v>194</v>
      </c>
      <c r="I900" s="2" t="str">
        <f>IFERROR(__xludf.DUMMYFUNCTION("GOOGLETRANSLATE(C900,""fr"",""en"")"),"I moved. My subscribed contracts are not affected. 3 EUR of amendment for a computer line. Far too expensive and no prior info on these costs")</f>
        <v>I moved. My subscribed contracts are not affected. 3 EUR of amendment for a computer line. Far too expensive and no prior info on these costs</v>
      </c>
    </row>
    <row r="901" ht="15.75" customHeight="1">
      <c r="A901" s="2">
        <v>4.0</v>
      </c>
      <c r="B901" s="2" t="s">
        <v>2497</v>
      </c>
      <c r="C901" s="2" t="s">
        <v>2498</v>
      </c>
      <c r="D901" s="2" t="s">
        <v>57</v>
      </c>
      <c r="E901" s="2" t="s">
        <v>14</v>
      </c>
      <c r="F901" s="2" t="s">
        <v>15</v>
      </c>
      <c r="G901" s="2" t="s">
        <v>2042</v>
      </c>
      <c r="H901" s="2" t="s">
        <v>74</v>
      </c>
      <c r="I901" s="2" t="str">
        <f>IFERROR(__xludf.DUMMYFUNCTION("GOOGLETRANSLATE(C901,""fr"",""en"")"),"For the moment I am satisfied with the service as well as my interlocutor.
I'm waiting to see in time to see if the client service and really effective and competent")</f>
        <v>For the moment I am satisfied with the service as well as my interlocutor.
I'm waiting to see in time to see if the client service and really effective and competent</v>
      </c>
    </row>
    <row r="902" ht="15.75" customHeight="1">
      <c r="A902" s="2">
        <v>1.0</v>
      </c>
      <c r="B902" s="2" t="s">
        <v>2499</v>
      </c>
      <c r="C902" s="2" t="s">
        <v>2500</v>
      </c>
      <c r="D902" s="2" t="s">
        <v>262</v>
      </c>
      <c r="E902" s="2" t="s">
        <v>14</v>
      </c>
      <c r="F902" s="2" t="s">
        <v>15</v>
      </c>
      <c r="G902" s="2" t="s">
        <v>2501</v>
      </c>
      <c r="H902" s="2" t="s">
        <v>185</v>
      </c>
      <c r="I902" s="2" t="str">
        <f>IFERROR(__xludf.DUMMYFUNCTION("GOOGLETRANSLATE(C902,""fr"",""en"")"),"Yesterday, Saturday, May 8, 2021, a holiday, breakdown in the middle of the forest, supposed to have a depanting assistance, 0km moreover, but no, let's not dream too much, 0 Depannage! Bravo incompetence, with arguments like ""but it's day Ferié so at yo"&amp;"ur expense"" then ""also where you are at your garage there are 22km and above 20km there is an additional"" then Even in the countryside everything is over 20km! So I strongly advise against Axa for people living in the countryside !! Incredible but true"&amp;", so as not to spend hundreds of € uros I had to get out alone, fortunately my only day of rest ... it took me the whole day.
Conclusion&gt; Flee this conglomerate !!
Besides, they ""reimburse"" what they owe months later, when we say that they will never "&amp;"pay, and a miracle!
Not really, between their service and their investment in fragmentation weapons, lucrative certainly since these weapons are prohibited by the Geneva Convention, being at Axa is comparable to take a tour in hell! Whether it is for rep"&amp;"airing as for their legal service which is nothing less than another company than anxa ... we reach the substance.
Regards and for all those wishing to make sure to be well insured before signing a contract with the devil, flee let's see!")</f>
        <v>Yesterday, Saturday, May 8, 2021, a holiday, breakdown in the middle of the forest, supposed to have a depanting assistance, 0km moreover, but no, let's not dream too much, 0 Depannage! Bravo incompetence, with arguments like "but it's day Ferié so at your expense" then "also where you are at your garage there are 22km and above 20km there is an additional" then Even in the countryside everything is over 20km! So I strongly advise against Axa for people living in the countryside !! Incredible but true, so as not to spend hundreds of € uros I had to get out alone, fortunately my only day of rest ... it took me the whole day.
Conclusion&gt; Flee this conglomerate !!
Besides, they "reimburse" what they owe months later, when we say that they will never pay, and a miracle!
Not really, between their service and their investment in fragmentation weapons, lucrative certainly since these weapons are prohibited by the Geneva Convention, being at Axa is comparable to take a tour in hell! Whether it is for repairing as for their legal service which is nothing less than another company than anxa ... we reach the substance.
Regards and for all those wishing to make sure to be well insured before signing a contract with the devil, flee let's see!</v>
      </c>
    </row>
    <row r="903" ht="15.75" customHeight="1">
      <c r="A903" s="2">
        <v>5.0</v>
      </c>
      <c r="B903" s="2" t="s">
        <v>2502</v>
      </c>
      <c r="C903" s="2" t="s">
        <v>2503</v>
      </c>
      <c r="D903" s="2" t="s">
        <v>37</v>
      </c>
      <c r="E903" s="2" t="s">
        <v>38</v>
      </c>
      <c r="F903" s="2" t="s">
        <v>15</v>
      </c>
      <c r="G903" s="2" t="s">
        <v>1150</v>
      </c>
      <c r="H903" s="2" t="s">
        <v>74</v>
      </c>
      <c r="I903" s="2" t="str">
        <f>IFERROR(__xludf.DUMMYFUNCTION("GOOGLETRANSLATE(C903,""fr"",""en"")"),"I am very satisfied with the very simple and quick service and not very expensive and even by very friendly and kind phone listening really no worries thank you AMV")</f>
        <v>I am very satisfied with the very simple and quick service and not very expensive and even by very friendly and kind phone listening really no worries thank you AMV</v>
      </c>
    </row>
    <row r="904" ht="15.75" customHeight="1">
      <c r="A904" s="2">
        <v>4.0</v>
      </c>
      <c r="B904" s="2" t="s">
        <v>2504</v>
      </c>
      <c r="C904" s="2" t="s">
        <v>2505</v>
      </c>
      <c r="D904" s="2" t="s">
        <v>26</v>
      </c>
      <c r="E904" s="2" t="s">
        <v>14</v>
      </c>
      <c r="F904" s="2" t="s">
        <v>15</v>
      </c>
      <c r="G904" s="2" t="s">
        <v>77</v>
      </c>
      <c r="H904" s="2" t="s">
        <v>34</v>
      </c>
      <c r="I904" s="2" t="str">
        <f>IFERROR(__xludf.DUMMYFUNCTION("GOOGLETRANSLATE(C904,""fr"",""en"")"),"I am satisfied with the service offered and I highly recommend it. Listening and responsive thank you to you, however maybe a recommendation is to see or review the prices to be even more competitive than your contributor.")</f>
        <v>I am satisfied with the service offered and I highly recommend it. Listening and responsive thank you to you, however maybe a recommendation is to see or review the prices to be even more competitive than your contributor.</v>
      </c>
    </row>
    <row r="905" ht="15.75" customHeight="1">
      <c r="A905" s="2">
        <v>5.0</v>
      </c>
      <c r="B905" s="2" t="s">
        <v>2506</v>
      </c>
      <c r="C905" s="2" t="s">
        <v>2507</v>
      </c>
      <c r="D905" s="2" t="s">
        <v>26</v>
      </c>
      <c r="E905" s="2" t="s">
        <v>14</v>
      </c>
      <c r="F905" s="2" t="s">
        <v>15</v>
      </c>
      <c r="G905" s="2" t="s">
        <v>282</v>
      </c>
      <c r="H905" s="2" t="s">
        <v>28</v>
      </c>
      <c r="I905" s="2" t="str">
        <f>IFERROR(__xludf.DUMMYFUNCTION("GOOGLETRANSLATE(C905,""fr"",""en"")"),"Very well everything is simple the subscription and the prices of the insurance are very corresponding to our budget and the information is clear a single downside you must advance 2 contributions to subscribe")</f>
        <v>Very well everything is simple the subscription and the prices of the insurance are very corresponding to our budget and the information is clear a single downside you must advance 2 contributions to subscribe</v>
      </c>
    </row>
    <row r="906" ht="15.75" customHeight="1">
      <c r="A906" s="2">
        <v>3.0</v>
      </c>
      <c r="B906" s="2" t="s">
        <v>2508</v>
      </c>
      <c r="C906" s="2" t="s">
        <v>2509</v>
      </c>
      <c r="D906" s="2" t="s">
        <v>2510</v>
      </c>
      <c r="E906" s="2" t="s">
        <v>212</v>
      </c>
      <c r="F906" s="2" t="s">
        <v>15</v>
      </c>
      <c r="G906" s="2" t="s">
        <v>1233</v>
      </c>
      <c r="H906" s="2" t="s">
        <v>34</v>
      </c>
      <c r="I906" s="2" t="str">
        <f>IFERROR(__xludf.DUMMYFUNCTION("GOOGLETRANSLATE(C906,""fr"",""en"")"),"For the moment I am satisfied with the O'Poil insurance I sent the costs for the two small cats and a chain that I have been reimbursments made to me this Thursday last week.
")</f>
        <v>For the moment I am satisfied with the O'Poil insurance I sent the costs for the two small cats and a chain that I have been reimbursments made to me this Thursday last week.
</v>
      </c>
    </row>
    <row r="907" ht="15.75" customHeight="1">
      <c r="A907" s="2">
        <v>5.0</v>
      </c>
      <c r="B907" s="2" t="s">
        <v>2511</v>
      </c>
      <c r="C907" s="2" t="s">
        <v>2512</v>
      </c>
      <c r="D907" s="2" t="s">
        <v>57</v>
      </c>
      <c r="E907" s="2" t="s">
        <v>14</v>
      </c>
      <c r="F907" s="2" t="s">
        <v>15</v>
      </c>
      <c r="G907" s="2" t="s">
        <v>1349</v>
      </c>
      <c r="H907" s="2" t="s">
        <v>140</v>
      </c>
      <c r="I907" s="2" t="str">
        <f>IFERROR(__xludf.DUMMYFUNCTION("GOOGLETRANSLATE(C907,""fr"",""en"")"),"Very satisfied with prices and proposals. Very pleasant, friendly and very clear telephone welcome.
I would recommend those around me, it's sure.")</f>
        <v>Very satisfied with prices and proposals. Very pleasant, friendly and very clear telephone welcome.
I would recommend those around me, it's sure.</v>
      </c>
    </row>
    <row r="908" ht="15.75" customHeight="1">
      <c r="A908" s="2">
        <v>1.0</v>
      </c>
      <c r="B908" s="2" t="s">
        <v>2513</v>
      </c>
      <c r="C908" s="2" t="s">
        <v>2514</v>
      </c>
      <c r="D908" s="2" t="s">
        <v>103</v>
      </c>
      <c r="E908" s="2" t="s">
        <v>104</v>
      </c>
      <c r="F908" s="2" t="s">
        <v>15</v>
      </c>
      <c r="G908" s="2" t="s">
        <v>429</v>
      </c>
      <c r="H908" s="2" t="s">
        <v>34</v>
      </c>
      <c r="I908" s="2" t="str">
        <f>IFERROR(__xludf.DUMMYFUNCTION("GOOGLETRANSLATE(C908,""fr"",""en"")"),"I do not at all recommend very dissatisfied school insurance for children you must pay more accounting service which does not go back the computer of payment made by bank card we announce to you by phone that we must pay again and that ""you are in Delay "&amp;"""and in addition you are charged delay fees following direct debit rejection more than 8 euros per 1 days regularized which is more by bank card we announce you after you demand the accounting extract that you are sent and then You receive nothing except"&amp;" that you lose your days on the phone and that is without counting the absolutely disastrous remarks of certain advisers who speak to you as if you were the worst social case of the year")</f>
        <v>I do not at all recommend very dissatisfied school insurance for children you must pay more accounting service which does not go back the computer of payment made by bank card we announce to you by phone that we must pay again and that "you are in Delay "and in addition you are charged delay fees following direct debit rejection more than 8 euros per 1 days regularized which is more by bank card we announce you after you demand the accounting extract that you are sent and then You receive nothing except that you lose your days on the phone and that is without counting the absolutely disastrous remarks of certain advisers who speak to you as if you were the worst social case of the year</v>
      </c>
    </row>
    <row r="909" ht="15.75" customHeight="1">
      <c r="A909" s="2">
        <v>5.0</v>
      </c>
      <c r="B909" s="2" t="s">
        <v>2515</v>
      </c>
      <c r="C909" s="2" t="s">
        <v>2516</v>
      </c>
      <c r="D909" s="2" t="s">
        <v>37</v>
      </c>
      <c r="E909" s="2" t="s">
        <v>38</v>
      </c>
      <c r="F909" s="2" t="s">
        <v>15</v>
      </c>
      <c r="G909" s="2" t="s">
        <v>2477</v>
      </c>
      <c r="H909" s="2" t="s">
        <v>140</v>
      </c>
      <c r="I909" s="2" t="str">
        <f>IFERROR(__xludf.DUMMYFUNCTION("GOOGLETRANSLATE(C909,""fr"",""en"")"),"Reasonable value for money, easy contacts and approaches, research on the fun AMV site, taking charge and responses to immediate requests.")</f>
        <v>Reasonable value for money, easy contacts and approaches, research on the fun AMV site, taking charge and responses to immediate requests.</v>
      </c>
    </row>
    <row r="910" ht="15.75" customHeight="1">
      <c r="A910" s="2">
        <v>1.0</v>
      </c>
      <c r="B910" s="2" t="s">
        <v>2517</v>
      </c>
      <c r="C910" s="2" t="s">
        <v>2518</v>
      </c>
      <c r="D910" s="2" t="s">
        <v>84</v>
      </c>
      <c r="E910" s="2" t="s">
        <v>104</v>
      </c>
      <c r="F910" s="2" t="s">
        <v>15</v>
      </c>
      <c r="G910" s="2" t="s">
        <v>2519</v>
      </c>
      <c r="H910" s="2" t="s">
        <v>45</v>
      </c>
      <c r="I910" s="2" t="str">
        <f>IFERROR(__xludf.DUMMYFUNCTION("GOOGLETRANSLATE(C910,""fr"",""en"")"),"What a desappointment!!! Never be a victim of a break -in. The supporting documents and evidence that you will provide will never be taken into account. On the other hand, you will only arouse from managers from compassion. What irony to think that custom"&amp;"er loyalty - I have been a member for more than 45 years - is the concern of the Maif group.
Choose insurance or mutual that respects the terms of the contract.")</f>
        <v>What a desappointment!!! Never be a victim of a break -in. The supporting documents and evidence that you will provide will never be taken into account. On the other hand, you will only arouse from managers from compassion. What irony to think that customer loyalty - I have been a member for more than 45 years - is the concern of the Maif group.
Choose insurance or mutual that respects the terms of the contract.</v>
      </c>
    </row>
    <row r="911" ht="15.75" customHeight="1">
      <c r="A911" s="2">
        <v>2.0</v>
      </c>
      <c r="B911" s="2" t="s">
        <v>2520</v>
      </c>
      <c r="C911" s="2" t="s">
        <v>2521</v>
      </c>
      <c r="D911" s="2" t="s">
        <v>26</v>
      </c>
      <c r="E911" s="2" t="s">
        <v>14</v>
      </c>
      <c r="F911" s="2" t="s">
        <v>15</v>
      </c>
      <c r="G911" s="2" t="s">
        <v>2522</v>
      </c>
      <c r="H911" s="2" t="s">
        <v>90</v>
      </c>
      <c r="I911" s="2" t="str">
        <f>IFERROR(__xludf.DUMMYFUNCTION("GOOGLETRANSLATE(C911,""fr"",""en"")"),"The prices are correct certainly my services are not there.
A truck loses an iron bar in front of me on the highway, I pass on it and I leave it at least a wheel: you are below 50 km from your home (43) and it's a start ... Then I can tell me that it is "&amp;"a loss of control of my vehicle. Everything has done so that you are at fault. Not to mention the tone taken on the phone by certain operators. I specify that I am in any risk of leasing ...")</f>
        <v>The prices are correct certainly my services are not there.
A truck loses an iron bar in front of me on the highway, I pass on it and I leave it at least a wheel: you are below 50 km from your home (43) and it's a start ... Then I can tell me that it is a loss of control of my vehicle. Everything has done so that you are at fault. Not to mention the tone taken on the phone by certain operators. I specify that I am in any risk of leasing ...</v>
      </c>
    </row>
    <row r="912" ht="15.75" customHeight="1">
      <c r="A912" s="2">
        <v>2.0</v>
      </c>
      <c r="B912" s="2" t="s">
        <v>2523</v>
      </c>
      <c r="C912" s="2" t="s">
        <v>2524</v>
      </c>
      <c r="D912" s="2" t="s">
        <v>57</v>
      </c>
      <c r="E912" s="2" t="s">
        <v>14</v>
      </c>
      <c r="F912" s="2" t="s">
        <v>15</v>
      </c>
      <c r="G912" s="2" t="s">
        <v>1134</v>
      </c>
      <c r="H912" s="2" t="s">
        <v>395</v>
      </c>
      <c r="I912" s="2" t="str">
        <f>IFERROR(__xludf.DUMMYFUNCTION("GOOGLETRANSLATE(C912,""fr"",""en"")"),"I'm starting to panic! I do not have my final green card and I will soon ride without it! They ask me for an information statement (already sent 1 time) with date of termination of my old contract, which my former insurer does not provide! And everyone is"&amp;" unreachable!
So what is the solution? Ride without insurance? Go see elsewhere and lose my payment? The stress ! My contract in case: 1080162637")</f>
        <v>I'm starting to panic! I do not have my final green card and I will soon ride without it! They ask me for an information statement (already sent 1 time) with date of termination of my old contract, which my former insurer does not provide! And everyone is unreachable!
So what is the solution? Ride without insurance? Go see elsewhere and lose my payment? The stress ! My contract in case: 1080162637</v>
      </c>
    </row>
    <row r="913" ht="15.75" customHeight="1">
      <c r="A913" s="2">
        <v>1.0</v>
      </c>
      <c r="B913" s="2" t="s">
        <v>2525</v>
      </c>
      <c r="C913" s="2" t="s">
        <v>2526</v>
      </c>
      <c r="D913" s="2" t="s">
        <v>103</v>
      </c>
      <c r="E913" s="2" t="s">
        <v>43</v>
      </c>
      <c r="F913" s="2" t="s">
        <v>15</v>
      </c>
      <c r="G913" s="2" t="s">
        <v>1870</v>
      </c>
      <c r="H913" s="2" t="s">
        <v>86</v>
      </c>
      <c r="I913" s="2" t="str">
        <f>IFERROR(__xludf.DUMMYFUNCTION("GOOGLETRANSLATE(C913,""fr"",""en"")"),"To flee placement proposed by a life insurance advisor to transform my booklet into euro loss money despite 30 euros placed each month thank you for the 250 euro loss in 1 year I am not satisfied with the services we dare to say it is your fault. to consu"&amp;"lt my account I am answered what do you want us to do it for 11 years I am deceived and intend to leave")</f>
        <v>To flee placement proposed by a life insurance advisor to transform my booklet into euro loss money despite 30 euros placed each month thank you for the 250 euro loss in 1 year I am not satisfied with the services we dare to say it is your fault. to consult my account I am answered what do you want us to do it for 11 years I am deceived and intend to leave</v>
      </c>
    </row>
    <row r="914" ht="15.75" customHeight="1">
      <c r="A914" s="2">
        <v>1.0</v>
      </c>
      <c r="B914" s="2" t="s">
        <v>2527</v>
      </c>
      <c r="C914" s="2" t="s">
        <v>2528</v>
      </c>
      <c r="D914" s="2" t="s">
        <v>42</v>
      </c>
      <c r="E914" s="2" t="s">
        <v>14</v>
      </c>
      <c r="F914" s="2" t="s">
        <v>15</v>
      </c>
      <c r="G914" s="2" t="s">
        <v>1029</v>
      </c>
      <c r="H914" s="2" t="s">
        <v>818</v>
      </c>
      <c r="I914" s="2" t="str">
        <f>IFERROR(__xludf.DUMMYFUNCTION("GOOGLETRANSLATE(C914,""fr"",""en"")"),"Bad insurance broker Bad Service Customer Allianz No answer to questions. Allianz sits more expensive than the broker a shame")</f>
        <v>Bad insurance broker Bad Service Customer Allianz No answer to questions. Allianz sits more expensive than the broker a shame</v>
      </c>
    </row>
    <row r="915" ht="15.75" customHeight="1">
      <c r="A915" s="2">
        <v>3.0</v>
      </c>
      <c r="B915" s="2" t="s">
        <v>2529</v>
      </c>
      <c r="C915" s="2" t="s">
        <v>2530</v>
      </c>
      <c r="D915" s="2" t="s">
        <v>338</v>
      </c>
      <c r="E915" s="2" t="s">
        <v>14</v>
      </c>
      <c r="F915" s="2" t="s">
        <v>15</v>
      </c>
      <c r="G915" s="2" t="s">
        <v>1733</v>
      </c>
      <c r="H915" s="2" t="s">
        <v>17</v>
      </c>
      <c r="I915" s="2" t="str">
        <f>IFERROR(__xludf.DUMMYFUNCTION("GOOGLETRANSLATE(C915,""fr"",""en"")"),"hello mr Écoulet file 247024
I had a quote that I accepted and for 6 weeks I have been trying to provide the many requested parts. One still lacks one. The 30 days have passed, he asked me to pay, they have all the documents but do not send the final cer"&amp;"tificate. We are obliged to call a surcharged number, I explain my problem, they make us wait minimum 4 minutes and tell me that they will remind me of what it never do. I am wondering if I don't get caught.")</f>
        <v>hello mr Écoulet file 247024
I had a quote that I accepted and for 6 weeks I have been trying to provide the many requested parts. One still lacks one. The 30 days have passed, he asked me to pay, they have all the documents but do not send the final certificate. We are obliged to call a surcharged number, I explain my problem, they make us wait minimum 4 minutes and tell me that they will remind me of what it never do. I am wondering if I don't get caught.</v>
      </c>
    </row>
    <row r="916" ht="15.75" customHeight="1">
      <c r="A916" s="2">
        <v>1.0</v>
      </c>
      <c r="B916" s="2" t="s">
        <v>2531</v>
      </c>
      <c r="C916" s="2" t="s">
        <v>2532</v>
      </c>
      <c r="D916" s="2" t="s">
        <v>291</v>
      </c>
      <c r="E916" s="2" t="s">
        <v>109</v>
      </c>
      <c r="F916" s="2" t="s">
        <v>15</v>
      </c>
      <c r="G916" s="2" t="s">
        <v>2533</v>
      </c>
      <c r="H916" s="2" t="s">
        <v>390</v>
      </c>
      <c r="I916" s="2" t="str">
        <f>IFERROR(__xludf.DUMMYFUNCTION("GOOGLETRANSLATE(C916,""fr"",""en"")"),"Hello because of this foresight A2gr La Mondia I encounter finance difficulties agios etc they had to process my file as if by chance is a work stop in 33 days compensation which will rise to 1250 euro d after saying conversation I have registered they fo"&amp;"rgot To process my file as if by chance amount to rise they have transferred my file to the management service for waiting 4 months minimum I have bailiff seizures to pay every month and to stop these bank costs and make you wait Am in the obligation to s"&amp;"eize a lawyer and we will go to court even if it is long there will be damage and interest and I will prove them with the letter from bailiff here I meet a lawyer if there are people interested he told me if we do Collective remedies The file will pass qu"&amp;"ickly I already have 7 people who have accepted the collective appeal if in people are interested in your veuiller contact me at my email bessaso so@gmail.com")</f>
        <v>Hello because of this foresight A2gr La Mondia I encounter finance difficulties agios etc they had to process my file as if by chance is a work stop in 33 days compensation which will rise to 1250 euro d after saying conversation I have registered they forgot To process my file as if by chance amount to rise they have transferred my file to the management service for waiting 4 months minimum I have bailiff seizures to pay every month and to stop these bank costs and make you wait Am in the obligation to seize a lawyer and we will go to court even if it is long there will be damage and interest and I will prove them with the letter from bailiff here I meet a lawyer if there are people interested he told me if we do Collective remedies The file will pass quickly I already have 7 people who have accepted the collective appeal if in people are interested in your veuiller contact me at my email bessaso so@gmail.com</v>
      </c>
    </row>
    <row r="917" ht="15.75" customHeight="1">
      <c r="A917" s="2">
        <v>5.0</v>
      </c>
      <c r="B917" s="2" t="s">
        <v>2534</v>
      </c>
      <c r="C917" s="2" t="s">
        <v>2535</v>
      </c>
      <c r="D917" s="2" t="s">
        <v>26</v>
      </c>
      <c r="E917" s="2" t="s">
        <v>14</v>
      </c>
      <c r="F917" s="2" t="s">
        <v>15</v>
      </c>
      <c r="G917" s="2" t="s">
        <v>176</v>
      </c>
      <c r="H917" s="2" t="s">
        <v>34</v>
      </c>
      <c r="I917" s="2" t="str">
        <f>IFERROR(__xludf.DUMMYFUNCTION("GOOGLETRANSLATE(C917,""fr"",""en"")"),"Everything suits me frankly I am super happy with direct insurance I highly recommend this insurance company.
The prices are very interesting and the application very easy to access in short at the top")</f>
        <v>Everything suits me frankly I am super happy with direct insurance I highly recommend this insurance company.
The prices are very interesting and the application very easy to access in short at the top</v>
      </c>
    </row>
    <row r="918" ht="15.75" customHeight="1">
      <c r="A918" s="2">
        <v>1.0</v>
      </c>
      <c r="B918" s="2" t="s">
        <v>2536</v>
      </c>
      <c r="C918" s="2" t="s">
        <v>2537</v>
      </c>
      <c r="D918" s="2" t="s">
        <v>571</v>
      </c>
      <c r="E918" s="2" t="s">
        <v>21</v>
      </c>
      <c r="F918" s="2" t="s">
        <v>15</v>
      </c>
      <c r="G918" s="2" t="s">
        <v>2538</v>
      </c>
      <c r="H918" s="2" t="s">
        <v>90</v>
      </c>
      <c r="I918" s="2" t="str">
        <f>IFERROR(__xludf.DUMMYFUNCTION("GOOGLETRANSLATE(C918,""fr"",""en"")"),"I wonder if it is not a pseudo insurance. A member since January 1, 2021 I have always received no refund of simple consultations from my declared general practitioner. After 6 months I just received my official member card ...
I sent x emails and x time"&amp;"s all the necessary supporting documents and social security statements; Pain lost I have no answer. By cons my monthly sample is very effective.
In conclusion, run away from this mutual if you don't want to be fooled. I also look forward to the legal de"&amp;"adline to terminate and oppose the samples")</f>
        <v>I wonder if it is not a pseudo insurance. A member since January 1, 2021 I have always received no refund of simple consultations from my declared general practitioner. After 6 months I just received my official member card ...
I sent x emails and x times all the necessary supporting documents and social security statements; Pain lost I have no answer. By cons my monthly sample is very effective.
In conclusion, run away from this mutual if you don't want to be fooled. I also look forward to the legal deadline to terminate and oppose the samples</v>
      </c>
    </row>
    <row r="919" ht="15.75" customHeight="1">
      <c r="A919" s="2">
        <v>2.0</v>
      </c>
      <c r="B919" s="2" t="s">
        <v>2539</v>
      </c>
      <c r="C919" s="2" t="s">
        <v>2540</v>
      </c>
      <c r="D919" s="2" t="s">
        <v>26</v>
      </c>
      <c r="E919" s="2" t="s">
        <v>14</v>
      </c>
      <c r="F919" s="2" t="s">
        <v>15</v>
      </c>
      <c r="G919" s="2" t="s">
        <v>808</v>
      </c>
      <c r="H919" s="2" t="s">
        <v>34</v>
      </c>
      <c r="I919" s="2" t="str">
        <f>IFERROR(__xludf.DUMMYFUNCTION("GOOGLETRANSLATE(C919,""fr"",""en"")"),"I am not at all satisfied for more than a year that I am told an accident on my information statement, accident not wrong with Deli leak from the other driver or I had to pay a deductible that I cannot assume financially at my request No compensation was "&amp;"made, however it is always told on my information statement, even after the necessary processes with document which was given by themselves or I give them up responsibility and Or I take care of everything and would not engage in any prosecution, always p"&amp;"romise that will correct their error and always nothing to do for my part the OK prices, the rest 0")</f>
        <v>I am not at all satisfied for more than a year that I am told an accident on my information statement, accident not wrong with Deli leak from the other driver or I had to pay a deductible that I cannot assume financially at my request No compensation was made, however it is always told on my information statement, even after the necessary processes with document which was given by themselves or I give them up responsibility and Or I take care of everything and would not engage in any prosecution, always promise that will correct their error and always nothing to do for my part the OK prices, the rest 0</v>
      </c>
    </row>
    <row r="920" ht="15.75" customHeight="1">
      <c r="A920" s="2">
        <v>3.0</v>
      </c>
      <c r="B920" s="2" t="s">
        <v>2541</v>
      </c>
      <c r="C920" s="2" t="s">
        <v>2542</v>
      </c>
      <c r="D920" s="2" t="s">
        <v>164</v>
      </c>
      <c r="E920" s="2" t="s">
        <v>43</v>
      </c>
      <c r="F920" s="2" t="s">
        <v>15</v>
      </c>
      <c r="G920" s="2" t="s">
        <v>2543</v>
      </c>
      <c r="H920" s="2" t="s">
        <v>166</v>
      </c>
      <c r="I920" s="2" t="str">
        <f>IFERROR(__xludf.DUMMYFUNCTION("GOOGLETRANSLATE(C920,""fr"",""en"")"),"When you ask for a total or partial buyout they do not process the request they do not receive by email the requested documents lol
I have been a customer since 2006 I lost money with their stock market investments made by incompetent, so that I went by "&amp;"simple savings and there we can not even have come. We want to leave this savings on a booklet that is accessible to him")</f>
        <v>When you ask for a total or partial buyout they do not process the request they do not receive by email the requested documents lol
I have been a customer since 2006 I lost money with their stock market investments made by incompetent, so that I went by simple savings and there we can not even have come. We want to leave this savings on a booklet that is accessible to him</v>
      </c>
    </row>
    <row r="921" ht="15.75" customHeight="1">
      <c r="A921" s="2">
        <v>1.0</v>
      </c>
      <c r="B921" s="2" t="s">
        <v>2544</v>
      </c>
      <c r="C921" s="2" t="s">
        <v>2545</v>
      </c>
      <c r="D921" s="2" t="s">
        <v>57</v>
      </c>
      <c r="E921" s="2" t="s">
        <v>14</v>
      </c>
      <c r="F921" s="2" t="s">
        <v>15</v>
      </c>
      <c r="G921" s="2" t="s">
        <v>1870</v>
      </c>
      <c r="H921" s="2" t="s">
        <v>86</v>
      </c>
      <c r="I921" s="2" t="str">
        <f>IFERROR(__xludf.DUMMYFUNCTION("GOOGLETRANSLATE(C921,""fr"",""en"")"),"Following a non -responsible claim dated 06/21/2018, I send the set indicating the accident is not attributable to me. In conclusion, I am not responsible. Wanting to speed up the situation, I ask by email, the address of an approved garage but I had no r"&amp;"esponse despite multiple telephone reminders. He therefore offers to find a garage for photo expertise but following several reminders, an expert made a figure 6 months later. As I am a third party insured, expertise is only conservatory and compensation "&amp;"is subject to the appeal committed to the opposing party. I therefore ask myself the question of what an insurance can be used if it is unable to subrogate to another identified. Thank you for your reply.")</f>
        <v>Following a non -responsible claim dated 06/21/2018, I send the set indicating the accident is not attributable to me. In conclusion, I am not responsible. Wanting to speed up the situation, I ask by email, the address of an approved garage but I had no response despite multiple telephone reminders. He therefore offers to find a garage for photo expertise but following several reminders, an expert made a figure 6 months later. As I am a third party insured, expertise is only conservatory and compensation is subject to the appeal committed to the opposing party. I therefore ask myself the question of what an insurance can be used if it is unable to subrogate to another identified. Thank you for your reply.</v>
      </c>
    </row>
    <row r="922" ht="15.75" customHeight="1">
      <c r="A922" s="2">
        <v>3.0</v>
      </c>
      <c r="B922" s="2" t="s">
        <v>2546</v>
      </c>
      <c r="C922" s="2" t="s">
        <v>2547</v>
      </c>
      <c r="D922" s="2" t="s">
        <v>57</v>
      </c>
      <c r="E922" s="2" t="s">
        <v>14</v>
      </c>
      <c r="F922" s="2" t="s">
        <v>15</v>
      </c>
      <c r="G922" s="2" t="s">
        <v>1887</v>
      </c>
      <c r="H922" s="2" t="s">
        <v>74</v>
      </c>
      <c r="I922" s="2" t="str">
        <f>IFERROR(__xludf.DUMMYFUNCTION("GOOGLETRANSLATE(C922,""fr"",""en"")"),"I am rather satisfied with this insurance despite that the price is too excessive, the customer service on the phone is not always present and the quality of the lappele is rather correct")</f>
        <v>I am rather satisfied with this insurance despite that the price is too excessive, the customer service on the phone is not always present and the quality of the lappele is rather correct</v>
      </c>
    </row>
    <row r="923" ht="15.75" customHeight="1">
      <c r="A923" s="2">
        <v>5.0</v>
      </c>
      <c r="B923" s="2" t="s">
        <v>2548</v>
      </c>
      <c r="C923" s="2" t="s">
        <v>2549</v>
      </c>
      <c r="D923" s="2" t="s">
        <v>305</v>
      </c>
      <c r="E923" s="2" t="s">
        <v>38</v>
      </c>
      <c r="F923" s="2" t="s">
        <v>15</v>
      </c>
      <c r="G923" s="2" t="s">
        <v>1293</v>
      </c>
      <c r="H923" s="2" t="s">
        <v>81</v>
      </c>
      <c r="I923" s="2" t="str">
        <f>IFERROR(__xludf.DUMMYFUNCTION("GOOGLETRANSLATE(C923,""fr"",""en"")"),"The guarantees are well explained, everything is very clear and the prices are very correct. I recommend.
For the rest, we always know what an insurance is really worth it when we need it, I hope not to have recourse =)")</f>
        <v>The guarantees are well explained, everything is very clear and the prices are very correct. I recommend.
For the rest, we always know what an insurance is really worth it when we need it, I hope not to have recourse =)</v>
      </c>
    </row>
    <row r="924" ht="15.75" customHeight="1">
      <c r="A924" s="2">
        <v>4.0</v>
      </c>
      <c r="B924" s="2" t="s">
        <v>2550</v>
      </c>
      <c r="C924" s="2" t="s">
        <v>2551</v>
      </c>
      <c r="D924" s="2" t="s">
        <v>181</v>
      </c>
      <c r="E924" s="2" t="s">
        <v>21</v>
      </c>
      <c r="F924" s="2" t="s">
        <v>15</v>
      </c>
      <c r="G924" s="2" t="s">
        <v>276</v>
      </c>
      <c r="H924" s="2" t="s">
        <v>81</v>
      </c>
      <c r="I924" s="2" t="str">
        <f>IFERROR(__xludf.DUMMYFUNCTION("GOOGLETRANSLATE(C924,""fr"",""en"")"),"I just subscribed to a mutual insurance company for me and my family and the registration was simple and quick and the prices are completely correct I was contacted right away to know exactly my customer service needs
")</f>
        <v>I just subscribed to a mutual insurance company for me and my family and the registration was simple and quick and the prices are completely correct I was contacted right away to know exactly my customer service needs
</v>
      </c>
    </row>
    <row r="925" ht="15.75" customHeight="1">
      <c r="A925" s="2">
        <v>4.0</v>
      </c>
      <c r="B925" s="2" t="s">
        <v>2552</v>
      </c>
      <c r="C925" s="2" t="s">
        <v>2553</v>
      </c>
      <c r="D925" s="2" t="s">
        <v>48</v>
      </c>
      <c r="E925" s="2" t="s">
        <v>21</v>
      </c>
      <c r="F925" s="2" t="s">
        <v>15</v>
      </c>
      <c r="G925" s="2" t="s">
        <v>2554</v>
      </c>
      <c r="H925" s="2" t="s">
        <v>1255</v>
      </c>
      <c r="I925" s="2" t="str">
        <f>IFERROR(__xludf.DUMMYFUNCTION("GOOGLETRANSLATE(C925,""fr"",""en"")"),"Satisfied with this mutual insurance for reimbursements and monitoring of the contract")</f>
        <v>Satisfied with this mutual insurance for reimbursements and monitoring of the contract</v>
      </c>
    </row>
    <row r="926" ht="15.75" customHeight="1">
      <c r="A926" s="2">
        <v>4.0</v>
      </c>
      <c r="B926" s="2" t="s">
        <v>2555</v>
      </c>
      <c r="C926" s="2" t="s">
        <v>2556</v>
      </c>
      <c r="D926" s="2" t="s">
        <v>26</v>
      </c>
      <c r="E926" s="2" t="s">
        <v>14</v>
      </c>
      <c r="F926" s="2" t="s">
        <v>15</v>
      </c>
      <c r="G926" s="2" t="s">
        <v>2080</v>
      </c>
      <c r="H926" s="2" t="s">
        <v>28</v>
      </c>
      <c r="I926" s="2" t="str">
        <f>IFERROR(__xludf.DUMMYFUNCTION("GOOGLETRANSLATE(C926,""fr"",""en"")"),"I am satisfied the price suits me for the services to ask I already insure a vehicle at home and I have never had a problem so I stay at Direct Insurance")</f>
        <v>I am satisfied the price suits me for the services to ask I already insure a vehicle at home and I have never had a problem so I stay at Direct Insurance</v>
      </c>
    </row>
    <row r="927" ht="15.75" customHeight="1">
      <c r="A927" s="2">
        <v>5.0</v>
      </c>
      <c r="B927" s="2" t="s">
        <v>2557</v>
      </c>
      <c r="C927" s="2" t="s">
        <v>2558</v>
      </c>
      <c r="D927" s="2" t="s">
        <v>37</v>
      </c>
      <c r="E927" s="2" t="s">
        <v>38</v>
      </c>
      <c r="F927" s="2" t="s">
        <v>15</v>
      </c>
      <c r="G927" s="2" t="s">
        <v>302</v>
      </c>
      <c r="H927" s="2" t="s">
        <v>28</v>
      </c>
      <c r="I927" s="2" t="str">
        <f>IFERROR(__xludf.DUMMYFUNCTION("GOOGLETRANSLATE(C927,""fr"",""en"")"),"Very good online service
Everything is very correct I am happy with your insurance I always have been assured at home everything is nickelje advises all the bikers detest assures at home")</f>
        <v>Very good online service
Everything is very correct I am happy with your insurance I always have been assured at home everything is nickelje advises all the bikers detest assures at home</v>
      </c>
    </row>
    <row r="928" ht="15.75" customHeight="1">
      <c r="A928" s="2">
        <v>1.0</v>
      </c>
      <c r="B928" s="2" t="s">
        <v>2559</v>
      </c>
      <c r="C928" s="2" t="s">
        <v>2560</v>
      </c>
      <c r="D928" s="2" t="s">
        <v>2510</v>
      </c>
      <c r="E928" s="2" t="s">
        <v>212</v>
      </c>
      <c r="F928" s="2" t="s">
        <v>15</v>
      </c>
      <c r="G928" s="2" t="s">
        <v>2561</v>
      </c>
      <c r="H928" s="2" t="s">
        <v>136</v>
      </c>
      <c r="I928" s="2" t="str">
        <f>IFERROR(__xludf.DUMMYFUNCTION("GOOGLETRANSLATE(C928,""fr"",""en"")"),"They are sellers of incompetent and contemptuous sleep, do not hold their commitments, infected with them we pay insurance for the dog and we owe this paid the veto costs I am in the canine environment I brought them full of customers Never 1euro no recog"&amp;"nition and I spent more than 2 years with them")</f>
        <v>They are sellers of incompetent and contemptuous sleep, do not hold their commitments, infected with them we pay insurance for the dog and we owe this paid the veto costs I am in the canine environment I brought them full of customers Never 1euro no recognition and I spent more than 2 years with them</v>
      </c>
    </row>
    <row r="929" ht="15.75" customHeight="1">
      <c r="A929" s="2">
        <v>1.0</v>
      </c>
      <c r="B929" s="2" t="s">
        <v>2562</v>
      </c>
      <c r="C929" s="2" t="s">
        <v>2563</v>
      </c>
      <c r="D929" s="2" t="s">
        <v>262</v>
      </c>
      <c r="E929" s="2" t="s">
        <v>14</v>
      </c>
      <c r="F929" s="2" t="s">
        <v>15</v>
      </c>
      <c r="G929" s="2" t="s">
        <v>2564</v>
      </c>
      <c r="H929" s="2" t="s">
        <v>228</v>
      </c>
      <c r="I929" s="2" t="str">
        <f>IFERROR(__xludf.DUMMYFUNCTION("GOOGLETRANSLATE(C929,""fr"",""en"")"),"Axa has tried to make me take responsibility in a disaster and after dispute it turns out that it was false. In addition Axa applied me a penalty unlike a received letter saying that my 50% bonus was acquired for life")</f>
        <v>Axa has tried to make me take responsibility in a disaster and after dispute it turns out that it was false. In addition Axa applied me a penalty unlike a received letter saying that my 50% bonus was acquired for life</v>
      </c>
    </row>
    <row r="930" ht="15.75" customHeight="1">
      <c r="A930" s="2">
        <v>3.0</v>
      </c>
      <c r="B930" s="2" t="s">
        <v>2565</v>
      </c>
      <c r="C930" s="2" t="s">
        <v>2566</v>
      </c>
      <c r="D930" s="2" t="s">
        <v>26</v>
      </c>
      <c r="E930" s="2" t="s">
        <v>14</v>
      </c>
      <c r="F930" s="2" t="s">
        <v>15</v>
      </c>
      <c r="G930" s="2" t="s">
        <v>285</v>
      </c>
      <c r="H930" s="2" t="s">
        <v>28</v>
      </c>
      <c r="I930" s="2" t="str">
        <f>IFERROR(__xludf.DUMMYFUNCTION("GOOGLETRANSLATE(C930,""fr"",""en"")"),"For the moment, prices are in market prices, so it is in use, if I need to call on your services that I can compare.
However, I hope I never need your services !!")</f>
        <v>For the moment, prices are in market prices, so it is in use, if I need to call on your services that I can compare.
However, I hope I never need your services !!</v>
      </c>
    </row>
    <row r="931" ht="15.75" customHeight="1">
      <c r="A931" s="2">
        <v>5.0</v>
      </c>
      <c r="B931" s="2" t="s">
        <v>2567</v>
      </c>
      <c r="C931" s="2" t="s">
        <v>2568</v>
      </c>
      <c r="D931" s="2" t="s">
        <v>48</v>
      </c>
      <c r="E931" s="2" t="s">
        <v>21</v>
      </c>
      <c r="F931" s="2" t="s">
        <v>15</v>
      </c>
      <c r="G931" s="2" t="s">
        <v>1433</v>
      </c>
      <c r="H931" s="2" t="s">
        <v>547</v>
      </c>
      <c r="I931" s="2" t="str">
        <f>IFERROR(__xludf.DUMMYFUNCTION("GOOGLETRANSLATE(C931,""fr"",""en"")"),"They are the top of the mutuals in France")</f>
        <v>They are the top of the mutuals in France</v>
      </c>
    </row>
    <row r="932" ht="15.75" customHeight="1">
      <c r="A932" s="2">
        <v>2.0</v>
      </c>
      <c r="B932" s="2" t="s">
        <v>2569</v>
      </c>
      <c r="C932" s="2" t="s">
        <v>2570</v>
      </c>
      <c r="D932" s="2" t="s">
        <v>571</v>
      </c>
      <c r="E932" s="2" t="s">
        <v>21</v>
      </c>
      <c r="F932" s="2" t="s">
        <v>15</v>
      </c>
      <c r="G932" s="2" t="s">
        <v>2571</v>
      </c>
      <c r="H932" s="2" t="s">
        <v>86</v>
      </c>
      <c r="I932" s="2" t="str">
        <f>IFERROR(__xludf.DUMMYFUNCTION("GOOGLETRANSLATE(C932,""fr"",""en"")"),"I subscribed in 2012 during my retirement:
In 2019 I will undergo an increase of +66.5% compared to 2012, with constant coverage except that I have aged 7 years, so it is very very far from the Andam index of the Minister of Health .
Let us seek the err"&amp;"or;
For the year 2019 alone the ANDAM rate is +2.5% and Cegema increases by +7.1%.
Weird weird !!!!
")</f>
        <v>I subscribed in 2012 during my retirement:
In 2019 I will undergo an increase of +66.5% compared to 2012, with constant coverage except that I have aged 7 years, so it is very very far from the Andam index of the Minister of Health .
Let us seek the error;
For the year 2019 alone the ANDAM rate is +2.5% and Cegema increases by +7.1%.
Weird weird !!!!
</v>
      </c>
    </row>
    <row r="933" ht="15.75" customHeight="1">
      <c r="A933" s="2">
        <v>1.0</v>
      </c>
      <c r="B933" s="2" t="s">
        <v>2572</v>
      </c>
      <c r="C933" s="2" t="s">
        <v>2573</v>
      </c>
      <c r="D933" s="2" t="s">
        <v>103</v>
      </c>
      <c r="E933" s="2" t="s">
        <v>14</v>
      </c>
      <c r="F933" s="2" t="s">
        <v>15</v>
      </c>
      <c r="G933" s="2" t="s">
        <v>2574</v>
      </c>
      <c r="H933" s="2" t="s">
        <v>145</v>
      </c>
      <c r="I933" s="2" t="str">
        <f>IFERROR(__xludf.DUMMYFUNCTION("GOOGLETRANSLATE(C933,""fr"",""en"")"),"Unnecessary insurance, they are not at all professionals and have no customer follow -up it is shameful with all the money that we give them each year.")</f>
        <v>Unnecessary insurance, they are not at all professionals and have no customer follow -up it is shameful with all the money that we give them each year.</v>
      </c>
    </row>
    <row r="934" ht="15.75" customHeight="1">
      <c r="A934" s="2">
        <v>3.0</v>
      </c>
      <c r="B934" s="2" t="s">
        <v>2575</v>
      </c>
      <c r="C934" s="2" t="s">
        <v>2576</v>
      </c>
      <c r="D934" s="2" t="s">
        <v>181</v>
      </c>
      <c r="E934" s="2" t="s">
        <v>21</v>
      </c>
      <c r="F934" s="2" t="s">
        <v>15</v>
      </c>
      <c r="G934" s="2" t="s">
        <v>1343</v>
      </c>
      <c r="H934" s="2" t="s">
        <v>515</v>
      </c>
      <c r="I934" s="2" t="str">
        <f>IFERROR(__xludf.DUMMYFUNCTION("GOOGLETRANSLATE(C934,""fr"",""en"")"),"We will see over time to linstant I can say nothing. Jesperque is better than Smatis because he does not reimburse anything at all. it's going to be my first expr")</f>
        <v>We will see over time to linstant I can say nothing. Jesperque is better than Smatis because he does not reimburse anything at all. it's going to be my first expr</v>
      </c>
    </row>
    <row r="935" ht="15.75" customHeight="1">
      <c r="A935" s="2">
        <v>3.0</v>
      </c>
      <c r="B935" s="2" t="s">
        <v>2577</v>
      </c>
      <c r="C935" s="2" t="s">
        <v>2578</v>
      </c>
      <c r="D935" s="2" t="s">
        <v>37</v>
      </c>
      <c r="E935" s="2" t="s">
        <v>38</v>
      </c>
      <c r="F935" s="2" t="s">
        <v>15</v>
      </c>
      <c r="G935" s="2" t="s">
        <v>718</v>
      </c>
      <c r="H935" s="2" t="s">
        <v>28</v>
      </c>
      <c r="I935" s="2" t="str">
        <f>IFERROR(__xludf.DUMMYFUNCTION("GOOGLETRANSLATE(C935,""fr"",""en"")"),"I am satisfied with the service. However, the insurance rate concerning me is too high since I am ""good driver"" (never responsible accidents on motorbikes and car since obtaining my permits), while taking into account my age and of my driving experience"&amp;".")</f>
        <v>I am satisfied with the service. However, the insurance rate concerning me is too high since I am "good driver" (never responsible accidents on motorbikes and car since obtaining my permits), while taking into account my age and of my driving experience.</v>
      </c>
    </row>
    <row r="936" ht="15.75" customHeight="1">
      <c r="A936" s="2">
        <v>1.0</v>
      </c>
      <c r="B936" s="2" t="s">
        <v>2579</v>
      </c>
      <c r="C936" s="2" t="s">
        <v>2580</v>
      </c>
      <c r="D936" s="2" t="s">
        <v>188</v>
      </c>
      <c r="E936" s="2" t="s">
        <v>14</v>
      </c>
      <c r="F936" s="2" t="s">
        <v>15</v>
      </c>
      <c r="G936" s="2" t="s">
        <v>546</v>
      </c>
      <c r="H936" s="2" t="s">
        <v>547</v>
      </c>
      <c r="I936" s="2" t="str">
        <f>IFERROR(__xludf.DUMMYFUNCTION("GOOGLETRANSLATE(C936,""fr"",""en"")"),"Hardly reachable
Does not stand for promises")</f>
        <v>Hardly reachable
Does not stand for promises</v>
      </c>
    </row>
    <row r="937" ht="15.75" customHeight="1">
      <c r="A937" s="2">
        <v>1.0</v>
      </c>
      <c r="B937" s="2" t="s">
        <v>2581</v>
      </c>
      <c r="C937" s="2" t="s">
        <v>2582</v>
      </c>
      <c r="D937" s="2" t="s">
        <v>84</v>
      </c>
      <c r="E937" s="2" t="s">
        <v>14</v>
      </c>
      <c r="F937" s="2" t="s">
        <v>15</v>
      </c>
      <c r="G937" s="2" t="s">
        <v>2583</v>
      </c>
      <c r="H937" s="2" t="s">
        <v>547</v>
      </c>
      <c r="I937" s="2" t="str">
        <f>IFERROR(__xludf.DUMMYFUNCTION("GOOGLETRANSLATE(C937,""fr"",""en"")"),"Hello, I want to share my disappointment. My husband and I have a bonus of 0.50 and were faithful to Maif for many years. 2 months ago, we had damage to our vehicle. We have it, after reporting the incident to the MAIF, deposited with their partner coachb"&amp;"uilder. He had told us that the car would be repaired after 1 week. Unfortunately, 2 months later, we still do not have our car and every week, the bodybuilder promises us that TT will be repaired the next week. We sent 1 recommended for receipt to MAIF a"&amp;"nd no news of insurance (non -regulation non -compliance). In the end, we pay insurance without having the enjoyment of our car while regulation, we must not pay for a service not rendered.")</f>
        <v>Hello, I want to share my disappointment. My husband and I have a bonus of 0.50 and were faithful to Maif for many years. 2 months ago, we had damage to our vehicle. We have it, after reporting the incident to the MAIF, deposited with their partner coachbuilder. He had told us that the car would be repaired after 1 week. Unfortunately, 2 months later, we still do not have our car and every week, the bodybuilder promises us that TT will be repaired the next week. We sent 1 recommended for receipt to MAIF and no news of insurance (non -regulation non -compliance). In the end, we pay insurance without having the enjoyment of our car while regulation, we must not pay for a service not rendered.</v>
      </c>
    </row>
    <row r="938" ht="15.75" customHeight="1">
      <c r="A938" s="2">
        <v>3.0</v>
      </c>
      <c r="B938" s="2" t="s">
        <v>2584</v>
      </c>
      <c r="C938" s="2" t="s">
        <v>2585</v>
      </c>
      <c r="D938" s="2" t="s">
        <v>26</v>
      </c>
      <c r="E938" s="2" t="s">
        <v>14</v>
      </c>
      <c r="F938" s="2" t="s">
        <v>15</v>
      </c>
      <c r="G938" s="2" t="s">
        <v>2586</v>
      </c>
      <c r="H938" s="2" t="s">
        <v>452</v>
      </c>
      <c r="I938" s="2" t="str">
        <f>IFERROR(__xludf.DUMMYFUNCTION("GOOGLETRANSLATE(C938,""fr"",""en"")"),"I am satisfied with the service offered and you are quite fast. Price not too high for all types of customers .... to see if everything is going well! ’")</f>
        <v>I am satisfied with the service offered and you are quite fast. Price not too high for all types of customers .... to see if everything is going well! ’</v>
      </c>
    </row>
    <row r="939" ht="15.75" customHeight="1">
      <c r="A939" s="2">
        <v>5.0</v>
      </c>
      <c r="B939" s="2" t="s">
        <v>2587</v>
      </c>
      <c r="C939" s="2" t="s">
        <v>2588</v>
      </c>
      <c r="D939" s="2" t="s">
        <v>57</v>
      </c>
      <c r="E939" s="2" t="s">
        <v>14</v>
      </c>
      <c r="F939" s="2" t="s">
        <v>15</v>
      </c>
      <c r="G939" s="2" t="s">
        <v>1329</v>
      </c>
      <c r="H939" s="2" t="s">
        <v>90</v>
      </c>
      <c r="I939" s="2" t="str">
        <f>IFERROR(__xludf.DUMMYFUNCTION("GOOGLETRANSLATE(C939,""fr"",""en"")"),"I am very satisfied with the service and the speed of execution to listen and very responsive thank you to VO and good luck to all the team I would recommend to my loved ones")</f>
        <v>I am very satisfied with the service and the speed of execution to listen and very responsive thank you to VO and good luck to all the team I would recommend to my loved ones</v>
      </c>
    </row>
    <row r="940" ht="15.75" customHeight="1">
      <c r="A940" s="2">
        <v>4.0</v>
      </c>
      <c r="B940" s="2" t="s">
        <v>2589</v>
      </c>
      <c r="C940" s="2" t="s">
        <v>2590</v>
      </c>
      <c r="D940" s="2" t="s">
        <v>57</v>
      </c>
      <c r="E940" s="2" t="s">
        <v>14</v>
      </c>
      <c r="F940" s="2" t="s">
        <v>15</v>
      </c>
      <c r="G940" s="2" t="s">
        <v>414</v>
      </c>
      <c r="H940" s="2" t="s">
        <v>28</v>
      </c>
      <c r="I940" s="2" t="str">
        <f>IFERROR(__xludf.DUMMYFUNCTION("GOOGLETRANSLATE(C940,""fr"",""en"")"),"Pro, fast, without silly criteria like most conventional insurance that penalizes you excessively after 30 years of driving, due to an interruption in the past 3 years! I recommend !")</f>
        <v>Pro, fast, without silly criteria like most conventional insurance that penalizes you excessively after 30 years of driving, due to an interruption in the past 3 years! I recommend !</v>
      </c>
    </row>
    <row r="941" ht="15.75" customHeight="1">
      <c r="A941" s="2">
        <v>2.0</v>
      </c>
      <c r="B941" s="2" t="s">
        <v>2591</v>
      </c>
      <c r="C941" s="2" t="s">
        <v>2592</v>
      </c>
      <c r="D941" s="2" t="s">
        <v>393</v>
      </c>
      <c r="E941" s="2" t="s">
        <v>38</v>
      </c>
      <c r="F941" s="2" t="s">
        <v>15</v>
      </c>
      <c r="G941" s="2" t="s">
        <v>1186</v>
      </c>
      <c r="H941" s="2" t="s">
        <v>50</v>
      </c>
      <c r="I941" s="2" t="str">
        <f>IFERROR(__xludf.DUMMYFUNCTION("GOOGLETRANSLATE(C941,""fr"",""en"")"),"Abusive termination for missing parts 1 year after subscription, shabby customer service. Base requested 10 days before the end of the contract as much to say that if you are overwhelmed where abroad you will be terminated in the event of a missing piece."&amp;" Impossible to find correct insurance after registration at AGIRA by Peyrac. To flee, pay a little more and take real insurance.")</f>
        <v>Abusive termination for missing parts 1 year after subscription, shabby customer service. Base requested 10 days before the end of the contract as much to say that if you are overwhelmed where abroad you will be terminated in the event of a missing piece. Impossible to find correct insurance after registration at AGIRA by Peyrac. To flee, pay a little more and take real insurance.</v>
      </c>
    </row>
    <row r="942" ht="15.75" customHeight="1">
      <c r="A942" s="2">
        <v>2.0</v>
      </c>
      <c r="B942" s="2" t="s">
        <v>2593</v>
      </c>
      <c r="C942" s="2" t="s">
        <v>2594</v>
      </c>
      <c r="D942" s="2" t="s">
        <v>57</v>
      </c>
      <c r="E942" s="2" t="s">
        <v>14</v>
      </c>
      <c r="F942" s="2" t="s">
        <v>15</v>
      </c>
      <c r="G942" s="2" t="s">
        <v>173</v>
      </c>
      <c r="H942" s="2" t="s">
        <v>173</v>
      </c>
      <c r="I942" s="2" t="str">
        <f>IFERROR(__xludf.DUMMYFUNCTION("GOOGLETRANSLATE(C942,""fr"",""en"")"),"Too many management errors, bad address on the mail Hamon which earned me samples to wrongly and a complaint from my former insurer, a price proposal validated in a doubtful manner, a statement of information legally in accordance with a vehicle that I do"&amp;"es not have, emails sent but treated a provider who does not do his job ...")</f>
        <v>Too many management errors, bad address on the mail Hamon which earned me samples to wrongly and a complaint from my former insurer, a price proposal validated in a doubtful manner, a statement of information legally in accordance with a vehicle that I does not have, emails sent but treated a provider who does not do his job ...</v>
      </c>
    </row>
    <row r="943" ht="15.75" customHeight="1">
      <c r="A943" s="2">
        <v>5.0</v>
      </c>
      <c r="B943" s="2" t="s">
        <v>2595</v>
      </c>
      <c r="C943" s="2" t="s">
        <v>2596</v>
      </c>
      <c r="D943" s="2" t="s">
        <v>305</v>
      </c>
      <c r="E943" s="2" t="s">
        <v>38</v>
      </c>
      <c r="F943" s="2" t="s">
        <v>15</v>
      </c>
      <c r="G943" s="2" t="s">
        <v>2080</v>
      </c>
      <c r="H943" s="2" t="s">
        <v>28</v>
      </c>
      <c r="I943" s="2" t="str">
        <f>IFERROR(__xludf.DUMMYFUNCTION("GOOGLETRANSLATE(C943,""fr"",""en"")"),"I am satisfied with the service The site is very well explained everything is clear it is fast and effective I recommend and very good price for insurance")</f>
        <v>I am satisfied with the service The site is very well explained everything is clear it is fast and effective I recommend and very good price for insurance</v>
      </c>
    </row>
    <row r="944" ht="15.75" customHeight="1">
      <c r="A944" s="2">
        <v>3.0</v>
      </c>
      <c r="B944" s="2" t="s">
        <v>2597</v>
      </c>
      <c r="C944" s="2" t="s">
        <v>2598</v>
      </c>
      <c r="D944" s="2" t="s">
        <v>262</v>
      </c>
      <c r="E944" s="2" t="s">
        <v>109</v>
      </c>
      <c r="F944" s="2" t="s">
        <v>15</v>
      </c>
      <c r="G944" s="2" t="s">
        <v>931</v>
      </c>
      <c r="H944" s="2" t="s">
        <v>86</v>
      </c>
      <c r="I944" s="2" t="str">
        <f>IFERROR(__xludf.DUMMYFUNCTION("GOOGLETRANSLATE(C944,""fr"",""en"")"),"Despite an AXA judgment does not answer and do not pay here is the policy of Axa Insurance")</f>
        <v>Despite an AXA judgment does not answer and do not pay here is the policy of Axa Insurance</v>
      </c>
    </row>
    <row r="945" ht="15.75" customHeight="1">
      <c r="A945" s="2">
        <v>4.0</v>
      </c>
      <c r="B945" s="2" t="s">
        <v>2599</v>
      </c>
      <c r="C945" s="2" t="s">
        <v>2600</v>
      </c>
      <c r="D945" s="2" t="s">
        <v>305</v>
      </c>
      <c r="E945" s="2" t="s">
        <v>38</v>
      </c>
      <c r="F945" s="2" t="s">
        <v>15</v>
      </c>
      <c r="G945" s="2" t="s">
        <v>1524</v>
      </c>
      <c r="H945" s="2" t="s">
        <v>74</v>
      </c>
      <c r="I945" s="2" t="str">
        <f>IFERROR(__xludf.DUMMYFUNCTION("GOOGLETRANSLATE(C945,""fr"",""en"")"),"Simple, practical, intuitive, the site easily leads us to the signing of the contract while leaving us time to clear the documents clearly")</f>
        <v>Simple, practical, intuitive, the site easily leads us to the signing of the contract while leaving us time to clear the documents clearly</v>
      </c>
    </row>
    <row r="946" ht="15.75" customHeight="1">
      <c r="A946" s="2">
        <v>4.0</v>
      </c>
      <c r="B946" s="2" t="s">
        <v>2601</v>
      </c>
      <c r="C946" s="2" t="s">
        <v>2602</v>
      </c>
      <c r="D946" s="2" t="s">
        <v>26</v>
      </c>
      <c r="E946" s="2" t="s">
        <v>14</v>
      </c>
      <c r="F946" s="2" t="s">
        <v>15</v>
      </c>
      <c r="G946" s="2" t="s">
        <v>1527</v>
      </c>
      <c r="H946" s="2" t="s">
        <v>34</v>
      </c>
      <c r="I946" s="2" t="str">
        <f>IFERROR(__xludf.DUMMYFUNCTION("GOOGLETRANSLATE(C946,""fr"",""en"")"),"For the moment no claim so, for the moment happy, it will be necessary if one day I have a disaster; Question price is not too bad. Personally I have the home and two cars")</f>
        <v>For the moment no claim so, for the moment happy, it will be necessary if one day I have a disaster; Question price is not too bad. Personally I have the home and two cars</v>
      </c>
    </row>
    <row r="947" ht="15.75" customHeight="1">
      <c r="A947" s="2">
        <v>1.0</v>
      </c>
      <c r="B947" s="2" t="s">
        <v>2603</v>
      </c>
      <c r="C947" s="2" t="s">
        <v>2604</v>
      </c>
      <c r="D947" s="2" t="s">
        <v>291</v>
      </c>
      <c r="E947" s="2" t="s">
        <v>109</v>
      </c>
      <c r="F947" s="2" t="s">
        <v>15</v>
      </c>
      <c r="G947" s="2" t="s">
        <v>905</v>
      </c>
      <c r="H947" s="2" t="s">
        <v>63</v>
      </c>
      <c r="I947" s="2" t="str">
        <f>IFERROR(__xludf.DUMMYFUNCTION("GOOGLETRANSLATE(C947,""fr"",""en"")"),"Hello,
I have been an temporary worker since 01/01/2020, provident insurance being compulsory by my company. I have had no choice but to accept the levy of my contributions from my salary slip. Recently during a mission in M ​​stopped for a maternity pat"&amp;"hological leave and thereafter I am directly entering maternity leave. I have sent my file since September 2, 2020. Most times I have called them to find out the state of evolution of my file. They told me to wait. That the processing times will be long ("&amp;"about 3 months). I wait until December 8. By calling them. The insurance tells me that my file sent by mail did not appear. Then not sent with a tracking number or recommended. I then decide their envoy my file again via my online space. After many times "&amp;"of telephone call. I note on 1/02/2021 a regulation throughout the period of my pathological leave of only 2.06 euros. For maternity leave, I perceive an amount of 42.67 euros for the period from 2/08/2020 to 04/12/2020. So you will understand that by the"&amp;"ir calculation my daily compensation would be 0.35 cents. It is a madness, while knowing that I did 938.93 hours to work for a cumulative salary of around 12,000. If 1/360 and 12 -month wages corresponds to a daily allowance approximately 0.35 cents . It "&amp;"is frankly taking people for fools, given the amount that we are withdrawn every month on our salary slip. I asked them for their litigation or complaint service, the lady replied that he does not have one. It is the finance management service that will c"&amp;"ontact me in 1 or even 5 months !!!!!! C fuck the gu *** of people.
Insurance to flee absolutely. Get the message to your work colleagues, if it is compulsory. Really very disappointed, by the contempt to which I was entitled to.")</f>
        <v>Hello,
I have been an temporary worker since 01/01/2020, provident insurance being compulsory by my company. I have had no choice but to accept the levy of my contributions from my salary slip. Recently during a mission in M ​​stopped for a maternity pathological leave and thereafter I am directly entering maternity leave. I have sent my file since September 2, 2020. Most times I have called them to find out the state of evolution of my file. They told me to wait. That the processing times will be long (about 3 months). I wait until December 8. By calling them. The insurance tells me that my file sent by mail did not appear. Then not sent with a tracking number or recommended. I then decide their envoy my file again via my online space. After many times of telephone call. I note on 1/02/2021 a regulation throughout the period of my pathological leave of only 2.06 euros. For maternity leave, I perceive an amount of 42.67 euros for the period from 2/08/2020 to 04/12/2020. So you will understand that by their calculation my daily compensation would be 0.35 cents. It is a madness, while knowing that I did 938.93 hours to work for a cumulative salary of around 12,000. If 1/360 and 12 -month wages corresponds to a daily allowance approximately 0.35 cents . It is frankly taking people for fools, given the amount that we are withdrawn every month on our salary slip. I asked them for their litigation or complaint service, the lady replied that he does not have one. It is the finance management service that will contact me in 1 or even 5 months !!!!!! C fuck the gu *** of people.
Insurance to flee absolutely. Get the message to your work colleagues, if it is compulsory. Really very disappointed, by the contempt to which I was entitled to.</v>
      </c>
    </row>
    <row r="948" ht="15.75" customHeight="1">
      <c r="A948" s="2">
        <v>3.0</v>
      </c>
      <c r="B948" s="2" t="s">
        <v>2605</v>
      </c>
      <c r="C948" s="2" t="s">
        <v>2606</v>
      </c>
      <c r="D948" s="2" t="s">
        <v>26</v>
      </c>
      <c r="E948" s="2" t="s">
        <v>14</v>
      </c>
      <c r="F948" s="2" t="s">
        <v>15</v>
      </c>
      <c r="G948" s="2" t="s">
        <v>325</v>
      </c>
      <c r="H948" s="2" t="s">
        <v>28</v>
      </c>
      <c r="I948" s="2" t="str">
        <f>IFERROR(__xludf.DUMMYFUNCTION("GOOGLETRANSLATE(C948,""fr"",""en"")"),"The price is correct the site is easy to take in hand now as any insurance remains to see the service in the event of a disaster, this is the one we can see in its efficiency")</f>
        <v>The price is correct the site is easy to take in hand now as any insurance remains to see the service in the event of a disaster, this is the one we can see in its efficiency</v>
      </c>
    </row>
    <row r="949" ht="15.75" customHeight="1">
      <c r="A949" s="2">
        <v>1.0</v>
      </c>
      <c r="B949" s="2" t="s">
        <v>2607</v>
      </c>
      <c r="C949" s="2" t="s">
        <v>2608</v>
      </c>
      <c r="D949" s="2" t="s">
        <v>262</v>
      </c>
      <c r="E949" s="2" t="s">
        <v>109</v>
      </c>
      <c r="F949" s="2" t="s">
        <v>15</v>
      </c>
      <c r="G949" s="2" t="s">
        <v>2609</v>
      </c>
      <c r="H949" s="2" t="s">
        <v>54</v>
      </c>
      <c r="I949" s="2" t="str">
        <f>IFERROR(__xludf.DUMMYFUNCTION("GOOGLETRANSLATE(C949,""fr"",""en"")"),"It's simply a disaster ...
The Axa advisor sold me a completely different service.
Communication is nonexistent except with your adviser who, in any case, has no decision -making power, or cannot influence the processing of your file.
AXA makes every e"&amp;"ffort to delay the payment of your daily allowances in the event of work stoppage and permanently request exactly the same documents (really always the same) I am three appointments with the doctor to make him fill this document And he still claims it to "&amp;"me. Of course, I had to make a telephone appointment with an advisor to be three or four days of waiting for an appointment to learn that this document was still missing. If I had not taken the lead, the situation would be as it is ...
I really feel like"&amp;" I was caught for a fool by Axa and I am, this day, in the opinions of the competitors. In short, if you want to pay insurance for DS brown ES, then you will be in exactly the right place. On the other hand if you want a real coverage if necessary, so I c"&amp;"an only encourage you to choose another provider because Axa is absolutely not up to the par.")</f>
        <v>It's simply a disaster ...
The Axa advisor sold me a completely different service.
Communication is nonexistent except with your adviser who, in any case, has no decision -making power, or cannot influence the processing of your file.
AXA makes every effort to delay the payment of your daily allowances in the event of work stoppage and permanently request exactly the same documents (really always the same) I am three appointments with the doctor to make him fill this document And he still claims it to me. Of course, I had to make a telephone appointment with an advisor to be three or four days of waiting for an appointment to learn that this document was still missing. If I had not taken the lead, the situation would be as it is ...
I really feel like I was caught for a fool by Axa and I am, this day, in the opinions of the competitors. In short, if you want to pay insurance for DS brown ES, then you will be in exactly the right place. On the other hand if you want a real coverage if necessary, so I can only encourage you to choose another provider because Axa is absolutely not up to the par.</v>
      </c>
    </row>
    <row r="950" ht="15.75" customHeight="1">
      <c r="A950" s="2">
        <v>5.0</v>
      </c>
      <c r="B950" s="2" t="s">
        <v>2610</v>
      </c>
      <c r="C950" s="2" t="s">
        <v>2611</v>
      </c>
      <c r="D950" s="2" t="s">
        <v>356</v>
      </c>
      <c r="E950" s="2" t="s">
        <v>21</v>
      </c>
      <c r="F950" s="2" t="s">
        <v>15</v>
      </c>
      <c r="G950" s="2" t="s">
        <v>2059</v>
      </c>
      <c r="H950" s="2" t="s">
        <v>90</v>
      </c>
      <c r="I950" s="2" t="str">
        <f>IFERROR(__xludf.DUMMYFUNCTION("GOOGLETRANSLATE(C950,""fr"",""en"")"),"To the whole team and generation manager are you at the top ?? And very professional listening and supporting a big thank you to the whole team of generations a big bravo ?????????????")</f>
        <v>To the whole team and generation manager are you at the top ?? And very professional listening and supporting a big thank you to the whole team of generations a big bravo ?????????????</v>
      </c>
    </row>
    <row r="951" ht="15.75" customHeight="1">
      <c r="A951" s="2">
        <v>3.0</v>
      </c>
      <c r="B951" s="2" t="s">
        <v>2612</v>
      </c>
      <c r="C951" s="2" t="s">
        <v>2613</v>
      </c>
      <c r="D951" s="2" t="s">
        <v>26</v>
      </c>
      <c r="E951" s="2" t="s">
        <v>14</v>
      </c>
      <c r="F951" s="2" t="s">
        <v>15</v>
      </c>
      <c r="G951" s="2" t="s">
        <v>1195</v>
      </c>
      <c r="H951" s="2" t="s">
        <v>90</v>
      </c>
      <c r="I951" s="2" t="str">
        <f>IFERROR(__xludf.DUMMYFUNCTION("GOOGLETRANSLATE(C951,""fr"",""en"")"),"Poorly advised on the insurance of my apartment which has been empty for two years, so paid more expensive for nothing, except for you ...
Poorly advised on the insurance of my apartment which has been empty for two years, so paid more expensive for noth"&amp;"ing, except for you ...")</f>
        <v>Poorly advised on the insurance of my apartment which has been empty for two years, so paid more expensive for nothing, except for you ...
Poorly advised on the insurance of my apartment which has been empty for two years, so paid more expensive for nothing, except for you ...</v>
      </c>
    </row>
    <row r="952" ht="15.75" customHeight="1">
      <c r="A952" s="2">
        <v>3.0</v>
      </c>
      <c r="B952" s="2" t="s">
        <v>2614</v>
      </c>
      <c r="C952" s="2" t="s">
        <v>2615</v>
      </c>
      <c r="D952" s="2" t="s">
        <v>26</v>
      </c>
      <c r="E952" s="2" t="s">
        <v>14</v>
      </c>
      <c r="F952" s="2" t="s">
        <v>15</v>
      </c>
      <c r="G952" s="2" t="s">
        <v>231</v>
      </c>
      <c r="H952" s="2" t="s">
        <v>122</v>
      </c>
      <c r="I952" s="2" t="str">
        <f>IFERROR(__xludf.DUMMYFUNCTION("GOOGLETRANSLATE(C952,""fr"",""en"")"),"I just subscribed.
It is at the foot of the wall that we see the mason (or insurance!) Hoping not to need it ...
For the price it is correct therefore four narrow.
")</f>
        <v>I just subscribed.
It is at the foot of the wall that we see the mason (or insurance!) Hoping not to need it ...
For the price it is correct therefore four narrow.
</v>
      </c>
    </row>
    <row r="953" ht="15.75" customHeight="1">
      <c r="A953" s="2">
        <v>2.0</v>
      </c>
      <c r="B953" s="2" t="s">
        <v>2616</v>
      </c>
      <c r="C953" s="2" t="s">
        <v>2617</v>
      </c>
      <c r="D953" s="2" t="s">
        <v>262</v>
      </c>
      <c r="E953" s="2" t="s">
        <v>14</v>
      </c>
      <c r="F953" s="2" t="s">
        <v>15</v>
      </c>
      <c r="G953" s="2" t="s">
        <v>2618</v>
      </c>
      <c r="H953" s="2" t="s">
        <v>149</v>
      </c>
      <c r="I953" s="2" t="str">
        <f>IFERROR(__xludf.DUMMYFUNCTION("GOOGLETRANSLATE(C953,""fr"",""en"")"),"Reading the different posts, I confirm: to take the money, AXA is very efficient, on the other hand as regards the management of claims, it is a disaster.
Their goal being to drown you in time and discourage you, by picking you up ""it is not me, it is m"&amp;"y colleague who ..."", but at some point, you have to assume!
Following my business last June, I am creating a blog, and soon launching a Facebook page (with my 200,000 contacts, there are certainly some at AXA)
I would communicate information soon via "&amp;"all possible channels ....")</f>
        <v>Reading the different posts, I confirm: to take the money, AXA is very efficient, on the other hand as regards the management of claims, it is a disaster.
Their goal being to drown you in time and discourage you, by picking you up "it is not me, it is my colleague who ...", but at some point, you have to assume!
Following my business last June, I am creating a blog, and soon launching a Facebook page (with my 200,000 contacts, there are certainly some at AXA)
I would communicate information soon via all possible channels ....</v>
      </c>
    </row>
    <row r="954" ht="15.75" customHeight="1">
      <c r="A954" s="2">
        <v>2.0</v>
      </c>
      <c r="B954" s="2" t="s">
        <v>2619</v>
      </c>
      <c r="C954" s="2" t="s">
        <v>2620</v>
      </c>
      <c r="D954" s="2" t="s">
        <v>26</v>
      </c>
      <c r="E954" s="2" t="s">
        <v>14</v>
      </c>
      <c r="F954" s="2" t="s">
        <v>15</v>
      </c>
      <c r="G954" s="2" t="s">
        <v>1301</v>
      </c>
      <c r="H954" s="2" t="s">
        <v>74</v>
      </c>
      <c r="I954" s="2" t="str">
        <f>IFERROR(__xludf.DUMMYFUNCTION("GOOGLETRANSLATE(C954,""fr"",""en"")"),"Excessive price compared to other companies and the service leaves something to be desired. I remain only because other companies refuses me because I have been the victim of a disaster but I will leave as soon as I could")</f>
        <v>Excessive price compared to other companies and the service leaves something to be desired. I remain only because other companies refuses me because I have been the victim of a disaster but I will leave as soon as I could</v>
      </c>
    </row>
    <row r="955" ht="15.75" customHeight="1">
      <c r="A955" s="2">
        <v>4.0</v>
      </c>
      <c r="B955" s="2" t="s">
        <v>2621</v>
      </c>
      <c r="C955" s="2" t="s">
        <v>2622</v>
      </c>
      <c r="D955" s="2" t="s">
        <v>37</v>
      </c>
      <c r="E955" s="2" t="s">
        <v>38</v>
      </c>
      <c r="F955" s="2" t="s">
        <v>15</v>
      </c>
      <c r="G955" s="2" t="s">
        <v>2623</v>
      </c>
      <c r="H955" s="2" t="s">
        <v>201</v>
      </c>
      <c r="I955" s="2" t="str">
        <f>IFERROR(__xludf.DUMMYFUNCTION("GOOGLETRANSLATE(C955,""fr"",""en"")"),"The only one has a sports motorcycle at a price studied. In the event of a claim the regulations of the file is very rapid. Could do better in favor of good drivers.")</f>
        <v>The only one has a sports motorcycle at a price studied. In the event of a claim the regulations of the file is very rapid. Could do better in favor of good drivers.</v>
      </c>
    </row>
    <row r="956" ht="15.75" customHeight="1">
      <c r="A956" s="2">
        <v>3.0</v>
      </c>
      <c r="B956" s="2" t="s">
        <v>2624</v>
      </c>
      <c r="C956" s="2" t="s">
        <v>2625</v>
      </c>
      <c r="D956" s="2" t="s">
        <v>57</v>
      </c>
      <c r="E956" s="2" t="s">
        <v>14</v>
      </c>
      <c r="F956" s="2" t="s">
        <v>15</v>
      </c>
      <c r="G956" s="2" t="s">
        <v>983</v>
      </c>
      <c r="H956" s="2" t="s">
        <v>74</v>
      </c>
      <c r="I956" s="2" t="str">
        <f>IFERROR(__xludf.DUMMYFUNCTION("GOOGLETRANSLATE(C956,""fr"",""en"")"),"Something excessive feature in all risks auto insurance as well as deductibles but correct monthly price for a poorly worn motorist.")</f>
        <v>Something excessive feature in all risks auto insurance as well as deductibles but correct monthly price for a poorly worn motorist.</v>
      </c>
    </row>
    <row r="957" ht="15.75" customHeight="1">
      <c r="A957" s="2">
        <v>1.0</v>
      </c>
      <c r="B957" s="2" t="s">
        <v>2626</v>
      </c>
      <c r="C957" s="2" t="s">
        <v>2627</v>
      </c>
      <c r="D957" s="2" t="s">
        <v>388</v>
      </c>
      <c r="E957" s="2" t="s">
        <v>38</v>
      </c>
      <c r="F957" s="2" t="s">
        <v>15</v>
      </c>
      <c r="G957" s="2" t="s">
        <v>1558</v>
      </c>
      <c r="H957" s="2" t="s">
        <v>583</v>
      </c>
      <c r="I957" s="2" t="str">
        <f>IFERROR(__xludf.DUMMYFUNCTION("GOOGLETRANSLATE(C957,""fr"",""en"")"),"Following an accident for which I was not responsible, the police established a triplicate that I transferred to Euroassurance so that they approach the police station in order to determine the responsibilities (La Poice has clearly established that I was"&amp;" not responsible ).
After 2 months, I receive an email informing me that the amicable observation, that I have not signed, of the other driver involved, determines that the responsibility is shared ... and that therefore I am not reimbursed me only half "&amp;"the damage and that I would now have a penalty ... How is this possible? I plan to bring my case to justice.")</f>
        <v>Following an accident for which I was not responsible, the police established a triplicate that I transferred to Euroassurance so that they approach the police station in order to determine the responsibilities (La Poice has clearly established that I was not responsible ).
After 2 months, I receive an email informing me that the amicable observation, that I have not signed, of the other driver involved, determines that the responsibility is shared ... and that therefore I am not reimbursed me only half the damage and that I would now have a penalty ... How is this possible? I plan to bring my case to justice.</v>
      </c>
    </row>
    <row r="958" ht="15.75" customHeight="1">
      <c r="A958" s="2">
        <v>2.0</v>
      </c>
      <c r="B958" s="2" t="s">
        <v>2628</v>
      </c>
      <c r="C958" s="2" t="s">
        <v>2629</v>
      </c>
      <c r="D958" s="2" t="s">
        <v>61</v>
      </c>
      <c r="E958" s="2" t="s">
        <v>109</v>
      </c>
      <c r="F958" s="2" t="s">
        <v>15</v>
      </c>
      <c r="G958" s="2" t="s">
        <v>2630</v>
      </c>
      <c r="H958" s="2" t="s">
        <v>329</v>
      </c>
      <c r="I958" s="2" t="str">
        <f>IFERROR(__xludf.DUMMYFUNCTION("GOOGLETRANSLATE(C958,""fr"",""en"")"),"Hello for several weeks already I send several emails and such regarding a refund rents not news of this refund I am told all the time we are waiting for the software allowing the refund we make fun of me")</f>
        <v>Hello for several weeks already I send several emails and such regarding a refund rents not news of this refund I am told all the time we are waiting for the software allowing the refund we make fun of me</v>
      </c>
    </row>
    <row r="959" ht="15.75" customHeight="1">
      <c r="A959" s="2">
        <v>4.0</v>
      </c>
      <c r="B959" s="2" t="s">
        <v>2631</v>
      </c>
      <c r="C959" s="2" t="s">
        <v>2632</v>
      </c>
      <c r="D959" s="2" t="s">
        <v>57</v>
      </c>
      <c r="E959" s="2" t="s">
        <v>14</v>
      </c>
      <c r="F959" s="2" t="s">
        <v>15</v>
      </c>
      <c r="G959" s="2" t="s">
        <v>1195</v>
      </c>
      <c r="H959" s="2" t="s">
        <v>90</v>
      </c>
      <c r="I959" s="2" t="str">
        <f>IFERROR(__xludf.DUMMYFUNCTION("GOOGLETRANSLATE(C959,""fr"",""en"")"),"I am satisfied I just not understood why for the same vehicle on some day the price has changed almost 150 euros per year? Quote no2283481011 I was 547.56/year old and I am going to 700 euros per year")</f>
        <v>I am satisfied I just not understood why for the same vehicle on some day the price has changed almost 150 euros per year? Quote no2283481011 I was 547.56/year old and I am going to 700 euros per year</v>
      </c>
    </row>
    <row r="960" ht="15.75" customHeight="1">
      <c r="A960" s="2">
        <v>5.0</v>
      </c>
      <c r="B960" s="2" t="s">
        <v>2633</v>
      </c>
      <c r="C960" s="2" t="s">
        <v>2634</v>
      </c>
      <c r="D960" s="2" t="s">
        <v>57</v>
      </c>
      <c r="E960" s="2" t="s">
        <v>14</v>
      </c>
      <c r="F960" s="2" t="s">
        <v>15</v>
      </c>
      <c r="G960" s="2" t="s">
        <v>276</v>
      </c>
      <c r="H960" s="2" t="s">
        <v>81</v>
      </c>
      <c r="I960" s="2" t="str">
        <f>IFERROR(__xludf.DUMMYFUNCTION("GOOGLETRANSLATE(C960,""fr"",""en"")"),"Excellent very professional service. Telephone reception and level of information in response to perfect questions. Ease of execution thanks to an efficient computerized service.")</f>
        <v>Excellent very professional service. Telephone reception and level of information in response to perfect questions. Ease of execution thanks to an efficient computerized service.</v>
      </c>
    </row>
    <row r="961" ht="15.75" customHeight="1">
      <c r="A961" s="2">
        <v>5.0</v>
      </c>
      <c r="B961" s="2" t="s">
        <v>2635</v>
      </c>
      <c r="C961" s="2" t="s">
        <v>2636</v>
      </c>
      <c r="D961" s="2" t="s">
        <v>57</v>
      </c>
      <c r="E961" s="2" t="s">
        <v>14</v>
      </c>
      <c r="F961" s="2" t="s">
        <v>15</v>
      </c>
      <c r="G961" s="2" t="s">
        <v>608</v>
      </c>
      <c r="H961" s="2" t="s">
        <v>45</v>
      </c>
      <c r="I961" s="2" t="str">
        <f>IFERROR(__xludf.DUMMYFUNCTION("GOOGLETRANSLATE(C961,""fr"",""en"")"),"Hello,
It's been a year since I subscribed to this insurance and for the moment ... I have no bad surprises and I am completely satisfied. I am a little intrigued by negative comments concerning the registration for this insurance. My quote has not cha"&amp;"nged with the final price ... it is clear that if you hide claims ... You should not be surprised by a price increase on the final price! Then a contract fills with time and reflection, not ""to the tear"". The time to support my file was relatively rapid"&amp;" and customer service a real guide in my new steps. I won almost 50% of the price of my old insurance for higher guarantees (before practically € 110 per month, now not even € 50 ...).
As for the rest (change of situation, sinister etc ...), I cannot tal"&amp;"k about it because it has not happened to me (and I hope it will not happen).
The only negative point that I can note at my level is that the olive assurance is only an internet platform - it is an independent negative point for agents because this conce"&amp;"pt is well explained (there are people who do not seem Understanding it) so yes, it's not always easy to communicate. It may be wise if this insurance tried to place representatives in different cities. With teleworking now, there would be a lot to do to "&amp;"improve the service on this side ...
That said, there is a reference grid presenting the ideal hours to which them join and I have always obtained an answer to my requests.
I just sent a complaint on my green card (the old one ends on 07.04.2018) and I "&amp;"still do not have the news (I don't know if it's normal). I absolutely need it ... I will see if the service is still so responsive.
If one day I have a dispute with them, I would not hesitate to come back here to communicate my experience.")</f>
        <v>Hello,
It's been a year since I subscribed to this insurance and for the moment ... I have no bad surprises and I am completely satisfied. I am a little intrigued by negative comments concerning the registration for this insurance. My quote has not changed with the final price ... it is clear that if you hide claims ... You should not be surprised by a price increase on the final price! Then a contract fills with time and reflection, not "to the tear". The time to support my file was relatively rapid and customer service a real guide in my new steps. I won almost 50% of the price of my old insurance for higher guarantees (before practically € 110 per month, now not even € 50 ...).
As for the rest (change of situation, sinister etc ...), I cannot talk about it because it has not happened to me (and I hope it will not happen).
The only negative point that I can note at my level is that the olive assurance is only an internet platform - it is an independent negative point for agents because this concept is well explained (there are people who do not seem Understanding it) so yes, it's not always easy to communicate. It may be wise if this insurance tried to place representatives in different cities. With teleworking now, there would be a lot to do to improve the service on this side ...
That said, there is a reference grid presenting the ideal hours to which them join and I have always obtained an answer to my requests.
I just sent a complaint on my green card (the old one ends on 07.04.2018) and I still do not have the news (I don't know if it's normal). I absolutely need it ... I will see if the service is still so responsive.
If one day I have a dispute with them, I would not hesitate to come back here to communicate my experience.</v>
      </c>
    </row>
    <row r="962" ht="15.75" customHeight="1">
      <c r="A962" s="2">
        <v>4.0</v>
      </c>
      <c r="B962" s="2" t="s">
        <v>2637</v>
      </c>
      <c r="C962" s="2" t="s">
        <v>2638</v>
      </c>
      <c r="D962" s="2" t="s">
        <v>26</v>
      </c>
      <c r="E962" s="2" t="s">
        <v>14</v>
      </c>
      <c r="F962" s="2" t="s">
        <v>15</v>
      </c>
      <c r="G962" s="2" t="s">
        <v>802</v>
      </c>
      <c r="H962" s="2" t="s">
        <v>34</v>
      </c>
      <c r="I962" s="2" t="str">
        <f>IFERROR(__xludf.DUMMYFUNCTION("GOOGLETRANSLATE(C962,""fr"",""en"")"),"Satisfied with the service, I would however like a greater advantage to sponsor my family members, 40% would be good and make me 100% satisfied")</f>
        <v>Satisfied with the service, I would however like a greater advantage to sponsor my family members, 40% would be good and make me 100% satisfied</v>
      </c>
    </row>
    <row r="963" ht="15.75" customHeight="1">
      <c r="A963" s="2">
        <v>3.0</v>
      </c>
      <c r="B963" s="2" t="s">
        <v>2639</v>
      </c>
      <c r="C963" s="2" t="s">
        <v>2640</v>
      </c>
      <c r="D963" s="2" t="s">
        <v>152</v>
      </c>
      <c r="E963" s="2" t="s">
        <v>21</v>
      </c>
      <c r="F963" s="2" t="s">
        <v>15</v>
      </c>
      <c r="G963" s="2" t="s">
        <v>2364</v>
      </c>
      <c r="H963" s="2" t="s">
        <v>208</v>
      </c>
      <c r="I963" s="2" t="str">
        <f>IFERROR(__xludf.DUMMYFUNCTION("GOOGLETRANSLATE(C963,""fr"",""en"")"),"Telephone service always courteous and efficient., But since the association in Healthclair things have deteriorated a little, in my opinion. Everything was much simpler when you were the only stakeholders.")</f>
        <v>Telephone service always courteous and efficient., But since the association in Healthclair things have deteriorated a little, in my opinion. Everything was much simpler when you were the only stakeholders.</v>
      </c>
    </row>
    <row r="964" ht="15.75" customHeight="1">
      <c r="A964" s="2">
        <v>1.0</v>
      </c>
      <c r="B964" s="2" t="s">
        <v>2641</v>
      </c>
      <c r="C964" s="2" t="s">
        <v>2642</v>
      </c>
      <c r="D964" s="2" t="s">
        <v>84</v>
      </c>
      <c r="E964" s="2" t="s">
        <v>104</v>
      </c>
      <c r="F964" s="2" t="s">
        <v>15</v>
      </c>
      <c r="G964" s="2" t="s">
        <v>2343</v>
      </c>
      <c r="H964" s="2" t="s">
        <v>70</v>
      </c>
      <c r="I964" s="2" t="str">
        <f>IFERROR(__xludf.DUMMYFUNCTION("GOOGLETRANSLATE(C964,""fr"",""en"")"),"MAIF resilled without preventing the contracts of its longtime members: without email, without telephone call, without mail: serious damage and endangering people")</f>
        <v>MAIF resilled without preventing the contracts of its longtime members: without email, without telephone call, without mail: serious damage and endangering people</v>
      </c>
    </row>
    <row r="965" ht="15.75" customHeight="1">
      <c r="A965" s="2">
        <v>4.0</v>
      </c>
      <c r="B965" s="2" t="s">
        <v>2643</v>
      </c>
      <c r="C965" s="2" t="s">
        <v>2644</v>
      </c>
      <c r="D965" s="2" t="s">
        <v>103</v>
      </c>
      <c r="E965" s="2" t="s">
        <v>14</v>
      </c>
      <c r="F965" s="2" t="s">
        <v>15</v>
      </c>
      <c r="G965" s="2" t="s">
        <v>346</v>
      </c>
      <c r="H965" s="2" t="s">
        <v>347</v>
      </c>
      <c r="I965" s="2" t="str">
        <f>IFERROR(__xludf.DUMMYFUNCTION("GOOGLETRANSLATE(C965,""fr"",""en"")"),"Serious mutual (reimbursement under 15 days in the event of a claim). Qualified staff. Competitive rates overall.")</f>
        <v>Serious mutual (reimbursement under 15 days in the event of a claim). Qualified staff. Competitive rates overall.</v>
      </c>
    </row>
    <row r="966" ht="15.75" customHeight="1">
      <c r="A966" s="2">
        <v>4.0</v>
      </c>
      <c r="B966" s="2" t="s">
        <v>2645</v>
      </c>
      <c r="C966" s="2" t="s">
        <v>2646</v>
      </c>
      <c r="D966" s="2" t="s">
        <v>26</v>
      </c>
      <c r="E966" s="2" t="s">
        <v>14</v>
      </c>
      <c r="F966" s="2" t="s">
        <v>15</v>
      </c>
      <c r="G966" s="2" t="s">
        <v>1457</v>
      </c>
      <c r="H966" s="2" t="s">
        <v>34</v>
      </c>
      <c r="I966" s="2" t="str">
        <f>IFERROR(__xludf.DUMMYFUNCTION("GOOGLETRANSLATE(C966,""fr"",""en"")"),"I am satisfied with the price but in this exceptional situation, you would have been able to make an effort so as not to increase it this year since we have little rolled")</f>
        <v>I am satisfied with the price but in this exceptional situation, you would have been able to make an effort so as not to increase it this year since we have little rolled</v>
      </c>
    </row>
    <row r="967" ht="15.75" customHeight="1">
      <c r="A967" s="2">
        <v>5.0</v>
      </c>
      <c r="B967" s="2" t="s">
        <v>2647</v>
      </c>
      <c r="C967" s="2" t="s">
        <v>2648</v>
      </c>
      <c r="D967" s="2" t="s">
        <v>26</v>
      </c>
      <c r="E967" s="2" t="s">
        <v>14</v>
      </c>
      <c r="F967" s="2" t="s">
        <v>15</v>
      </c>
      <c r="G967" s="2" t="s">
        <v>27</v>
      </c>
      <c r="H967" s="2" t="s">
        <v>28</v>
      </c>
      <c r="I967" s="2" t="str">
        <f>IFERROR(__xludf.DUMMYFUNCTION("GOOGLETRANSLATE(C967,""fr"",""en"")"),"I am satisfied with the more prices offered, thanks to sponsorship, we can benefit from another bonus for our mutual insurance. Cordially.")</f>
        <v>I am satisfied with the more prices offered, thanks to sponsorship, we can benefit from another bonus for our mutual insurance. Cordially.</v>
      </c>
    </row>
    <row r="968" ht="15.75" customHeight="1">
      <c r="A968" s="2">
        <v>1.0</v>
      </c>
      <c r="B968" s="2" t="s">
        <v>2649</v>
      </c>
      <c r="C968" s="2" t="s">
        <v>2650</v>
      </c>
      <c r="D968" s="2" t="s">
        <v>2651</v>
      </c>
      <c r="E968" s="2" t="s">
        <v>32</v>
      </c>
      <c r="F968" s="2" t="s">
        <v>15</v>
      </c>
      <c r="G968" s="2" t="s">
        <v>685</v>
      </c>
      <c r="H968" s="2" t="s">
        <v>593</v>
      </c>
      <c r="I968" s="2" t="str">
        <f>IFERROR(__xludf.DUMMYFUNCTION("GOOGLETRANSLATE(C968,""fr"",""en"")"),"Assurance CACI is a real machine to generate cash.
They are only there with customer accounts")</f>
        <v>Assurance CACI is a real machine to generate cash.
They are only there with customer accounts</v>
      </c>
    </row>
    <row r="969" ht="15.75" customHeight="1">
      <c r="A969" s="2">
        <v>4.0</v>
      </c>
      <c r="B969" s="2" t="s">
        <v>2652</v>
      </c>
      <c r="C969" s="2" t="s">
        <v>2653</v>
      </c>
      <c r="D969" s="2" t="s">
        <v>69</v>
      </c>
      <c r="E969" s="2" t="s">
        <v>21</v>
      </c>
      <c r="F969" s="2" t="s">
        <v>15</v>
      </c>
      <c r="G969" s="2" t="s">
        <v>1980</v>
      </c>
      <c r="H969" s="2" t="s">
        <v>140</v>
      </c>
      <c r="I969" s="2" t="str">
        <f>IFERROR(__xludf.DUMMYFUNCTION("GOOGLETRANSLATE(C969,""fr"",""en"")"),"I had Khadidiatou as an interlocutor. Patient, smiling and effective serene!
An example. It is sometimes quite rare. But there, I must say that my file was well followed.")</f>
        <v>I had Khadidiatou as an interlocutor. Patient, smiling and effective serene!
An example. It is sometimes quite rare. But there, I must say that my file was well followed.</v>
      </c>
    </row>
    <row r="970" ht="15.75" customHeight="1">
      <c r="A970" s="2">
        <v>3.0</v>
      </c>
      <c r="B970" s="2" t="s">
        <v>2654</v>
      </c>
      <c r="C970" s="2" t="s">
        <v>2655</v>
      </c>
      <c r="D970" s="2" t="s">
        <v>26</v>
      </c>
      <c r="E970" s="2" t="s">
        <v>14</v>
      </c>
      <c r="F970" s="2" t="s">
        <v>15</v>
      </c>
      <c r="G970" s="2" t="s">
        <v>414</v>
      </c>
      <c r="H970" s="2" t="s">
        <v>28</v>
      </c>
      <c r="I970" s="2" t="str">
        <f>IFERROR(__xludf.DUMMYFUNCTION("GOOGLETRANSLATE(C970,""fr"",""en"")"),"I was not satisfied at all:
1- exchanges with no proposals of solution that led to the termination of my contract after 1 month of engagement
2- From the care to go from my old insurance contract with Direct Insurance to my new contract.
For the rest, "&amp;"I am currently satisfied (price, application).")</f>
        <v>I was not satisfied at all:
1- exchanges with no proposals of solution that led to the termination of my contract after 1 month of engagement
2- From the care to go from my old insurance contract with Direct Insurance to my new contract.
For the rest, I am currently satisfied (price, application).</v>
      </c>
    </row>
    <row r="971" ht="15.75" customHeight="1">
      <c r="A971" s="2">
        <v>5.0</v>
      </c>
      <c r="B971" s="2" t="s">
        <v>2656</v>
      </c>
      <c r="C971" s="2" t="s">
        <v>2657</v>
      </c>
      <c r="D971" s="2" t="s">
        <v>125</v>
      </c>
      <c r="E971" s="2" t="s">
        <v>32</v>
      </c>
      <c r="F971" s="2" t="s">
        <v>15</v>
      </c>
      <c r="G971" s="2" t="s">
        <v>841</v>
      </c>
      <c r="H971" s="2" t="s">
        <v>208</v>
      </c>
      <c r="I971" s="2" t="str">
        <f>IFERROR(__xludf.DUMMYFUNCTION("GOOGLETRANSLATE(C971,""fr"",""en"")"),"Very satisfied with the performance, ultra competitive prices compared to these banker's crooks ....! A general agent available as soon as I need it and who responds to the phone call! Very practical to have an intermediary who takes care of me!")</f>
        <v>Very satisfied with the performance, ultra competitive prices compared to these banker's crooks ....! A general agent available as soon as I need it and who responds to the phone call! Very practical to have an intermediary who takes care of me!</v>
      </c>
    </row>
    <row r="972" ht="15.75" customHeight="1">
      <c r="A972" s="2">
        <v>1.0</v>
      </c>
      <c r="B972" s="2" t="s">
        <v>2658</v>
      </c>
      <c r="C972" s="2" t="s">
        <v>2659</v>
      </c>
      <c r="D972" s="2" t="s">
        <v>20</v>
      </c>
      <c r="E972" s="2" t="s">
        <v>21</v>
      </c>
      <c r="F972" s="2" t="s">
        <v>15</v>
      </c>
      <c r="G972" s="2" t="s">
        <v>2660</v>
      </c>
      <c r="H972" s="2" t="s">
        <v>208</v>
      </c>
      <c r="I972" s="2" t="str">
        <f>IFERROR(__xludf.DUMMYFUNCTION("GOOGLETRANSLATE(C972,""fr"",""en"")"),"Null inappropriate response services ever the same answer
Never responds to the email for an hour of waiting to have them on the phone
Really nothing about their customers.
delating to see that")</f>
        <v>Null inappropriate response services ever the same answer
Never responds to the email for an hour of waiting to have them on the phone
Really nothing about their customers.
delating to see that</v>
      </c>
    </row>
    <row r="973" ht="15.75" customHeight="1">
      <c r="A973" s="2">
        <v>1.0</v>
      </c>
      <c r="B973" s="2" t="s">
        <v>2661</v>
      </c>
      <c r="C973" s="2" t="s">
        <v>2662</v>
      </c>
      <c r="D973" s="2" t="s">
        <v>42</v>
      </c>
      <c r="E973" s="2" t="s">
        <v>14</v>
      </c>
      <c r="F973" s="2" t="s">
        <v>15</v>
      </c>
      <c r="G973" s="2" t="s">
        <v>2663</v>
      </c>
      <c r="H973" s="2" t="s">
        <v>208</v>
      </c>
      <c r="I973" s="2" t="str">
        <f>IFERROR(__xludf.DUMMYFUNCTION("GOOGLETRANSLATE(C973,""fr"",""en"")"),"My opinion: Zero Pointe
In Morbihan a general agen &amp; his wife - because they unscrew in duo- who become ""rabid"" as soon as we want to leave them.
But after 10 years with them, my letters of termination for the home and the vehicle had become essential"&amp;". Since then, I have part of sprains in insurance legislation, sprains that I will be seen by a lawyer in order to be certain that I am right to go before the district court.
1- Insurance: registration of non-responsible accident finally punished!
"&amp;"
(3,565 views) - September 14, 2017/2 comments
By writing
On the occasion of a judgment rendered by the district court of Grasse (06) on July 11, the registration of a non -responsible claim to the victim's file by his insurer was officially denounced a"&amp;"s illegal ... and condemned as it should be. Motorists who have undergone double damage to the accident and the notification of it in their information statement therefore now have arms so that they will no longer be done.
2- My information statement N"&amp;"ote ""PETS"" in car parks and 1 windshield, but a judgment rendered by the Grasse district court on 07/11/2017 declared as illegal registration on the statement information from a non -responsible disaster. This judgment made a case law.
OJ of 02/09/19"&amp;"83- Annex A121-1 of the Insurance Code
Article 6: should not be taken into account, for the application of an increase, claims having fully engaged the responsibility of a third party.
Article 7: “When the claim occurred to a parking vehicle by the fact"&amp;" of an unidentified third party ……. Or when the claim only brings into play one of the following guarantees: theft, fire, ice breaks, it is not applied neither increase or reduction for the year during which this disaster occurred.
I have a 50% bonus sin"&amp;"ce the year 2000
In 2019, the insurer brought all these bonus years to the hatch by declaring: ""Bonus coefficient applied to the last annual maturity of 01/03/2019: 0.50%""; So, 18 years of bonus deleted wrongly for a hanging where I am only responsible"&amp;" for 50%,
3- I had an increase in the price of my insurance by 37%
4- My new insurer was based on the information statement which does not comply.
5- The insurer requests my lessor's letter when asked for an insurance certificate. I refused.
")</f>
        <v>My opinion: Zero Pointe
In Morbihan a general agen &amp; his wife - because they unscrew in duo- who become "rabid" as soon as we want to leave them.
But after 10 years with them, my letters of termination for the home and the vehicle had become essential. Since then, I have part of sprains in insurance legislation, sprains that I will be seen by a lawyer in order to be certain that I am right to go before the district court.
1- Insurance: registration of non-responsible accident finally punished!
(3,565 views) - September 14, 2017/2 comments
By writing
On the occasion of a judgment rendered by the district court of Grasse (06) on July 11, the registration of a non -responsible claim to the victim's file by his insurer was officially denounced as illegal ... and condemned as it should be. Motorists who have undergone double damage to the accident and the notification of it in their information statement therefore now have arms so that they will no longer be done.
2- My information statement Note "PETS" in car parks and 1 windshield, but a judgment rendered by the Grasse district court on 07/11/2017 declared as illegal registration on the statement information from a non -responsible disaster. This judgment made a case law.
OJ of 02/09/1983- Annex A121-1 of the Insurance Code
Article 6: should not be taken into account, for the application of an increase, claims having fully engaged the responsibility of a third party.
Article 7: “When the claim occurred to a parking vehicle by the fact of an unidentified third party ……. Or when the claim only brings into play one of the following guarantees: theft, fire, ice breaks, it is not applied neither increase or reduction for the year during which this disaster occurred.
I have a 50% bonus since the year 2000
In 2019, the insurer brought all these bonus years to the hatch by declaring: "Bonus coefficient applied to the last annual maturity of 01/03/2019: 0.50%"; So, 18 years of bonus deleted wrongly for a hanging where I am only responsible for 50%,
3- I had an increase in the price of my insurance by 37%
4- My new insurer was based on the information statement which does not comply.
5- The insurer requests my lessor's letter when asked for an insurance certificate. I refused.
</v>
      </c>
    </row>
    <row r="974" ht="15.75" customHeight="1">
      <c r="A974" s="2">
        <v>1.0</v>
      </c>
      <c r="B974" s="2" t="s">
        <v>2664</v>
      </c>
      <c r="C974" s="2" t="s">
        <v>2665</v>
      </c>
      <c r="D974" s="2" t="s">
        <v>188</v>
      </c>
      <c r="E974" s="2" t="s">
        <v>14</v>
      </c>
      <c r="F974" s="2" t="s">
        <v>15</v>
      </c>
      <c r="G974" s="2" t="s">
        <v>2666</v>
      </c>
      <c r="H974" s="2" t="s">
        <v>157</v>
      </c>
      <c r="I974" s="2" t="str">
        <f>IFERROR(__xludf.DUMMYFUNCTION("GOOGLETRANSLATE(C974,""fr"",""en"")"),"Very disappointed with GMF. First time that I am criticized for having several in my name ... The people are not at all pleasant on the phone. The prices are excessive compared to the expected guarantees which are zero.")</f>
        <v>Very disappointed with GMF. First time that I am criticized for having several in my name ... The people are not at all pleasant on the phone. The prices are excessive compared to the expected guarantees which are zero.</v>
      </c>
    </row>
    <row r="975" ht="15.75" customHeight="1">
      <c r="A975" s="2">
        <v>4.0</v>
      </c>
      <c r="B975" s="2" t="s">
        <v>2667</v>
      </c>
      <c r="C975" s="2" t="s">
        <v>2668</v>
      </c>
      <c r="D975" s="2" t="s">
        <v>152</v>
      </c>
      <c r="E975" s="2" t="s">
        <v>21</v>
      </c>
      <c r="F975" s="2" t="s">
        <v>15</v>
      </c>
      <c r="G975" s="2" t="s">
        <v>2669</v>
      </c>
      <c r="H975" s="2" t="s">
        <v>63</v>
      </c>
      <c r="I975" s="2" t="str">
        <f>IFERROR(__xludf.DUMMYFUNCTION("GOOGLETRANSLATE(C975,""fr"",""en"")"),"My satisfaction is total about this mutual insurance company to which I have been adherent for 21 years. The service and the guarantee are of high quality.
I recommend it to any police officer!")</f>
        <v>My satisfaction is total about this mutual insurance company to which I have been adherent for 21 years. The service and the guarantee are of high quality.
I recommend it to any police officer!</v>
      </c>
    </row>
    <row r="976" ht="15.75" customHeight="1">
      <c r="A976" s="2">
        <v>4.0</v>
      </c>
      <c r="B976" s="2" t="s">
        <v>2670</v>
      </c>
      <c r="C976" s="2" t="s">
        <v>2671</v>
      </c>
      <c r="D976" s="2" t="s">
        <v>26</v>
      </c>
      <c r="E976" s="2" t="s">
        <v>14</v>
      </c>
      <c r="F976" s="2" t="s">
        <v>15</v>
      </c>
      <c r="G976" s="2" t="s">
        <v>1544</v>
      </c>
      <c r="H976" s="2" t="s">
        <v>28</v>
      </c>
      <c r="I976" s="2" t="str">
        <f>IFERROR(__xludf.DUMMYFUNCTION("GOOGLETRANSLATE(C976,""fr"",""en"")"),"I'm satisfied ,
Quick quote and correct price,
Guide on the best version to take, which helps well.
Should offer may be a repair option in the whole risk")</f>
        <v>I'm satisfied ,
Quick quote and correct price,
Guide on the best version to take, which helps well.
Should offer may be a repair option in the whole risk</v>
      </c>
    </row>
    <row r="977" ht="15.75" customHeight="1">
      <c r="A977" s="2">
        <v>1.0</v>
      </c>
      <c r="B977" s="2" t="s">
        <v>2672</v>
      </c>
      <c r="C977" s="2" t="s">
        <v>2673</v>
      </c>
      <c r="D977" s="2" t="s">
        <v>250</v>
      </c>
      <c r="E977" s="2" t="s">
        <v>21</v>
      </c>
      <c r="F977" s="2" t="s">
        <v>15</v>
      </c>
      <c r="G977" s="2" t="s">
        <v>2674</v>
      </c>
      <c r="H977" s="2" t="s">
        <v>63</v>
      </c>
      <c r="I977" s="2" t="str">
        <f>IFERROR(__xludf.DUMMYFUNCTION("GOOGLETRANSLATE(C977,""fr"",""en"")"),"A shame, they do not warn when the contract ends and then refuse to reimburse the costs.
If they warned, maybe we could make arrangements so as not to pay our medical costs full.
ASHAMED. SCANDALOUS")</f>
        <v>A shame, they do not warn when the contract ends and then refuse to reimburse the costs.
If they warned, maybe we could make arrangements so as not to pay our medical costs full.
ASHAMED. SCANDALOUS</v>
      </c>
    </row>
    <row r="978" ht="15.75" customHeight="1">
      <c r="A978" s="2">
        <v>1.0</v>
      </c>
      <c r="B978" s="2" t="s">
        <v>2675</v>
      </c>
      <c r="C978" s="2" t="s">
        <v>2676</v>
      </c>
      <c r="D978" s="2" t="s">
        <v>262</v>
      </c>
      <c r="E978" s="2" t="s">
        <v>14</v>
      </c>
      <c r="F978" s="2" t="s">
        <v>15</v>
      </c>
      <c r="G978" s="2" t="s">
        <v>2677</v>
      </c>
      <c r="H978" s="2" t="s">
        <v>145</v>
      </c>
      <c r="I978" s="2" t="str">
        <f>IFERROR(__xludf.DUMMYFUNCTION("GOOGLETRANSLATE(C978,""fr"",""en"")"),"Hello,
I leave an unfavorable opinion for non -compliance with the commercial gesture which was granted to me 1 year ago and I am still waiting for the 60 euros they owe me. I constantly call to claim my due but in vain, I am answered ""we will remind "&amp;"you or you will receive the transfer in 3 months"" you are nice but it's been 1 year for day that I await my refund. They do not stop walking me but a moment to give is a non -respect for their customer")</f>
        <v>Hello,
I leave an unfavorable opinion for non -compliance with the commercial gesture which was granted to me 1 year ago and I am still waiting for the 60 euros they owe me. I constantly call to claim my due but in vain, I am answered "we will remind you or you will receive the transfer in 3 months" you are nice but it's been 1 year for day that I await my refund. They do not stop walking me but a moment to give is a non -respect for their customer</v>
      </c>
    </row>
    <row r="979" ht="15.75" customHeight="1">
      <c r="A979" s="2">
        <v>3.0</v>
      </c>
      <c r="B979" s="2" t="s">
        <v>2678</v>
      </c>
      <c r="C979" s="2" t="s">
        <v>2679</v>
      </c>
      <c r="D979" s="2" t="s">
        <v>26</v>
      </c>
      <c r="E979" s="2" t="s">
        <v>14</v>
      </c>
      <c r="F979" s="2" t="s">
        <v>15</v>
      </c>
      <c r="G979" s="2" t="s">
        <v>1457</v>
      </c>
      <c r="H979" s="2" t="s">
        <v>34</v>
      </c>
      <c r="I979" s="2" t="str">
        <f>IFERROR(__xludf.DUMMYFUNCTION("GOOGLETRANSLATE(C979,""fr"",""en"")"),"Overall, it's correct.
Waiting for quotes to compare. In direct insurance still insurance
too expensive.
I think that price level can do better.
Cordially")</f>
        <v>Overall, it's correct.
Waiting for quotes to compare. In direct insurance still insurance
too expensive.
I think that price level can do better.
Cordially</v>
      </c>
    </row>
    <row r="980" ht="15.75" customHeight="1">
      <c r="A980" s="2">
        <v>1.0</v>
      </c>
      <c r="B980" s="2" t="s">
        <v>2680</v>
      </c>
      <c r="C980" s="2" t="s">
        <v>2681</v>
      </c>
      <c r="D980" s="2" t="s">
        <v>61</v>
      </c>
      <c r="E980" s="2" t="s">
        <v>109</v>
      </c>
      <c r="F980" s="2" t="s">
        <v>15</v>
      </c>
      <c r="G980" s="2" t="s">
        <v>2682</v>
      </c>
      <c r="H980" s="2" t="s">
        <v>228</v>
      </c>
      <c r="I980" s="2" t="str">
        <f>IFERROR(__xludf.DUMMYFUNCTION("GOOGLETRANSLATE(C980,""fr"",""en"")"),"Completely zero! I have been waiting for a swisslife transfer since Juliet 2016, and ITS always find an excuse not to pay me !!! ..")</f>
        <v>Completely zero! I have been waiting for a swisslife transfer since Juliet 2016, and ITS always find an excuse not to pay me !!! ..</v>
      </c>
    </row>
    <row r="981" ht="15.75" customHeight="1">
      <c r="A981" s="2">
        <v>3.0</v>
      </c>
      <c r="B981" s="2" t="s">
        <v>2683</v>
      </c>
      <c r="C981" s="2" t="s">
        <v>2684</v>
      </c>
      <c r="D981" s="2" t="s">
        <v>26</v>
      </c>
      <c r="E981" s="2" t="s">
        <v>14</v>
      </c>
      <c r="F981" s="2" t="s">
        <v>15</v>
      </c>
      <c r="G981" s="2" t="s">
        <v>404</v>
      </c>
      <c r="H981" s="2" t="s">
        <v>81</v>
      </c>
      <c r="I981" s="2" t="str">
        <f>IFERROR(__xludf.DUMMYFUNCTION("GOOGLETRANSLATE(C981,""fr"",""en"")"),"They dropped me on the pretext that I had 2 non -responsible claims !! And that it is registered in the small lines of the contract.
(You had to know)
")</f>
        <v>They dropped me on the pretext that I had 2 non -responsible claims !! And that it is registered in the small lines of the contract.
(You had to know)
</v>
      </c>
    </row>
    <row r="982" ht="15.75" customHeight="1">
      <c r="A982" s="2">
        <v>1.0</v>
      </c>
      <c r="B982" s="2" t="s">
        <v>2685</v>
      </c>
      <c r="C982" s="2" t="s">
        <v>2686</v>
      </c>
      <c r="D982" s="2" t="s">
        <v>298</v>
      </c>
      <c r="E982" s="2" t="s">
        <v>38</v>
      </c>
      <c r="F982" s="2" t="s">
        <v>15</v>
      </c>
      <c r="G982" s="2" t="s">
        <v>562</v>
      </c>
      <c r="H982" s="2" t="s">
        <v>136</v>
      </c>
      <c r="I982" s="2" t="str">
        <f>IFERROR(__xludf.DUMMYFUNCTION("GOOGLETRANSLATE(C982,""fr"",""en"")"),"Who manages to reach a person at the Mutual? We come across responders whether at the headquarters or in the provinces")</f>
        <v>Who manages to reach a person at the Mutual? We come across responders whether at the headquarters or in the provinces</v>
      </c>
    </row>
    <row r="983" ht="15.75" customHeight="1">
      <c r="A983" s="2">
        <v>1.0</v>
      </c>
      <c r="B983" s="2" t="s">
        <v>2687</v>
      </c>
      <c r="C983" s="2" t="s">
        <v>2688</v>
      </c>
      <c r="D983" s="2" t="s">
        <v>26</v>
      </c>
      <c r="E983" s="2" t="s">
        <v>14</v>
      </c>
      <c r="F983" s="2" t="s">
        <v>15</v>
      </c>
      <c r="G983" s="2" t="s">
        <v>2689</v>
      </c>
      <c r="H983" s="2" t="s">
        <v>713</v>
      </c>
      <c r="I983" s="2" t="str">
        <f>IFERROR(__xludf.DUMMYFUNCTION("GOOGLETRANSLATE(C983,""fr"",""en"")"),"A good start that ends badly")</f>
        <v>A good start that ends badly</v>
      </c>
    </row>
    <row r="984" ht="15.75" customHeight="1">
      <c r="A984" s="2">
        <v>2.0</v>
      </c>
      <c r="B984" s="2" t="s">
        <v>2690</v>
      </c>
      <c r="C984" s="2" t="s">
        <v>2691</v>
      </c>
      <c r="D984" s="2" t="s">
        <v>26</v>
      </c>
      <c r="E984" s="2" t="s">
        <v>14</v>
      </c>
      <c r="F984" s="2" t="s">
        <v>15</v>
      </c>
      <c r="G984" s="2" t="s">
        <v>429</v>
      </c>
      <c r="H984" s="2" t="s">
        <v>34</v>
      </c>
      <c r="I984" s="2" t="str">
        <f>IFERROR(__xludf.DUMMYFUNCTION("GOOGLETRANSLATE(C984,""fr"",""en"")"),"Hello,
I thank you for your feedback.
I inform you that I have just made the payment of my contribution from March by bank card.
On the other hand, I want to share my dissatisfaction with you as for this incident which is in no way my fact.
It tur"&amp;"ns out that my IBAN number has been changed. And that it could only be changed on your side because the number filled is impossible to validate on the user side because it is wrong! As a trade informatician it is very likely that manipulation on your data"&amp;"bases has been carried out.
It would be fashionable, to ensure the proper functioning of your website before ""threatening"" contracts with contract suspension!
I have always been a customer at Direct Insurance, I have never had a payment incident. Yo"&amp;"ur services have so far always brought me satisfaction but I am strongly disappointed with such a consideration, especially since the error is on your side !!!
Cordially,
Stéphane Guiraud
")</f>
        <v>Hello,
I thank you for your feedback.
I inform you that I have just made the payment of my contribution from March by bank card.
On the other hand, I want to share my dissatisfaction with you as for this incident which is in no way my fact.
It turns out that my IBAN number has been changed. And that it could only be changed on your side because the number filled is impossible to validate on the user side because it is wrong! As a trade informatician it is very likely that manipulation on your databases has been carried out.
It would be fashionable, to ensure the proper functioning of your website before "threatening" contracts with contract suspension!
I have always been a customer at Direct Insurance, I have never had a payment incident. Your services have so far always brought me satisfaction but I am strongly disappointed with such a consideration, especially since the error is on your side !!!
Cordially,
Stéphane Guiraud
</v>
      </c>
    </row>
    <row r="985" ht="15.75" customHeight="1">
      <c r="A985" s="2">
        <v>2.0</v>
      </c>
      <c r="B985" s="2" t="s">
        <v>2692</v>
      </c>
      <c r="C985" s="2" t="s">
        <v>2693</v>
      </c>
      <c r="D985" s="2" t="s">
        <v>315</v>
      </c>
      <c r="E985" s="2" t="s">
        <v>14</v>
      </c>
      <c r="F985" s="2" t="s">
        <v>15</v>
      </c>
      <c r="G985" s="2" t="s">
        <v>2694</v>
      </c>
      <c r="H985" s="2" t="s">
        <v>442</v>
      </c>
      <c r="I985" s="2" t="str">
        <f>IFERROR(__xludf.DUMMYFUNCTION("GOOGLETRANSLATE(C985,""fr"",""en"")"),"To flee !!! Following a non-responsible accident, I had to fight so that the file advances, to reach people etc")</f>
        <v>To flee !!! Following a non-responsible accident, I had to fight so that the file advances, to reach people etc</v>
      </c>
    </row>
    <row r="986" ht="15.75" customHeight="1">
      <c r="A986" s="2">
        <v>5.0</v>
      </c>
      <c r="B986" s="2" t="s">
        <v>2695</v>
      </c>
      <c r="C986" s="2" t="s">
        <v>2696</v>
      </c>
      <c r="D986" s="2" t="s">
        <v>305</v>
      </c>
      <c r="E986" s="2" t="s">
        <v>38</v>
      </c>
      <c r="F986" s="2" t="s">
        <v>15</v>
      </c>
      <c r="G986" s="2" t="s">
        <v>556</v>
      </c>
      <c r="H986" s="2" t="s">
        <v>185</v>
      </c>
      <c r="I986" s="2" t="str">
        <f>IFERROR(__xludf.DUMMYFUNCTION("GOOGLETRANSLATE(C986,""fr"",""en"")"),"Very pleasant person on the phone. I will recommend your insurance to other two -wheeled users. Thank you for your attention.
Best regards.
Lasmak Driss")</f>
        <v>Very pleasant person on the phone. I will recommend your insurance to other two -wheeled users. Thank you for your attention.
Best regards.
Lasmak Driss</v>
      </c>
    </row>
    <row r="987" ht="15.75" customHeight="1">
      <c r="A987" s="2">
        <v>3.0</v>
      </c>
      <c r="B987" s="2" t="s">
        <v>2697</v>
      </c>
      <c r="C987" s="2" t="s">
        <v>2698</v>
      </c>
      <c r="D987" s="2" t="s">
        <v>26</v>
      </c>
      <c r="E987" s="2" t="s">
        <v>14</v>
      </c>
      <c r="F987" s="2" t="s">
        <v>15</v>
      </c>
      <c r="G987" s="2" t="s">
        <v>655</v>
      </c>
      <c r="H987" s="2" t="s">
        <v>185</v>
      </c>
      <c r="I987" s="2" t="str">
        <f>IFERROR(__xludf.DUMMYFUNCTION("GOOGLETRANSLATE(C987,""fr"",""en"")"),"I am satisfied with the service, I received the documents quickly whether it is the case or the green card. Regarding the price Il and resonable I am not yet able to test you drive for the reduction")</f>
        <v>I am satisfied with the service, I received the documents quickly whether it is the case or the green card. Regarding the price Il and resonable I am not yet able to test you drive for the reduction</v>
      </c>
    </row>
    <row r="988" ht="15.75" customHeight="1">
      <c r="A988" s="2">
        <v>1.0</v>
      </c>
      <c r="B988" s="2" t="s">
        <v>2699</v>
      </c>
      <c r="C988" s="2" t="s">
        <v>2700</v>
      </c>
      <c r="D988" s="2" t="s">
        <v>26</v>
      </c>
      <c r="E988" s="2" t="s">
        <v>14</v>
      </c>
      <c r="F988" s="2" t="s">
        <v>15</v>
      </c>
      <c r="G988" s="2" t="s">
        <v>1730</v>
      </c>
      <c r="H988" s="2" t="s">
        <v>122</v>
      </c>
      <c r="I988" s="2" t="str">
        <f>IFERROR(__xludf.DUMMYFUNCTION("GOOGLETRANSLATE(C988,""fr"",""en"")"),"The prices do not suit me for my second vehicle, despite that I have been a customer for years. No commercial gesture. We consider the customer as a simple number.")</f>
        <v>The prices do not suit me for my second vehicle, despite that I have been a customer for years. No commercial gesture. We consider the customer as a simple number.</v>
      </c>
    </row>
    <row r="989" ht="15.75" customHeight="1">
      <c r="A989" s="2">
        <v>4.0</v>
      </c>
      <c r="B989" s="2" t="s">
        <v>2701</v>
      </c>
      <c r="C989" s="2" t="s">
        <v>2702</v>
      </c>
      <c r="D989" s="2" t="s">
        <v>152</v>
      </c>
      <c r="E989" s="2" t="s">
        <v>21</v>
      </c>
      <c r="F989" s="2" t="s">
        <v>15</v>
      </c>
      <c r="G989" s="2" t="s">
        <v>1053</v>
      </c>
      <c r="H989" s="2" t="s">
        <v>74</v>
      </c>
      <c r="I989" s="2" t="str">
        <f>IFERROR(__xludf.DUMMYFUNCTION("GOOGLETRANSLATE(C989,""fr"",""en"")"),"This morning I contacted my MGP mutual,
Myriam the advisor who answered me gave me the information I wanted with great professionalism and kindness.
This person does honor to his service.
    Best regards.
                   G.K.")</f>
        <v>This morning I contacted my MGP mutual,
Myriam the advisor who answered me gave me the information I wanted with great professionalism and kindness.
This person does honor to his service.
    Best regards.
                   G.K.</v>
      </c>
    </row>
    <row r="990" ht="15.75" customHeight="1">
      <c r="A990" s="2">
        <v>1.0</v>
      </c>
      <c r="B990" s="2" t="s">
        <v>2703</v>
      </c>
      <c r="C990" s="2" t="s">
        <v>2704</v>
      </c>
      <c r="D990" s="2" t="s">
        <v>26</v>
      </c>
      <c r="E990" s="2" t="s">
        <v>14</v>
      </c>
      <c r="F990" s="2" t="s">
        <v>15</v>
      </c>
      <c r="G990" s="2" t="s">
        <v>2705</v>
      </c>
      <c r="H990" s="2" t="s">
        <v>691</v>
      </c>
      <c r="I990" s="2" t="str">
        <f>IFERROR(__xludf.DUMMYFUNCTION("GOOGLETRANSLATE(C990,""fr"",""en"")"),"5 years Ensure at home any failure of payment 2 non -responsible claims and this morning upon waking up I realize that it is terminated without being informed beforehand as the laws obliges it. Working in nursing homes this is prejudice to me especially d"&amp;"uring this period of containment.")</f>
        <v>5 years Ensure at home any failure of payment 2 non -responsible claims and this morning upon waking up I realize that it is terminated without being informed beforehand as the laws obliges it. Working in nursing homes this is prejudice to me especially during this period of containment.</v>
      </c>
    </row>
    <row r="991" ht="15.75" customHeight="1">
      <c r="A991" s="2">
        <v>1.0</v>
      </c>
      <c r="B991" s="2" t="s">
        <v>2706</v>
      </c>
      <c r="C991" s="2" t="s">
        <v>2707</v>
      </c>
      <c r="D991" s="2" t="s">
        <v>410</v>
      </c>
      <c r="E991" s="2" t="s">
        <v>14</v>
      </c>
      <c r="F991" s="2" t="s">
        <v>15</v>
      </c>
      <c r="G991" s="2" t="s">
        <v>2708</v>
      </c>
      <c r="H991" s="2" t="s">
        <v>50</v>
      </c>
      <c r="I991" s="2" t="str">
        <f>IFERROR(__xludf.DUMMYFUNCTION("GOOGLETRANSLATE(C991,""fr"",""en"")"),"Being assured any risk, I can say no zer zero zero !!!!! They come to you after 2 to 3 sinister even if you are not wrong !! They allow themselves to put you in addition to its red List Histoire that no other insurance takes you !! I loved was wrong and I"&amp;" found myself terminated without any valid reasons. Insurance to avoid as much as possible !!!!! They have never respected their insured and they will never respect them !!!! Leave people in a petrin such a thing is that the Matmut capable of doing this. "&amp;"If you make sure your insurance will be useful for you. Thank you goodbye")</f>
        <v>Being assured any risk, I can say no zer zero zero !!!!! They come to you after 2 to 3 sinister even if you are not wrong !! They allow themselves to put you in addition to its red List Histoire that no other insurance takes you !! I loved was wrong and I found myself terminated without any valid reasons. Insurance to avoid as much as possible !!!!! They have never respected their insured and they will never respect them !!!! Leave people in a petrin such a thing is that the Matmut capable of doing this. If you make sure your insurance will be useful for you. Thank you goodbye</v>
      </c>
    </row>
    <row r="992" ht="15.75" customHeight="1">
      <c r="A992" s="2">
        <v>1.0</v>
      </c>
      <c r="B992" s="2" t="s">
        <v>2709</v>
      </c>
      <c r="C992" s="2" t="s">
        <v>2710</v>
      </c>
      <c r="D992" s="2" t="s">
        <v>338</v>
      </c>
      <c r="E992" s="2" t="s">
        <v>14</v>
      </c>
      <c r="F992" s="2" t="s">
        <v>15</v>
      </c>
      <c r="G992" s="2" t="s">
        <v>2711</v>
      </c>
      <c r="H992" s="2" t="s">
        <v>713</v>
      </c>
      <c r="I992" s="2" t="str">
        <f>IFERROR(__xludf.DUMMYFUNCTION("GOOGLETRANSLATE(C992,""fr"",""en"")"),"Great anything!
Once subscribed and pay 3 months of contributions as well as file fees .... The nightmare begins ... Request of incessant paper ever more and cans unnecessary things! And hop surprise termination ... informed well after. .. Small refund o"&amp;"f the saying too perceived which is equivalent to less than a quarter of what I have paid. To finally be assumed 3 weeks. I am outraged. And angry to lose money ....! Customer service is deplorable, it looks like it does not know anything about it and rep"&amp;"eats a protocol whatever the situation.
When you are in difficulty in reaching both ends and that to be honest we have a bank in insurance and that we do not have a vacation because it was better to pay insurance it is a whole family with children who fe"&amp;"el trapped.")</f>
        <v>Great anything!
Once subscribed and pay 3 months of contributions as well as file fees .... The nightmare begins ... Request of incessant paper ever more and cans unnecessary things! And hop surprise termination ... informed well after. .. Small refund of the saying too perceived which is equivalent to less than a quarter of what I have paid. To finally be assumed 3 weeks. I am outraged. And angry to lose money ....! Customer service is deplorable, it looks like it does not know anything about it and repeats a protocol whatever the situation.
When you are in difficulty in reaching both ends and that to be honest we have a bank in insurance and that we do not have a vacation because it was better to pay insurance it is a whole family with children who feel trapped.</v>
      </c>
    </row>
    <row r="993" ht="15.75" customHeight="1">
      <c r="A993" s="2">
        <v>4.0</v>
      </c>
      <c r="B993" s="2" t="s">
        <v>2712</v>
      </c>
      <c r="C993" s="2" t="s">
        <v>2713</v>
      </c>
      <c r="D993" s="2" t="s">
        <v>305</v>
      </c>
      <c r="E993" s="2" t="s">
        <v>38</v>
      </c>
      <c r="F993" s="2" t="s">
        <v>15</v>
      </c>
      <c r="G993" s="2" t="s">
        <v>559</v>
      </c>
      <c r="H993" s="2" t="s">
        <v>74</v>
      </c>
      <c r="I993" s="2" t="str">
        <f>IFERROR(__xludf.DUMMYFUNCTION("GOOGLETRANSLATE(C993,""fr"",""en"")"),"I am very satisfied to have taken out insurance and I recommend 100% having made a comparison I chose you because you are in the top3 of the comparison")</f>
        <v>I am very satisfied to have taken out insurance and I recommend 100% having made a comparison I chose you because you are in the top3 of the comparison</v>
      </c>
    </row>
    <row r="994" ht="15.75" customHeight="1">
      <c r="A994" s="2">
        <v>4.0</v>
      </c>
      <c r="B994" s="2" t="s">
        <v>2714</v>
      </c>
      <c r="C994" s="2" t="s">
        <v>2715</v>
      </c>
      <c r="D994" s="2" t="s">
        <v>69</v>
      </c>
      <c r="E994" s="2" t="s">
        <v>21</v>
      </c>
      <c r="F994" s="2" t="s">
        <v>15</v>
      </c>
      <c r="G994" s="2" t="s">
        <v>2716</v>
      </c>
      <c r="H994" s="2" t="s">
        <v>136</v>
      </c>
      <c r="I994" s="2" t="str">
        <f>IFERROR(__xludf.DUMMYFUNCTION("GOOGLETRANSLATE(C994,""fr"",""en"")"),"well served by the insurer and by the broker and well understood")</f>
        <v>well served by the insurer and by the broker and well understood</v>
      </c>
    </row>
    <row r="995" ht="15.75" customHeight="1">
      <c r="A995" s="2">
        <v>1.0</v>
      </c>
      <c r="B995" s="2" t="s">
        <v>2717</v>
      </c>
      <c r="C995" s="2" t="s">
        <v>2718</v>
      </c>
      <c r="D995" s="2" t="s">
        <v>53</v>
      </c>
      <c r="E995" s="2" t="s">
        <v>14</v>
      </c>
      <c r="F995" s="2" t="s">
        <v>15</v>
      </c>
      <c r="G995" s="2" t="s">
        <v>2719</v>
      </c>
      <c r="H995" s="2" t="s">
        <v>395</v>
      </c>
      <c r="I995" s="2" t="str">
        <f>IFERROR(__xludf.DUMMYFUNCTION("GOOGLETRANSLATE(C995,""fr"",""en"")"),"No lamentable customer service hangs over the nose as soon as you get upset because they do not do their job.")</f>
        <v>No lamentable customer service hangs over the nose as soon as you get upset because they do not do their job.</v>
      </c>
    </row>
    <row r="996" ht="15.75" customHeight="1">
      <c r="A996" s="2">
        <v>1.0</v>
      </c>
      <c r="B996" s="2" t="s">
        <v>2720</v>
      </c>
      <c r="C996" s="2" t="s">
        <v>2721</v>
      </c>
      <c r="D996" s="2" t="s">
        <v>26</v>
      </c>
      <c r="E996" s="2" t="s">
        <v>14</v>
      </c>
      <c r="F996" s="2" t="s">
        <v>15</v>
      </c>
      <c r="G996" s="2" t="s">
        <v>538</v>
      </c>
      <c r="H996" s="2" t="s">
        <v>94</v>
      </c>
      <c r="I996" s="2" t="str">
        <f>IFERROR(__xludf.DUMMYFUNCTION("GOOGLETRANSLATE(C996,""fr"",""en"")"),"It is not a good compania are not good with the customers they try to return money to the checkout by all the means I do not recommend them to anyone I have been customer at home for more 5 years old I have never been happy with them they always find the "&amp;"small beasts to cashed money to customers especially when buying a car abroad and we assure the car with them they know that to have the gray card Take time because the foreign voigre to post the file and make the gray card in France it takes time they gi"&amp;"ve a very course for the insured person will not have time to receive the crisis card and send it to them them They take advantage of the opportunity to terminate the person in cash for the 3 months paid and the duned time not even 1 month so be careful")</f>
        <v>It is not a good compania are not good with the customers they try to return money to the checkout by all the means I do not recommend them to anyone I have been customer at home for more 5 years old I have never been happy with them they always find the small beasts to cashed money to customers especially when buying a car abroad and we assure the car with them they know that to have the gray card Take time because the foreign voigre to post the file and make the gray card in France it takes time they give a very course for the insured person will not have time to receive the crisis card and send it to them them They take advantage of the opportunity to terminate the person in cash for the 3 months paid and the duned time not even 1 month so be careful</v>
      </c>
    </row>
    <row r="997" ht="15.75" customHeight="1">
      <c r="A997" s="2">
        <v>4.0</v>
      </c>
      <c r="B997" s="2" t="s">
        <v>2722</v>
      </c>
      <c r="C997" s="2" t="s">
        <v>2723</v>
      </c>
      <c r="D997" s="2" t="s">
        <v>26</v>
      </c>
      <c r="E997" s="2" t="s">
        <v>14</v>
      </c>
      <c r="F997" s="2" t="s">
        <v>15</v>
      </c>
      <c r="G997" s="2" t="s">
        <v>1544</v>
      </c>
      <c r="H997" s="2" t="s">
        <v>28</v>
      </c>
      <c r="I997" s="2" t="str">
        <f>IFERROR(__xludf.DUMMYFUNCTION("GOOGLETRANSLATE(C997,""fr"",""en"")"),"No value for money.
I am satisfied with the contract that is offered to me.
Good coverage when you are in all risks. I highly recommend")</f>
        <v>No value for money.
I am satisfied with the contract that is offered to me.
Good coverage when you are in all risks. I highly recommend</v>
      </c>
    </row>
    <row r="998" ht="15.75" customHeight="1">
      <c r="A998" s="2">
        <v>4.0</v>
      </c>
      <c r="B998" s="2" t="s">
        <v>2724</v>
      </c>
      <c r="C998" s="2" t="s">
        <v>2725</v>
      </c>
      <c r="D998" s="2" t="s">
        <v>152</v>
      </c>
      <c r="E998" s="2" t="s">
        <v>21</v>
      </c>
      <c r="F998" s="2" t="s">
        <v>15</v>
      </c>
      <c r="G998" s="2" t="s">
        <v>176</v>
      </c>
      <c r="H998" s="2" t="s">
        <v>34</v>
      </c>
      <c r="I998" s="2" t="str">
        <f>IFERROR(__xludf.DUMMYFUNCTION("GOOGLETRANSLATE(C998,""fr"",""en"")"),"Follow -up of rigorous and flawless files.
Efficient.
Nestible, available and attentive staff. Very responsive and good advice.
To recommend.")</f>
        <v>Follow -up of rigorous and flawless files.
Efficient.
Nestible, available and attentive staff. Very responsive and good advice.
To recommend.</v>
      </c>
    </row>
    <row r="999" ht="15.75" customHeight="1">
      <c r="A999" s="2">
        <v>1.0</v>
      </c>
      <c r="B999" s="2" t="s">
        <v>2726</v>
      </c>
      <c r="C999" s="2" t="s">
        <v>2727</v>
      </c>
      <c r="D999" s="2" t="s">
        <v>152</v>
      </c>
      <c r="E999" s="2" t="s">
        <v>109</v>
      </c>
      <c r="F999" s="2" t="s">
        <v>15</v>
      </c>
      <c r="G999" s="2" t="s">
        <v>2728</v>
      </c>
      <c r="H999" s="2" t="s">
        <v>547</v>
      </c>
      <c r="I999" s="2" t="str">
        <f>IFERROR(__xludf.DUMMYFUNCTION("GOOGLETRANSLATE(C999,""fr"",""en"")"),"A loved one was notified by the MGP, 8 years1/2 after the death of an uncle, that she, and therefore in principle me and my cousin (e) s, were benefiting from death insurance he had taken out .
Then a real hassle!
We may do research and send them all "&amp;"the documents they ask for, there is a family booklet of uncle not found so long after (no child, those close to all deceased and a lady who reached the Alzheimer stadium) .
The MGP have investigators and genealogicals that they obviously appeal.
On the"&amp;" phone there is a very powerful filtering barrage whose role obviously consists in identifying unwelcome.
Impossible to have a human really taking care of the file (it happened to me only once).
If you must have relations with them ""dialogue"" only by "&amp;"registered letter.
Impossible to know what is the exact amount of global capital (if we knew the derisory sum we would drop ...).
Impossible for almost all of the nephews and nieces to know if they are even beneficiaries.
The 10 years arriving the su"&amp;"m will therefore take the direction of the Caisse des Dépôts et Consignations ...")</f>
        <v>A loved one was notified by the MGP, 8 years1/2 after the death of an uncle, that she, and therefore in principle me and my cousin (e) s, were benefiting from death insurance he had taken out .
Then a real hassle!
We may do research and send them all the documents they ask for, there is a family booklet of uncle not found so long after (no child, those close to all deceased and a lady who reached the Alzheimer stadium) .
The MGP have investigators and genealogicals that they obviously appeal.
On the phone there is a very powerful filtering barrage whose role obviously consists in identifying unwelcome.
Impossible to have a human really taking care of the file (it happened to me only once).
If you must have relations with them "dialogue" only by registered letter.
Impossible to know what is the exact amount of global capital (if we knew the derisory sum we would drop ...).
Impossible for almost all of the nephews and nieces to know if they are even beneficiaries.
The 10 years arriving the sum will therefore take the direction of the Caisse des Dépôts et Consignations ...</v>
      </c>
    </row>
    <row r="1000" ht="15.75" customHeight="1">
      <c r="A1000" s="2">
        <v>4.0</v>
      </c>
      <c r="B1000" s="2" t="s">
        <v>2729</v>
      </c>
      <c r="C1000" s="2" t="s">
        <v>2730</v>
      </c>
      <c r="D1000" s="2" t="s">
        <v>48</v>
      </c>
      <c r="E1000" s="2" t="s">
        <v>21</v>
      </c>
      <c r="F1000" s="2" t="s">
        <v>15</v>
      </c>
      <c r="G1000" s="2" t="s">
        <v>2731</v>
      </c>
      <c r="H1000" s="2" t="s">
        <v>1083</v>
      </c>
      <c r="I1000" s="2" t="str">
        <f>IFERROR(__xludf.DUMMYFUNCTION("GOOGLETRANSLATE(C1000,""fr"",""en"")"),"RAS ..................................................... ................................")</f>
        <v>RAS ..................................................... ................................</v>
      </c>
    </row>
    <row r="1001" ht="15.75" customHeight="1">
      <c r="A1001" s="2">
        <v>4.0</v>
      </c>
      <c r="B1001" s="2" t="s">
        <v>2732</v>
      </c>
      <c r="C1001" s="2" t="s">
        <v>2733</v>
      </c>
      <c r="D1001" s="2" t="s">
        <v>57</v>
      </c>
      <c r="E1001" s="2" t="s">
        <v>14</v>
      </c>
      <c r="F1001" s="2" t="s">
        <v>15</v>
      </c>
      <c r="G1001" s="2" t="s">
        <v>2456</v>
      </c>
      <c r="H1001" s="2" t="s">
        <v>90</v>
      </c>
      <c r="I1001" s="2" t="str">
        <f>IFERROR(__xludf.DUMMYFUNCTION("GOOGLETRANSLATE(C1001,""fr"",""en"")"),"The digitalization of the subscription procedure is total satisfaction. The price is really accessible or even acceptable for the guarantees subscribed thank you")</f>
        <v>The digitalization of the subscription procedure is total satisfaction. The price is really accessible or even acceptable for the guarantees subscribed thank you</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2022-12-16T15:48:24Z</dcterms:created>
</cp:coreProperties>
</file>